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2. LICITAÇÕES\# LICITACOES 2023\2 - Formas de Contratações\3 - Pregão Eletrônico\07 - Serviço de Vigilância BA - 50050.0027172023-73\Publicação ComprasNet e Site\"/>
    </mc:Choice>
  </mc:AlternateContent>
  <xr:revisionPtr revIDLastSave="0" documentId="8_{8548AB6C-540F-46BA-9914-D1CD8ED095C9}" xr6:coauthVersionLast="47" xr6:coauthVersionMax="47" xr10:uidLastSave="{00000000-0000-0000-0000-000000000000}"/>
  <bookViews>
    <workbookView xWindow="28680" yWindow="-120" windowWidth="29040" windowHeight="15840" tabRatio="645" firstSheet="2" activeTab="2" xr2:uid="{00000000-000D-0000-FFFF-FFFF00000000}"/>
  </bookViews>
  <sheets>
    <sheet name="Pesquisa de Preço" sheetId="8" r:id="rId1"/>
    <sheet name="Vigilante Diurno Guanambi" sheetId="7" r:id="rId2"/>
    <sheet name="Vigilante Noturno Guanambi" sheetId="4" r:id="rId3"/>
    <sheet name="Vigilante Diurno São Desidério" sheetId="10" r:id="rId4"/>
    <sheet name="Vigilante Noturno São Desidério" sheetId="9" r:id="rId5"/>
    <sheet name="MATERIAIS, EQUIPAMENTOS UNIFORM" sheetId="6" r:id="rId6"/>
  </sheets>
  <definedNames>
    <definedName name="_Toc513197346" localSheetId="5">'MATERIAIS, EQUIPAMENTOS UNIFORM'!#REF!</definedName>
    <definedName name="_xlnm.Print_Area" localSheetId="5">'MATERIAIS, EQUIPAMENTOS UNIFORM'!#REF!</definedName>
    <definedName name="_xlnm.Print_Area" localSheetId="2">'Vigilante Noturno Guanambi'!$A$1:$I$126</definedName>
    <definedName name="_xlnm.Print_Area" localSheetId="4">'Vigilante Noturno São Desidério'!$A$1:$I$126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2" i="10" l="1"/>
  <c r="I136" i="10"/>
  <c r="B124" i="10"/>
  <c r="B122" i="10"/>
  <c r="B121" i="10"/>
  <c r="B120" i="10"/>
  <c r="B119" i="10"/>
  <c r="I118" i="10"/>
  <c r="B118" i="10"/>
  <c r="I102" i="10"/>
  <c r="I101" i="10"/>
  <c r="I100" i="10"/>
  <c r="I104" i="10" s="1"/>
  <c r="I122" i="10" s="1"/>
  <c r="I95" i="10"/>
  <c r="I90" i="10"/>
  <c r="I82" i="10"/>
  <c r="I81" i="10"/>
  <c r="N72" i="10"/>
  <c r="I70" i="10"/>
  <c r="I69" i="10"/>
  <c r="R58" i="10"/>
  <c r="T58" i="10" s="1"/>
  <c r="N58" i="10"/>
  <c r="L58" i="10"/>
  <c r="T55" i="10"/>
  <c r="I55" i="10" s="1"/>
  <c r="O55" i="10"/>
  <c r="I54" i="10" s="1"/>
  <c r="I58" i="10" s="1"/>
  <c r="I64" i="10" s="1"/>
  <c r="H51" i="10"/>
  <c r="I38" i="10"/>
  <c r="I28" i="10"/>
  <c r="I80" i="10" s="1"/>
  <c r="I24" i="10"/>
  <c r="I23" i="10"/>
  <c r="I143" i="9"/>
  <c r="I137" i="9"/>
  <c r="B125" i="9"/>
  <c r="B123" i="9"/>
  <c r="B122" i="9"/>
  <c r="B121" i="9"/>
  <c r="B120" i="9"/>
  <c r="I119" i="9"/>
  <c r="B119" i="9"/>
  <c r="I104" i="9"/>
  <c r="I123" i="9" s="1"/>
  <c r="I102" i="9"/>
  <c r="I101" i="9"/>
  <c r="I100" i="9"/>
  <c r="I90" i="9"/>
  <c r="I95" i="9" s="1"/>
  <c r="N72" i="9"/>
  <c r="R58" i="9"/>
  <c r="T58" i="9" s="1"/>
  <c r="L58" i="9"/>
  <c r="N58" i="9" s="1"/>
  <c r="I54" i="9" s="1"/>
  <c r="I58" i="9" s="1"/>
  <c r="I64" i="9" s="1"/>
  <c r="T55" i="9"/>
  <c r="I55" i="9" s="1"/>
  <c r="O55" i="9"/>
  <c r="H51" i="9"/>
  <c r="I25" i="9"/>
  <c r="I24" i="9"/>
  <c r="I23" i="9"/>
  <c r="I28" i="9" s="1"/>
  <c r="I55" i="4"/>
  <c r="I55" i="7"/>
  <c r="I72" i="7"/>
  <c r="I85" i="10" l="1"/>
  <c r="I86" i="10"/>
  <c r="I94" i="10" s="1"/>
  <c r="I96" i="10" s="1"/>
  <c r="I121" i="10" s="1"/>
  <c r="I72" i="10"/>
  <c r="I73" i="10" s="1"/>
  <c r="J72" i="10"/>
  <c r="I39" i="10"/>
  <c r="I40" i="10" s="1"/>
  <c r="I81" i="9"/>
  <c r="I39" i="9"/>
  <c r="I80" i="9"/>
  <c r="I38" i="9"/>
  <c r="I40" i="9" s="1"/>
  <c r="I62" i="9" s="1"/>
  <c r="I72" i="9"/>
  <c r="I73" i="9" s="1"/>
  <c r="I43" i="9"/>
  <c r="I82" i="9"/>
  <c r="I69" i="9"/>
  <c r="I74" i="7"/>
  <c r="J72" i="7"/>
  <c r="I119" i="4"/>
  <c r="I82" i="7"/>
  <c r="I81" i="7"/>
  <c r="I80" i="7"/>
  <c r="I69" i="7"/>
  <c r="I50" i="7"/>
  <c r="I49" i="7"/>
  <c r="I48" i="7"/>
  <c r="I47" i="7"/>
  <c r="I46" i="7"/>
  <c r="I45" i="7"/>
  <c r="I44" i="7"/>
  <c r="I43" i="7"/>
  <c r="I39" i="7"/>
  <c r="I38" i="7"/>
  <c r="E48" i="6"/>
  <c r="E34" i="6"/>
  <c r="E47" i="6"/>
  <c r="E33" i="6"/>
  <c r="I50" i="10" l="1"/>
  <c r="I48" i="10"/>
  <c r="I62" i="10"/>
  <c r="I44" i="10"/>
  <c r="I43" i="10"/>
  <c r="I51" i="10" s="1"/>
  <c r="I63" i="10" s="1"/>
  <c r="I47" i="10"/>
  <c r="I46" i="10"/>
  <c r="I45" i="10"/>
  <c r="I49" i="10"/>
  <c r="I44" i="9"/>
  <c r="I45" i="9"/>
  <c r="I50" i="9"/>
  <c r="I49" i="9"/>
  <c r="I46" i="9"/>
  <c r="I51" i="9" s="1"/>
  <c r="I63" i="9" s="1"/>
  <c r="I65" i="9" s="1"/>
  <c r="I48" i="9"/>
  <c r="I85" i="9"/>
  <c r="I86" i="9" s="1"/>
  <c r="I94" i="9" s="1"/>
  <c r="I96" i="9" s="1"/>
  <c r="I122" i="9" s="1"/>
  <c r="I70" i="9"/>
  <c r="I47" i="9"/>
  <c r="E22" i="6"/>
  <c r="E21" i="6"/>
  <c r="E9" i="6"/>
  <c r="E8" i="6"/>
  <c r="I65" i="10" l="1"/>
  <c r="M70" i="10"/>
  <c r="M72" i="10"/>
  <c r="I74" i="10"/>
  <c r="M78" i="10"/>
  <c r="N78" i="10" s="1"/>
  <c r="I71" i="10"/>
  <c r="I75" i="10" s="1"/>
  <c r="I120" i="10" s="1"/>
  <c r="I120" i="9"/>
  <c r="M76" i="9"/>
  <c r="N76" i="9" s="1"/>
  <c r="M72" i="9"/>
  <c r="M78" i="9"/>
  <c r="N78" i="9" s="1"/>
  <c r="I74" i="9"/>
  <c r="I71" i="9"/>
  <c r="I75" i="9" s="1"/>
  <c r="M70" i="9"/>
  <c r="I25" i="4"/>
  <c r="I119" i="10" l="1"/>
  <c r="I123" i="10" s="1"/>
  <c r="M76" i="10"/>
  <c r="N76" i="10" s="1"/>
  <c r="I121" i="9"/>
  <c r="I124" i="9"/>
  <c r="J117" i="8"/>
  <c r="I117" i="8"/>
  <c r="J111" i="8"/>
  <c r="I111" i="8"/>
  <c r="J110" i="8"/>
  <c r="I110" i="8"/>
  <c r="J57" i="8"/>
  <c r="I57" i="8"/>
  <c r="J51" i="8"/>
  <c r="I51" i="8"/>
  <c r="J50" i="8"/>
  <c r="I50" i="8"/>
  <c r="I108" i="10" l="1"/>
  <c r="I108" i="9"/>
  <c r="I109" i="9" s="1"/>
  <c r="H70" i="8"/>
  <c r="G70" i="8"/>
  <c r="F70" i="8"/>
  <c r="E70" i="8"/>
  <c r="D70" i="8"/>
  <c r="C70" i="8"/>
  <c r="J11" i="8"/>
  <c r="I11" i="8"/>
  <c r="H11" i="8"/>
  <c r="G11" i="8"/>
  <c r="F11" i="8"/>
  <c r="E11" i="8"/>
  <c r="D11" i="8"/>
  <c r="J113" i="8"/>
  <c r="J112" i="8"/>
  <c r="J106" i="8"/>
  <c r="I106" i="8"/>
  <c r="J105" i="8"/>
  <c r="I105" i="8"/>
  <c r="J104" i="8"/>
  <c r="I104" i="8"/>
  <c r="J103" i="8"/>
  <c r="I103" i="8"/>
  <c r="J102" i="8"/>
  <c r="I102" i="8"/>
  <c r="J101" i="8"/>
  <c r="I101" i="8"/>
  <c r="J100" i="8"/>
  <c r="I100" i="8"/>
  <c r="J99" i="8"/>
  <c r="I99" i="8"/>
  <c r="J98" i="8"/>
  <c r="I98" i="8"/>
  <c r="J97" i="8"/>
  <c r="I97" i="8"/>
  <c r="J96" i="8"/>
  <c r="I96" i="8"/>
  <c r="J95" i="8"/>
  <c r="I95" i="8"/>
  <c r="J89" i="8"/>
  <c r="I89" i="8"/>
  <c r="J88" i="8"/>
  <c r="I88" i="8"/>
  <c r="J84" i="8"/>
  <c r="I84" i="8"/>
  <c r="J83" i="8"/>
  <c r="I83" i="8"/>
  <c r="J71" i="8"/>
  <c r="I71" i="8"/>
  <c r="J69" i="8"/>
  <c r="I69" i="8"/>
  <c r="J53" i="8"/>
  <c r="I53" i="8"/>
  <c r="J52" i="8"/>
  <c r="I52" i="8"/>
  <c r="J46" i="8"/>
  <c r="I46" i="8"/>
  <c r="J45" i="8"/>
  <c r="I45" i="8"/>
  <c r="J44" i="8"/>
  <c r="I44" i="8"/>
  <c r="J43" i="8"/>
  <c r="I43" i="8"/>
  <c r="J42" i="8"/>
  <c r="I42" i="8"/>
  <c r="J41" i="8"/>
  <c r="I41" i="8"/>
  <c r="J40" i="8"/>
  <c r="I40" i="8"/>
  <c r="J39" i="8"/>
  <c r="I39" i="8"/>
  <c r="J38" i="8"/>
  <c r="I38" i="8"/>
  <c r="J37" i="8"/>
  <c r="I37" i="8"/>
  <c r="J36" i="8"/>
  <c r="I36" i="8"/>
  <c r="J35" i="8"/>
  <c r="I35" i="8"/>
  <c r="J29" i="8"/>
  <c r="I29" i="8"/>
  <c r="J28" i="8"/>
  <c r="I28" i="8"/>
  <c r="J24" i="8"/>
  <c r="I24" i="8"/>
  <c r="J23" i="8"/>
  <c r="I23" i="8"/>
  <c r="C11" i="8"/>
  <c r="I109" i="10" l="1"/>
  <c r="K108" i="10" s="1"/>
  <c r="K108" i="9"/>
  <c r="I70" i="8"/>
  <c r="J70" i="8"/>
  <c r="J77" i="8"/>
  <c r="I112" i="8"/>
  <c r="I77" i="8"/>
  <c r="I113" i="8"/>
  <c r="E46" i="6"/>
  <c r="I112" i="10" l="1"/>
  <c r="I114" i="10" s="1"/>
  <c r="I111" i="10"/>
  <c r="I141" i="10" s="1"/>
  <c r="I144" i="10" s="1"/>
  <c r="I113" i="10"/>
  <c r="I112" i="9"/>
  <c r="I111" i="9"/>
  <c r="I113" i="9"/>
  <c r="E35" i="6"/>
  <c r="E49" i="6"/>
  <c r="E10" i="6"/>
  <c r="E7" i="6"/>
  <c r="E6" i="6"/>
  <c r="E5" i="6"/>
  <c r="E4" i="6"/>
  <c r="E3" i="6"/>
  <c r="E2" i="6"/>
  <c r="I142" i="7"/>
  <c r="I136" i="7"/>
  <c r="B124" i="7"/>
  <c r="B122" i="7"/>
  <c r="B121" i="7"/>
  <c r="B120" i="7"/>
  <c r="B119" i="7"/>
  <c r="B118" i="7"/>
  <c r="I90" i="7"/>
  <c r="I95" i="7" s="1"/>
  <c r="N72" i="7"/>
  <c r="L58" i="7"/>
  <c r="N58" i="7" s="1"/>
  <c r="T55" i="7"/>
  <c r="R58" i="7" s="1"/>
  <c r="T58" i="7" s="1"/>
  <c r="O55" i="7"/>
  <c r="H51" i="7"/>
  <c r="I24" i="7"/>
  <c r="I23" i="7"/>
  <c r="I124" i="10" l="1"/>
  <c r="I125" i="10" s="1"/>
  <c r="I126" i="10" s="1"/>
  <c r="I150" i="10" s="1"/>
  <c r="I151" i="10" s="1"/>
  <c r="I143" i="10"/>
  <c r="I142" i="9"/>
  <c r="I145" i="9" s="1"/>
  <c r="I114" i="9"/>
  <c r="I28" i="7"/>
  <c r="I54" i="7"/>
  <c r="I58" i="7" s="1"/>
  <c r="I64" i="7" s="1"/>
  <c r="E11" i="6"/>
  <c r="E12" i="6" s="1"/>
  <c r="I100" i="7" s="1"/>
  <c r="I125" i="9" l="1"/>
  <c r="I126" i="9" s="1"/>
  <c r="I127" i="9" s="1"/>
  <c r="I151" i="9" s="1"/>
  <c r="I152" i="9" s="1"/>
  <c r="I144" i="9"/>
  <c r="E64" i="6"/>
  <c r="E65" i="6" s="1"/>
  <c r="E66" i="6" s="1"/>
  <c r="E67" i="6" s="1"/>
  <c r="E59" i="6"/>
  <c r="E60" i="6" s="1"/>
  <c r="E61" i="6" s="1"/>
  <c r="E54" i="6"/>
  <c r="E55" i="6" s="1"/>
  <c r="E56" i="6" s="1"/>
  <c r="E32" i="6"/>
  <c r="E31" i="6"/>
  <c r="E30" i="6"/>
  <c r="E29" i="6"/>
  <c r="E28" i="6"/>
  <c r="E45" i="6"/>
  <c r="E44" i="6"/>
  <c r="E43" i="6"/>
  <c r="E42" i="6"/>
  <c r="E41" i="6"/>
  <c r="E40" i="6"/>
  <c r="E23" i="6"/>
  <c r="E20" i="6"/>
  <c r="E19" i="6"/>
  <c r="E18" i="6"/>
  <c r="E17" i="6"/>
  <c r="E16" i="6"/>
  <c r="E15" i="6"/>
  <c r="L58" i="4"/>
  <c r="I102" i="7" l="1"/>
  <c r="E24" i="6"/>
  <c r="E25" i="6" s="1"/>
  <c r="I100" i="4" s="1"/>
  <c r="E50" i="6"/>
  <c r="E51" i="6" s="1"/>
  <c r="I101" i="4" s="1"/>
  <c r="E36" i="6"/>
  <c r="E37" i="6" s="1"/>
  <c r="I102" i="4"/>
  <c r="N72" i="4"/>
  <c r="T55" i="4"/>
  <c r="R58" i="4" s="1"/>
  <c r="T58" i="4" s="1"/>
  <c r="O55" i="4"/>
  <c r="I24" i="4"/>
  <c r="I101" i="7" l="1"/>
  <c r="E69" i="6"/>
  <c r="E70" i="6"/>
  <c r="I23" i="4"/>
  <c r="I104" i="7" l="1"/>
  <c r="I122" i="7" s="1"/>
  <c r="I143" i="4"/>
  <c r="I137" i="4"/>
  <c r="B125" i="4"/>
  <c r="B123" i="4"/>
  <c r="B122" i="4"/>
  <c r="B121" i="4"/>
  <c r="B120" i="4"/>
  <c r="B119" i="4"/>
  <c r="I90" i="4"/>
  <c r="I95" i="4" s="1"/>
  <c r="H51" i="4"/>
  <c r="I28" i="4"/>
  <c r="I72" i="4" s="1"/>
  <c r="I81" i="4" l="1"/>
  <c r="N58" i="4"/>
  <c r="I54" i="4" s="1"/>
  <c r="I58" i="4" s="1"/>
  <c r="I64" i="4" s="1"/>
  <c r="I82" i="4"/>
  <c r="I80" i="4"/>
  <c r="I69" i="4"/>
  <c r="I73" i="4"/>
  <c r="I38" i="4"/>
  <c r="I39" i="4"/>
  <c r="I85" i="4" l="1"/>
  <c r="I86" i="4" s="1"/>
  <c r="I94" i="4" s="1"/>
  <c r="I96" i="4" s="1"/>
  <c r="I40" i="4"/>
  <c r="I62" i="4" s="1"/>
  <c r="I70" i="4"/>
  <c r="I122" i="4" l="1"/>
  <c r="I49" i="4"/>
  <c r="I44" i="4"/>
  <c r="I46" i="4"/>
  <c r="I48" i="4"/>
  <c r="I50" i="4"/>
  <c r="I74" i="4" s="1"/>
  <c r="I45" i="4"/>
  <c r="I47" i="4"/>
  <c r="I43" i="4"/>
  <c r="I71" i="4" l="1"/>
  <c r="M78" i="4"/>
  <c r="N78" i="4" s="1"/>
  <c r="M72" i="4"/>
  <c r="M70" i="4"/>
  <c r="I51" i="4"/>
  <c r="I63" i="4" s="1"/>
  <c r="I65" i="4" s="1"/>
  <c r="I75" i="4" l="1"/>
  <c r="I121" i="4" s="1"/>
  <c r="I120" i="4"/>
  <c r="M76" i="4"/>
  <c r="N76" i="4" s="1"/>
  <c r="I104" i="4" l="1"/>
  <c r="I123" i="4" s="1"/>
  <c r="I124" i="4" s="1"/>
  <c r="I108" i="4" l="1"/>
  <c r="I109" i="4" l="1"/>
  <c r="K108" i="4" s="1"/>
  <c r="I113" i="4" l="1"/>
  <c r="I111" i="4"/>
  <c r="I112" i="4"/>
  <c r="I142" i="4" l="1"/>
  <c r="I145" i="4" s="1"/>
  <c r="I114" i="4"/>
  <c r="I144" i="4" l="1"/>
  <c r="I125" i="4"/>
  <c r="I126" i="4" s="1"/>
  <c r="I127" i="4" l="1"/>
  <c r="I151" i="4" s="1"/>
  <c r="I152" i="4" s="1"/>
  <c r="I118" i="7"/>
  <c r="I40" i="7"/>
  <c r="I70" i="7"/>
  <c r="I85" i="7"/>
  <c r="I86" i="7" s="1"/>
  <c r="I94" i="7" s="1"/>
  <c r="I96" i="7" s="1"/>
  <c r="I121" i="7" s="1"/>
  <c r="I73" i="7"/>
  <c r="I62" i="7" l="1"/>
  <c r="I51" i="7" l="1"/>
  <c r="I63" i="7" s="1"/>
  <c r="I65" i="7" s="1"/>
  <c r="M70" i="7"/>
  <c r="I71" i="7"/>
  <c r="M72" i="7"/>
  <c r="M78" i="7"/>
  <c r="N78" i="7" s="1"/>
  <c r="I75" i="7" l="1"/>
  <c r="I120" i="7" s="1"/>
  <c r="I119" i="7"/>
  <c r="M76" i="7"/>
  <c r="N76" i="7" s="1"/>
  <c r="I123" i="7" l="1"/>
  <c r="I108" i="7" s="1"/>
  <c r="I109" i="7" s="1"/>
  <c r="K108" i="7" l="1"/>
  <c r="I111" i="7" l="1"/>
  <c r="I112" i="7"/>
  <c r="I113" i="7"/>
  <c r="I141" i="7" l="1"/>
  <c r="I144" i="7" s="1"/>
  <c r="I114" i="7"/>
  <c r="I143" i="7" l="1"/>
  <c r="I124" i="7"/>
  <c r="I125" i="7" s="1"/>
  <c r="I126" i="7" s="1"/>
  <c r="I150" i="7" s="1"/>
  <c r="I151" i="7" s="1"/>
</calcChain>
</file>

<file path=xl/sharedStrings.xml><?xml version="1.0" encoding="utf-8"?>
<sst xmlns="http://schemas.openxmlformats.org/spreadsheetml/2006/main" count="1421" uniqueCount="305">
  <si>
    <t>CUSTOS DE MÃO DE OBRA - VIGILANTE - BAHIA - DIURNO</t>
  </si>
  <si>
    <t>Fonte de Obtenção do Preço</t>
  </si>
  <si>
    <t>PE 12/2022</t>
  </si>
  <si>
    <t>PE 02/2022</t>
  </si>
  <si>
    <t>PE 04/2022</t>
  </si>
  <si>
    <t>PE 01/2022</t>
  </si>
  <si>
    <t>PE 18/2022</t>
  </si>
  <si>
    <t>PESQUISA DIRETA</t>
  </si>
  <si>
    <t>MÉDIA</t>
  </si>
  <si>
    <t>MEDIANA</t>
  </si>
  <si>
    <t>Órgão/Entidade/Empresa</t>
  </si>
  <si>
    <t>IFBAIANO</t>
  </si>
  <si>
    <t>INCRA</t>
  </si>
  <si>
    <t>INMET</t>
  </si>
  <si>
    <t>CONAB</t>
  </si>
  <si>
    <t>HUPES</t>
  </si>
  <si>
    <t>NAFSEG</t>
  </si>
  <si>
    <t>UASG/CNPJ</t>
  </si>
  <si>
    <t>10.369.790/0001-30</t>
  </si>
  <si>
    <t>Data de Homologação/Assinatura/Apresentação</t>
  </si>
  <si>
    <t>Módulo 1 - Composição da Remuneração</t>
  </si>
  <si>
    <t>A</t>
  </si>
  <si>
    <t>Salário-Base</t>
  </si>
  <si>
    <t>B</t>
  </si>
  <si>
    <t>Adicional Periculosidade</t>
  </si>
  <si>
    <t>Módulo 2 - Encargos e Benefícios Anuais, Mensais e Diários</t>
  </si>
  <si>
    <t>Submódulo 2.3 - Benefícios Mensais e Diários.</t>
  </si>
  <si>
    <t>Transporte (Custo Efetivo DO POSTO=2 empregados)</t>
  </si>
  <si>
    <t>Módulo 3 - Rescisão</t>
  </si>
  <si>
    <t>Submódulo 3.1 - Custo do Aviso Prévio Indenizado</t>
  </si>
  <si>
    <t>Aviso Prévio Indenizado</t>
  </si>
  <si>
    <t>Multa do FGTS sobre o Aviso Prévio Indenizado</t>
  </si>
  <si>
    <t>Submódulo 3.2 - Custo do Aviso Prévio Trabalhado</t>
  </si>
  <si>
    <t>Aviso Prévio Trabalhado</t>
  </si>
  <si>
    <t>Multa do FGTS sobre o Aviso Prévio Trabalhado</t>
  </si>
  <si>
    <t>Módulo 4 - Custo de Reposição do Profissional Ausente</t>
  </si>
  <si>
    <t>Submódulo 4.1 - Ausências Legais</t>
  </si>
  <si>
    <t>Férias</t>
  </si>
  <si>
    <t>Ausência Justificada</t>
  </si>
  <si>
    <t>C</t>
  </si>
  <si>
    <t>Ausência por Acidente de Trabalho</t>
  </si>
  <si>
    <t>D</t>
  </si>
  <si>
    <t>Afastamento por Doença</t>
  </si>
  <si>
    <t>E</t>
  </si>
  <si>
    <t>Ausência para Consulta Médica de Filho</t>
  </si>
  <si>
    <t>F</t>
  </si>
  <si>
    <t>Ausência por Óbitos na Família</t>
  </si>
  <si>
    <t>G</t>
  </si>
  <si>
    <t>Licença para Casamento</t>
  </si>
  <si>
    <t>H</t>
  </si>
  <si>
    <t>Ausência para Doação de Sangue</t>
  </si>
  <si>
    <t>I</t>
  </si>
  <si>
    <t>Ausência para Testemunho</t>
  </si>
  <si>
    <t>J</t>
  </si>
  <si>
    <t>Licença Paternidade</t>
  </si>
  <si>
    <t>K</t>
  </si>
  <si>
    <t>Afastamento Maternidade</t>
  </si>
  <si>
    <t>L</t>
  </si>
  <si>
    <t>Ausência para Consulta Pré-Natal</t>
  </si>
  <si>
    <t>Módulo 6 - Custos Indiretos, Tributos e Lucro</t>
  </si>
  <si>
    <t>Custos Indiretos</t>
  </si>
  <si>
    <t>Lucro</t>
  </si>
  <si>
    <t>PIS</t>
  </si>
  <si>
    <t>COFINS</t>
  </si>
  <si>
    <t>QUADRO-RESUMO DO CUSTO POR POSTO</t>
  </si>
  <si>
    <t>Valor Total por Posto</t>
  </si>
  <si>
    <t>CUSTOS DE MÃO DE OBRA - VIGILANTE - BAHIA - NOTURNO</t>
  </si>
  <si>
    <t>PE 23/2022</t>
  </si>
  <si>
    <t>ME</t>
  </si>
  <si>
    <t>Adicional Noturno</t>
  </si>
  <si>
    <t>Transporte</t>
  </si>
  <si>
    <t>Valor Total por POSTO</t>
  </si>
  <si>
    <t xml:space="preserve">Responsável pela Elaboração: </t>
  </si>
  <si>
    <t>Thiago da Costa Sousa</t>
  </si>
  <si>
    <t xml:space="preserve">Matrícula: </t>
  </si>
  <si>
    <t xml:space="preserve">Data: </t>
  </si>
  <si>
    <t>Categoria profissional:  Vigilante Diurno BA</t>
  </si>
  <si>
    <t>Representante Sindical: SINDESP-BA</t>
  </si>
  <si>
    <t>Discriminação dos Serviços</t>
  </si>
  <si>
    <t>Data de apresentação da proposta</t>
  </si>
  <si>
    <t>-</t>
  </si>
  <si>
    <t>Estado</t>
  </si>
  <si>
    <t>BAHIA</t>
  </si>
  <si>
    <t>Ano do Acordo, Convenção ou Dissídio Coletivo</t>
  </si>
  <si>
    <t>Nº de meses de execução contratual</t>
  </si>
  <si>
    <t>Identificação do Serviço</t>
  </si>
  <si>
    <t>Tipo de Serviço</t>
  </si>
  <si>
    <t>Unidade de Medida</t>
  </si>
  <si>
    <t>Quantidade total a contratar (em função da unidade de medida)</t>
  </si>
  <si>
    <t>Vigilante Diurno</t>
  </si>
  <si>
    <t>Posto</t>
  </si>
  <si>
    <t>Dados para composição dos custos referentes à mão-de-obra</t>
  </si>
  <si>
    <t>Tipo de serviço (mesmo serviço com características distintas)</t>
  </si>
  <si>
    <t>Classificação Brasileira de Ocupações (CBO)</t>
  </si>
  <si>
    <t>Salário Nominativo da Categoria Profissional</t>
  </si>
  <si>
    <t>Categoria profissional (vinculada à execução contratual)</t>
  </si>
  <si>
    <t>Assistente Adm</t>
  </si>
  <si>
    <t>Data base da categoria (dia/mês/ano)</t>
  </si>
  <si>
    <t>MÓDULO 1 - COMPOSIÇÃO DA REMUNERAÇÃO</t>
  </si>
  <si>
    <t>1.1</t>
  </si>
  <si>
    <t>COMPOSIÇÃO DA REMUNERAÇÃO</t>
  </si>
  <si>
    <t>%</t>
  </si>
  <si>
    <t>VALOR (R$)</t>
  </si>
  <si>
    <t xml:space="preserve">Salário Base </t>
  </si>
  <si>
    <t xml:space="preserve">Adicional Periculosidade </t>
  </si>
  <si>
    <t>Adicional Insalubridade</t>
  </si>
  <si>
    <t>Adicional de Hora Noturna Reduzida</t>
  </si>
  <si>
    <t>Outros (especificar)</t>
  </si>
  <si>
    <r>
      <t>TOTAL DO MÓDULO 1.1 (</t>
    </r>
    <r>
      <rPr>
        <b/>
        <sz val="9"/>
        <rFont val="Calibri"/>
        <family val="2"/>
        <scheme val="minor"/>
      </rPr>
      <t>verbas de natureza salarial nas quais incidem INSS + FGTS + Férias + 13º, etc</t>
    </r>
    <r>
      <rPr>
        <b/>
        <sz val="12"/>
        <rFont val="Calibri"/>
        <family val="2"/>
        <scheme val="minor"/>
      </rPr>
      <t>)</t>
    </r>
  </si>
  <si>
    <t>1.2</t>
  </si>
  <si>
    <t>PRÊMIOS E INDENIZAÇÕES</t>
  </si>
  <si>
    <t>Prêmio de Boa Permanência III</t>
  </si>
  <si>
    <t>Prêmio Dia do Vigilante</t>
  </si>
  <si>
    <t>Indenização Intervalo Intrajornada</t>
  </si>
  <si>
    <r>
      <t xml:space="preserve">TOTAL DO MÓDULO 1.2 </t>
    </r>
    <r>
      <rPr>
        <b/>
        <sz val="9"/>
        <rFont val="Calibri"/>
        <family val="2"/>
        <scheme val="minor"/>
      </rPr>
      <t>(verbas de natureza indenizatória nas quais não incidem INSS, FGTS, Férias, 13º, etc.)</t>
    </r>
  </si>
  <si>
    <t>VALOR TOTAL DO MÓDULO 1.1 + 1.2</t>
  </si>
  <si>
    <t>MÓDULO 2 – ENCARGOS E BENEFÍCIOS ANUAIS, MENSAIS E DIÁRIOS</t>
  </si>
  <si>
    <t>Submódulo 2.1 - 13º Salário, Férias e Adicional de Férias</t>
  </si>
  <si>
    <r>
      <t>13 (Décimo-terceiro) salário</t>
    </r>
    <r>
      <rPr>
        <sz val="12"/>
        <color indexed="10"/>
        <rFont val="Calibri"/>
        <family val="2"/>
        <scheme val="minor"/>
      </rPr>
      <t xml:space="preserve"> </t>
    </r>
  </si>
  <si>
    <t>Férias e Adicional de Férias -       (Saláriox8,33%) +(salariox33,33%)/12</t>
  </si>
  <si>
    <t>TOTAL SUBMÓDULO 2.1</t>
  </si>
  <si>
    <t>Submódulo 2.2 - GPS, FGTS e Outras Contribuições</t>
  </si>
  <si>
    <t xml:space="preserve">INSS </t>
  </si>
  <si>
    <t xml:space="preserve">Salário Educação </t>
  </si>
  <si>
    <t>SAT (Seguro Acidente de Trabalho)</t>
  </si>
  <si>
    <t>SESC ou SESI</t>
  </si>
  <si>
    <t xml:space="preserve">SENAI - SENAC </t>
  </si>
  <si>
    <t xml:space="preserve">SEBRAE </t>
  </si>
  <si>
    <t xml:space="preserve">INCRA </t>
  </si>
  <si>
    <t xml:space="preserve">FGTS </t>
  </si>
  <si>
    <t>TOTAL SUBMÓDULO 2.2</t>
  </si>
  <si>
    <t>Submódulo 2.3 - Benefícios Mensais e Diários</t>
  </si>
  <si>
    <t>CUSTO DA PASSAGEM</t>
  </si>
  <si>
    <t>CUSTO VALE ALIMENTAÇÃO</t>
  </si>
  <si>
    <t xml:space="preserve">Transporte  - CCT Cla. nº </t>
  </si>
  <si>
    <t>Custo da passagem/categoria</t>
  </si>
  <si>
    <t>Vr. Unitário</t>
  </si>
  <si>
    <t>Vale por dia</t>
  </si>
  <si>
    <t>Dias efetivamente trabalhados</t>
  </si>
  <si>
    <t>Custo total</t>
  </si>
  <si>
    <t>Categoria</t>
  </si>
  <si>
    <t>Vr. DIÁRIO</t>
  </si>
  <si>
    <r>
      <t xml:space="preserve">Auxílio-Refeição/Alimentaçã  </t>
    </r>
    <r>
      <rPr>
        <b/>
        <sz val="12"/>
        <rFont val="Calibri"/>
        <family val="2"/>
        <scheme val="minor"/>
      </rPr>
      <t>(auxilio alimentação- CCT Cla. nº  )</t>
    </r>
  </si>
  <si>
    <t xml:space="preserve">Assistência Médica e Familiar  - CCT Cla. nº </t>
  </si>
  <si>
    <t>DESCONTO DA PASSAGEM</t>
  </si>
  <si>
    <t>DESCONTO VALE ALIMENTAÇÃO</t>
  </si>
  <si>
    <t>Outros (especificar) Seguro de vida + Aux Funeral</t>
  </si>
  <si>
    <t xml:space="preserve">Categoria </t>
  </si>
  <si>
    <t>Base de cálculo</t>
  </si>
  <si>
    <t>Percentual</t>
  </si>
  <si>
    <t>Desconto</t>
  </si>
  <si>
    <t>TOTAL SUBMÓDULO 2.3</t>
  </si>
  <si>
    <t>QUADRO-RESUMO DO MÓDULO 2 - ENCARGOS, BENEFÍCIOS ANUAIS, MENSAIS E DIÁRIOS</t>
  </si>
  <si>
    <t>Módulo 2 - Encargos, Benefícios Anuais, Mensais e Diários</t>
  </si>
  <si>
    <t>2.1</t>
  </si>
  <si>
    <t>13º Salário, Férias e Adicional de Férias</t>
  </si>
  <si>
    <t>2.2</t>
  </si>
  <si>
    <t>GPS, FGTS e Outras Contribuições</t>
  </si>
  <si>
    <t>2.3</t>
  </si>
  <si>
    <t>Benefícios Mensais e Diários</t>
  </si>
  <si>
    <t>TOTAL DO MÓDULO 2</t>
  </si>
  <si>
    <t>MÓDULO 3 – PROVISÃO PARA RESCISÃO</t>
  </si>
  <si>
    <t>PERCENTUAIS POR TIPO DE DESLIGAMENTO</t>
  </si>
  <si>
    <t>Cálculo API</t>
  </si>
  <si>
    <t>PROVISÃO PARA RESCISÃO</t>
  </si>
  <si>
    <t>Tipos</t>
  </si>
  <si>
    <t>Aviso prévio Indenizado</t>
  </si>
  <si>
    <t xml:space="preserve">Demissão SEM justa Causa </t>
  </si>
  <si>
    <r>
      <t>74,01% =</t>
    </r>
    <r>
      <rPr>
        <b/>
        <sz val="10"/>
        <rFont val="Arial"/>
        <family val="2"/>
      </rPr>
      <t xml:space="preserve"> 37,01%</t>
    </r>
  </si>
  <si>
    <t>Mod 1 + Mod 2 (Sem GPS)</t>
  </si>
  <si>
    <t>Incidência do FGTS sobre Aviso Prévio Indenizado</t>
  </si>
  <si>
    <t xml:space="preserve">Demissão COM justa Causa </t>
  </si>
  <si>
    <t>2.07%</t>
  </si>
  <si>
    <t>Multa do FGTS e Contribuição Social sobre o Aviso Prévio Indenizado</t>
  </si>
  <si>
    <t xml:space="preserve">Desligamentos OUTROS TIPOS </t>
  </si>
  <si>
    <t>Multa API = FGTS*40%</t>
  </si>
  <si>
    <t xml:space="preserve">Aviso Prévio Trabalhado </t>
  </si>
  <si>
    <t>Obs: Para efeito de cálculo dos valores limites (máximo), considera-se, nas demissões sem justa causa, o
percentual de 50% para aviso prévio trabalhado e de 50% para o aviso prévio indenizado</t>
  </si>
  <si>
    <t>Incidência de GPS, FGTS e outras contribuições sobre o Aviso Prévio Trabalhado</t>
  </si>
  <si>
    <t>Cálculo AP Trabalhado</t>
  </si>
  <si>
    <t xml:space="preserve">Multa do FGTS e Contribuição Social sobre o Aviso Prévio Trabalhado. </t>
  </si>
  <si>
    <t>TOTAL DO MÓDULO 3</t>
  </si>
  <si>
    <t xml:space="preserve">Mod 1 + Mod 2 </t>
  </si>
  <si>
    <t>MÓDULO 4 – CUSTO DE REPOSIÇÃO DO PROFISSIONAL AUSENTE</t>
  </si>
  <si>
    <t xml:space="preserve">Submódulo 4.1 - Substituto nas Ausências Legais </t>
  </si>
  <si>
    <t>Substituto na cobertura de Férias (Valor pago no (Módulo 1) e na (letra B do submódulo 2.1) zeramos essa rubrica</t>
  </si>
  <si>
    <t>Substituto na cobertura de Ausências Legais</t>
  </si>
  <si>
    <t>Substituto na cobertura de Licença Paternidade</t>
  </si>
  <si>
    <r>
      <t>Substituto na cobertura de Ausência por Acidente de Trabalho</t>
    </r>
    <r>
      <rPr>
        <sz val="12"/>
        <color indexed="10"/>
        <rFont val="Calibri"/>
        <family val="2"/>
        <scheme val="minor"/>
      </rPr>
      <t xml:space="preserve"> </t>
    </r>
  </si>
  <si>
    <t>Substituto na cobertura de Afastamento Maternidade</t>
  </si>
  <si>
    <t>Incidência dos encargos do submódulo 2.2 sobre Ausências Legais</t>
  </si>
  <si>
    <t>TOTAL SUBMÓDULO 4.1</t>
  </si>
  <si>
    <t>Submódulo 4.2 - Intrajornada</t>
  </si>
  <si>
    <t>Substituto na cobertura de Intervalo para Repouso ou Alimentação</t>
  </si>
  <si>
    <t>TOTAL SUBMÓDULO 4.2</t>
  </si>
  <si>
    <t>QUADRO-RESUMO DO MÓDULO 4 - CUSTO DE REPOSIÇÃO DO PROFISSIONAL AUSENTE</t>
  </si>
  <si>
    <t>4.1</t>
  </si>
  <si>
    <t>Substituto na cobertura das Ausências Legais</t>
  </si>
  <si>
    <t>4.2</t>
  </si>
  <si>
    <t>Substituto na cobertura de Intrajornada</t>
  </si>
  <si>
    <t>TOTAL DO MÓDULO 4</t>
  </si>
  <si>
    <t>MÓDULO 5 – INSUMOS DIVERSOS</t>
  </si>
  <si>
    <t>INSUMOS DIVERSOS</t>
  </si>
  <si>
    <t xml:space="preserve">Uniformes </t>
  </si>
  <si>
    <t>Materiais</t>
  </si>
  <si>
    <t>Equipamentos</t>
  </si>
  <si>
    <t>TOTAL DO MÓDULO 5</t>
  </si>
  <si>
    <t>MÓDULO 6 – CUSTOS INDIRETOS, TRIBUTOS E LUCRO</t>
  </si>
  <si>
    <t>CUSTOS INDIRETOS, TRIBUTOS E LUCRO</t>
  </si>
  <si>
    <t>TRIBUTOS</t>
  </si>
  <si>
    <t>C.1</t>
  </si>
  <si>
    <t>C.2</t>
  </si>
  <si>
    <t>C.3</t>
  </si>
  <si>
    <t>ISS</t>
  </si>
  <si>
    <t>TOTAL DO MÓDULO 6</t>
  </si>
  <si>
    <t>QUADRO RESUMO DO CUSTO POR EMPREGADO</t>
  </si>
  <si>
    <t>Mão-de-Obra vinculada à execução contratual (valor por empregado)</t>
  </si>
  <si>
    <t>Subtotal (A + B + C + D + E)</t>
  </si>
  <si>
    <t>PREÇO TOTAL POR EMPREGADO</t>
  </si>
  <si>
    <t>PREÇO TOTAL DO POSTO</t>
  </si>
  <si>
    <t>Quadro Resumo - VALOR MENSAL DOS SERVIÇOS</t>
  </si>
  <si>
    <t>Tipo de Serviço (A)</t>
  </si>
  <si>
    <t>Valor Por Empregado(B)</t>
  </si>
  <si>
    <t>Qde de Empregados por posto ( C )</t>
  </si>
  <si>
    <t>Valor Proposto por Posto (D) = (B x C)</t>
  </si>
  <si>
    <t>Qde Postos (E)</t>
  </si>
  <si>
    <t>Serviço 1 (indicar)</t>
  </si>
  <si>
    <t>R$</t>
  </si>
  <si>
    <t>Serviço 2 (indicar)</t>
  </si>
  <si>
    <t>Serviço 3 (indicar)</t>
  </si>
  <si>
    <t>Serviço ... (indicar)</t>
  </si>
  <si>
    <t>VALOR MENSAL DOS SERVIÇOS (I + II + III + ...)</t>
  </si>
  <si>
    <t>Anexo III-D</t>
  </si>
  <si>
    <t>Quadro Demonstrativo - VALOR GLOBAL DA PROPOSTA</t>
  </si>
  <si>
    <t>VALOR GLOBAL DA PROPOSTA</t>
  </si>
  <si>
    <t>Descrição</t>
  </si>
  <si>
    <t>Valor proposto por unidade de medida*</t>
  </si>
  <si>
    <t>Valor mensal do serviço</t>
  </si>
  <si>
    <t>Valor Global da Proposta (valor mensal do serviço X nº meses do contrato).</t>
  </si>
  <si>
    <t>TOTAL</t>
  </si>
  <si>
    <t>Nota(1):</t>
  </si>
  <si>
    <t>Informar o valor da unidade de medida por tipo de serviço.</t>
  </si>
  <si>
    <t>QUANTIDADE DE POSTOS</t>
  </si>
  <si>
    <t>VALOR MENSAL</t>
  </si>
  <si>
    <t>VALOR ANUAL</t>
  </si>
  <si>
    <t>Categoria profissional:  Vigilante Noturna DF</t>
  </si>
  <si>
    <t>Vigilante Noturna</t>
  </si>
  <si>
    <t>Vigilante Noturno</t>
  </si>
  <si>
    <t>Calculo do Adicional Noturno</t>
  </si>
  <si>
    <r>
      <t>Salário </t>
    </r>
    <r>
      <rPr>
        <b/>
        <sz val="9"/>
        <color rgb="FF353A3D"/>
        <rFont val="Segoe UI"/>
        <family val="2"/>
      </rPr>
      <t>R$ 3.371,85</t>
    </r>
  </si>
  <si>
    <r>
      <t>Horas trabalhadas por mês: </t>
    </r>
    <r>
      <rPr>
        <b/>
        <sz val="9"/>
        <color rgb="FF353A3D"/>
        <rFont val="Segoe UI"/>
        <family val="2"/>
      </rPr>
      <t>220</t>
    </r>
  </si>
  <si>
    <r>
      <t>Total de Horas Noturnas sem Hora Extra: </t>
    </r>
    <r>
      <rPr>
        <b/>
        <sz val="9"/>
        <color rgb="FF353A3D"/>
        <rFont val="Segoe UI"/>
        <family val="2"/>
      </rPr>
      <t>8h:00min</t>
    </r>
  </si>
  <si>
    <r>
      <t>Adicional Noturno foi definido por Acordo?: </t>
    </r>
    <r>
      <rPr>
        <b/>
        <sz val="9"/>
        <color rgb="FF353A3D"/>
        <rFont val="Segoe UI"/>
        <family val="2"/>
      </rPr>
      <t>Não</t>
    </r>
  </si>
  <si>
    <r>
      <t>Tem Hora Extra Noturna?: </t>
    </r>
    <r>
      <rPr>
        <b/>
        <sz val="9"/>
        <color rgb="FF353A3D"/>
        <rFont val="Segoe UI"/>
        <family val="2"/>
      </rPr>
      <t>Não 00h:00min</t>
    </r>
  </si>
  <si>
    <t>RESULTADOS</t>
  </si>
  <si>
    <r>
      <t>TOTAL DO MÓDULO 1.1 (</t>
    </r>
    <r>
      <rPr>
        <b/>
        <sz val="9"/>
        <rFont val="Calibri"/>
        <family val="2"/>
        <scheme val="minor"/>
      </rPr>
      <t>verbas de natureza salarial nas quais incidem INSS + FGTS + Férias + 13º, etc)</t>
    </r>
  </si>
  <si>
    <r>
      <t>Valor da hora de trabalho: </t>
    </r>
    <r>
      <rPr>
        <b/>
        <sz val="9"/>
        <color rgb="FF353A3D"/>
        <rFont val="Segoe UI"/>
        <family val="2"/>
      </rPr>
      <t>R$ 15,33</t>
    </r>
  </si>
  <si>
    <t>Prêmio Trabalho Noturno</t>
  </si>
  <si>
    <r>
      <t>Valor do adicional noturno sem hora extra: </t>
    </r>
    <r>
      <rPr>
        <sz val="9"/>
        <color rgb="FF353A3D"/>
        <rFont val="Segoe UI"/>
        <family val="2"/>
      </rPr>
      <t>20% de R$ 15,33 = </t>
    </r>
    <r>
      <rPr>
        <b/>
        <sz val="9"/>
        <color rgb="FF353A3D"/>
        <rFont val="Segoe UI"/>
        <family val="2"/>
      </rPr>
      <t>R$</t>
    </r>
    <r>
      <rPr>
        <sz val="9"/>
        <color rgb="FF353A3D"/>
        <rFont val="Segoe UI"/>
        <family val="2"/>
      </rPr>
      <t> </t>
    </r>
    <r>
      <rPr>
        <b/>
        <sz val="9"/>
        <color rgb="FF353A3D"/>
        <rFont val="Segoe UI"/>
        <family val="2"/>
      </rPr>
      <t>3,07</t>
    </r>
  </si>
  <si>
    <r>
      <t>Valor a receber do adicional sem hora extra: </t>
    </r>
    <r>
      <rPr>
        <sz val="9"/>
        <color rgb="FF353A3D"/>
        <rFont val="Segoe UI"/>
        <family val="2"/>
      </rPr>
      <t>8h:0min ( 9.143 ) x R$ 3,07 = </t>
    </r>
    <r>
      <rPr>
        <b/>
        <sz val="9"/>
        <color rgb="FF353A3D"/>
        <rFont val="Segoe UI"/>
        <family val="2"/>
      </rPr>
      <t>R$28,03</t>
    </r>
  </si>
  <si>
    <r>
      <t>Valor do adicional com hora extra: </t>
    </r>
    <r>
      <rPr>
        <sz val="9"/>
        <color rgb="FF353A3D"/>
        <rFont val="Segoe UI"/>
        <family val="2"/>
      </rPr>
      <t>Não há adicional noturno com hora extra</t>
    </r>
  </si>
  <si>
    <r>
      <t>Valor a receber do adicional com hora extra: </t>
    </r>
    <r>
      <rPr>
        <sz val="9"/>
        <color rgb="FF353A3D"/>
        <rFont val="Segoe UI"/>
        <family val="2"/>
      </rPr>
      <t>Não há adicional noturno com hora extra</t>
    </r>
  </si>
  <si>
    <r>
      <t>TOTAL RECEBER: </t>
    </r>
    <r>
      <rPr>
        <sz val="9"/>
        <color rgb="FF353A3D"/>
        <rFont val="Segoe UI"/>
        <family val="2"/>
      </rPr>
      <t>R$ 28,03 + R$ 0,00 = </t>
    </r>
    <r>
      <rPr>
        <b/>
        <sz val="9"/>
        <color rgb="FF353A3D"/>
        <rFont val="Segoe UI"/>
        <family val="2"/>
      </rPr>
      <t>R$</t>
    </r>
    <r>
      <rPr>
        <sz val="9"/>
        <color rgb="FF353A3D"/>
        <rFont val="Segoe UI"/>
        <family val="2"/>
      </rPr>
      <t> </t>
    </r>
    <r>
      <rPr>
        <b/>
        <sz val="9"/>
        <color rgb="FF353A3D"/>
        <rFont val="Segoe UI"/>
        <family val="2"/>
      </rPr>
      <t>28,03</t>
    </r>
  </si>
  <si>
    <t>Outros (especificar) odontologico + Aux Funeral</t>
  </si>
  <si>
    <t>PREÇO TOTAL POR POSTO</t>
  </si>
  <si>
    <t>ITEM</t>
  </si>
  <si>
    <r>
      <t xml:space="preserve">UNIFORMES ANUAL POR EMPREGADO - </t>
    </r>
    <r>
      <rPr>
        <b/>
        <sz val="12"/>
        <color rgb="FFFF0000"/>
        <rFont val="Calibri"/>
        <family val="2"/>
        <scheme val="minor"/>
      </rPr>
      <t>POSTO DIURNO</t>
    </r>
  </si>
  <si>
    <t>QTD. ANUAL</t>
  </si>
  <si>
    <t>VALOR UNITÁRIO</t>
  </si>
  <si>
    <t>Calça cor usual da empresa em material de alta resistência.</t>
  </si>
  <si>
    <t>Camisa de mangas longas com bolso frontal na cor usual da empresa, com emblema da empresa contratada. </t>
  </si>
  <si>
    <t>Camisa de mangas curtas com bolso frontal na cor branca ou usual da empresa, com emblema da empresa contratada. </t>
  </si>
  <si>
    <t>Boné de segurança bordado com emblema da empresa contratada. </t>
  </si>
  <si>
    <t>Cinto de lona tipo NA com ajuste de velcro. Fivela com trava de engate. Passantes de Nylon. </t>
  </si>
  <si>
    <t>Japona cor preta com emblema da empresa contratada.</t>
  </si>
  <si>
    <t>Par de meia de cor branca 100% algodão cano longo. </t>
  </si>
  <si>
    <t>Capa de chuva com capuz</t>
  </si>
  <si>
    <t>Coturno confeccionado em lona. Cano em lona impermeável, solado e salto em uma única peça em Borracha, com desenho antiderrapante tratorado. </t>
  </si>
  <si>
    <t>CUSTO MENSAL POR EMPREGADO</t>
  </si>
  <si>
    <r>
      <t xml:space="preserve">UNIFORMES ANUAL POR EMPREGADO - </t>
    </r>
    <r>
      <rPr>
        <b/>
        <sz val="12"/>
        <color rgb="FFFF0000"/>
        <rFont val="Calibri"/>
        <family val="2"/>
        <scheme val="minor"/>
      </rPr>
      <t>POSTO NOTURNO</t>
    </r>
  </si>
  <si>
    <r>
      <t xml:space="preserve">MATERIAIS - </t>
    </r>
    <r>
      <rPr>
        <b/>
        <sz val="12"/>
        <color rgb="FFFF0000"/>
        <rFont val="Calibri"/>
        <family val="2"/>
        <scheme val="minor"/>
      </rPr>
      <t>POSTO DIURNO</t>
    </r>
  </si>
  <si>
    <t>Crachá</t>
  </si>
  <si>
    <t>Munição calibre 38</t>
  </si>
  <si>
    <t>Tonfa</t>
  </si>
  <si>
    <t>Apito com cordão</t>
  </si>
  <si>
    <t>Livro de ocorrência (manual ou informatizado)</t>
  </si>
  <si>
    <t>Cinto tático com coldre, baleiro e PR24</t>
  </si>
  <si>
    <t>caneta esferográfica</t>
  </si>
  <si>
    <t>Par de algemas</t>
  </si>
  <si>
    <r>
      <t xml:space="preserve">MATERIAIS - </t>
    </r>
    <r>
      <rPr>
        <b/>
        <sz val="12"/>
        <color rgb="FFFF0000"/>
        <rFont val="Calibri"/>
        <family val="2"/>
        <scheme val="minor"/>
      </rPr>
      <t>POSTO NOTURNO</t>
    </r>
  </si>
  <si>
    <t>Lanterna elétrica de LED com alta luminosidade</t>
  </si>
  <si>
    <t>Baterias Sobressalentes</t>
  </si>
  <si>
    <t>Caneta esferográfica</t>
  </si>
  <si>
    <t>EQUIPAMENTO DEPRECIAÇÃO 10% a.a.</t>
  </si>
  <si>
    <t>Revolver calibre 38 (seis tiros) ou armamento superior de uso permitido</t>
  </si>
  <si>
    <t>DEPRECIAÇÃO 10% a.a.</t>
  </si>
  <si>
    <t>EQUIPAMENTO DEPRECIAÇÃO 20% a.a.</t>
  </si>
  <si>
    <t>Capa colete balístico nível II-A com placa balística</t>
  </si>
  <si>
    <t>DEPRECIAÇÃO 20% a.a.</t>
  </si>
  <si>
    <t>EQUIPAMENTO DEPRECIAÇÃO 50% a.a.</t>
  </si>
  <si>
    <t>Rádio comunicador com baterias recarregáveis e alcance mínimo de 6km.</t>
  </si>
  <si>
    <t>PREÇO MÉDIO DE 1 PAR (R$ 588,55) / 2 = 294,27</t>
  </si>
  <si>
    <t>DEPRECIAÇÃO 50% a.a.</t>
  </si>
  <si>
    <t>TOTAL MENSAL DOS EQUIPAMENTOS POR EMPREGADO DIURNO</t>
  </si>
  <si>
    <t>TOTAL MENSAL DOS EQUIPAMENTOS POR EMPREGADO NOTURNO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</si>
</sst>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0.000%"/>
    <numFmt numFmtId="166" formatCode="0.0000%"/>
    <numFmt numFmtId="167" formatCode="_-&quot;R$&quot;* #,##0.00_-;\-&quot;R$&quot;* #,##0.00_-;_-&quot;R$&quot;* &quot;-&quot;??_-;_-@_-"/>
    <numFmt numFmtId="168" formatCode="&quot;R$&quot;\ #,##0.00"/>
    <numFmt numFmtId="169" formatCode="_-[$R$-416]\ * #,##0.00_-;\-[$R$-416]\ * #,##0.00_-;_-[$R$-416]\ * &quot;-&quot;??_-;_-@_-"/>
  </numFmts>
  <fonts count="3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sz val="12"/>
      <color rgb="FF000000"/>
      <name val="Calibri"/>
      <family val="2"/>
    </font>
    <font>
      <b/>
      <u/>
      <sz val="8"/>
      <name val="Arial"/>
      <family val="2"/>
    </font>
    <font>
      <u/>
      <sz val="8"/>
      <name val="Arial"/>
      <family val="2"/>
    </font>
    <font>
      <sz val="14"/>
      <color rgb="FF000000"/>
      <name val="Arial"/>
      <family val="2"/>
    </font>
    <font>
      <sz val="16"/>
      <color rgb="FF000000"/>
      <name val="Arial"/>
      <family val="2"/>
    </font>
    <font>
      <sz val="14"/>
      <name val="Arial"/>
      <family val="2"/>
    </font>
    <font>
      <b/>
      <sz val="9"/>
      <color rgb="FF005955"/>
      <name val="Segoe UI"/>
      <family val="2"/>
    </font>
    <font>
      <b/>
      <sz val="9"/>
      <color rgb="FF353A3D"/>
      <name val="Segoe UI"/>
      <family val="2"/>
    </font>
    <font>
      <sz val="9"/>
      <color rgb="FF353A3D"/>
      <name val="Segoe UI"/>
      <family val="2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  <font>
      <b/>
      <sz val="12"/>
      <name val="Calibri"/>
      <family val="2"/>
      <scheme val="minor"/>
    </font>
    <font>
      <b/>
      <sz val="12"/>
      <name val="Arial"/>
      <family val="2"/>
    </font>
    <font>
      <sz val="12"/>
      <color indexed="1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theme="0"/>
      <name val="Calibri"/>
      <family val="2"/>
    </font>
    <font>
      <sz val="12"/>
      <color theme="4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12"/>
      <name val="Calibri"/>
      <family val="2"/>
    </font>
    <font>
      <b/>
      <sz val="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206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2" fillId="0" borderId="0" applyFill="0" applyBorder="0" applyAlignment="0" applyProtection="0"/>
    <xf numFmtId="9" fontId="2" fillId="0" borderId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201">
    <xf numFmtId="0" fontId="0" fillId="0" borderId="0" xfId="0"/>
    <xf numFmtId="10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2" fontId="0" fillId="0" borderId="0" xfId="0" applyNumberFormat="1"/>
    <xf numFmtId="164" fontId="3" fillId="0" borderId="0" xfId="1" applyFont="1"/>
    <xf numFmtId="0" fontId="3" fillId="0" borderId="0" xfId="0" applyFont="1"/>
    <xf numFmtId="43" fontId="0" fillId="0" borderId="0" xfId="0" applyNumberFormat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1" xfId="0" applyBorder="1"/>
    <xf numFmtId="0" fontId="5" fillId="0" borderId="0" xfId="0" applyFont="1"/>
    <xf numFmtId="164" fontId="5" fillId="0" borderId="0" xfId="1" applyFont="1"/>
    <xf numFmtId="0" fontId="1" fillId="0" borderId="0" xfId="3"/>
    <xf numFmtId="164" fontId="2" fillId="0" borderId="1" xfId="1" applyBorder="1"/>
    <xf numFmtId="4" fontId="0" fillId="0" borderId="0" xfId="0" applyNumberFormat="1"/>
    <xf numFmtId="4" fontId="0" fillId="0" borderId="0" xfId="0" applyNumberFormat="1" applyAlignment="1">
      <alignment horizontal="left"/>
    </xf>
    <xf numFmtId="4" fontId="3" fillId="0" borderId="0" xfId="0" applyNumberFormat="1" applyFont="1"/>
    <xf numFmtId="0" fontId="0" fillId="0" borderId="0" xfId="0" applyAlignment="1">
      <alignment horizontal="center"/>
    </xf>
    <xf numFmtId="0" fontId="0" fillId="0" borderId="4" xfId="0" applyBorder="1"/>
    <xf numFmtId="0" fontId="0" fillId="0" borderId="23" xfId="0" applyBorder="1"/>
    <xf numFmtId="0" fontId="3" fillId="0" borderId="2" xfId="0" applyFont="1" applyBorder="1" applyAlignment="1">
      <alignment horizontal="center" wrapText="1"/>
    </xf>
    <xf numFmtId="0" fontId="3" fillId="0" borderId="22" xfId="0" applyFont="1" applyBorder="1" applyAlignment="1">
      <alignment horizontal="center"/>
    </xf>
    <xf numFmtId="0" fontId="3" fillId="0" borderId="2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4" fontId="0" fillId="0" borderId="5" xfId="0" applyNumberFormat="1" applyBorder="1"/>
    <xf numFmtId="9" fontId="0" fillId="0" borderId="23" xfId="0" applyNumberFormat="1" applyBorder="1"/>
    <xf numFmtId="4" fontId="0" fillId="0" borderId="23" xfId="0" applyNumberFormat="1" applyBorder="1"/>
    <xf numFmtId="0" fontId="3" fillId="0" borderId="0" xfId="0" applyFont="1" applyAlignment="1">
      <alignment horizontal="center" wrapText="1"/>
    </xf>
    <xf numFmtId="16" fontId="0" fillId="0" borderId="0" xfId="0" applyNumberFormat="1"/>
    <xf numFmtId="0" fontId="9" fillId="0" borderId="0" xfId="0" applyFont="1" applyAlignment="1">
      <alignment horizontal="left" vertical="center" readingOrder="1"/>
    </xf>
    <xf numFmtId="0" fontId="10" fillId="0" borderId="0" xfId="0" applyFont="1" applyAlignment="1">
      <alignment horizontal="left" vertical="center" readingOrder="1"/>
    </xf>
    <xf numFmtId="0" fontId="9" fillId="0" borderId="0" xfId="0" applyFont="1"/>
    <xf numFmtId="4" fontId="11" fillId="0" borderId="0" xfId="0" applyNumberFormat="1" applyFont="1"/>
    <xf numFmtId="0" fontId="11" fillId="0" borderId="0" xfId="0" applyFont="1"/>
    <xf numFmtId="0" fontId="12" fillId="0" borderId="25" xfId="0" applyFont="1" applyBorder="1"/>
    <xf numFmtId="0" fontId="0" fillId="0" borderId="25" xfId="0" applyBorder="1"/>
    <xf numFmtId="0" fontId="3" fillId="0" borderId="1" xfId="0" applyFont="1" applyBorder="1"/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6" fillId="0" borderId="0" xfId="0" applyFont="1"/>
    <xf numFmtId="164" fontId="2" fillId="0" borderId="1" xfId="1" applyBorder="1" applyAlignment="1">
      <alignment horizontal="center"/>
    </xf>
    <xf numFmtId="167" fontId="16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164" fontId="16" fillId="0" borderId="1" xfId="1" applyFont="1" applyBorder="1" applyAlignment="1">
      <alignment horizontal="center" vertical="center"/>
    </xf>
    <xf numFmtId="164" fontId="16" fillId="0" borderId="1" xfId="1" applyFont="1" applyFill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164" fontId="2" fillId="0" borderId="1" xfId="1" applyBorder="1" applyAlignment="1">
      <alignment horizontal="center" vertical="center"/>
    </xf>
    <xf numFmtId="0" fontId="20" fillId="3" borderId="0" xfId="0" applyFont="1" applyFill="1" applyAlignment="1">
      <alignment vertical="center"/>
    </xf>
    <xf numFmtId="0" fontId="20" fillId="3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3" borderId="11" xfId="0" applyFont="1" applyFill="1" applyBorder="1" applyAlignment="1">
      <alignment vertical="center"/>
    </xf>
    <xf numFmtId="0" fontId="19" fillId="3" borderId="8" xfId="0" applyFont="1" applyFill="1" applyBorder="1" applyAlignment="1">
      <alignment vertical="center"/>
    </xf>
    <xf numFmtId="0" fontId="20" fillId="3" borderId="26" xfId="0" applyFont="1" applyFill="1" applyBorder="1" applyAlignment="1">
      <alignment horizontal="center" vertical="center" wrapText="1"/>
    </xf>
    <xf numFmtId="0" fontId="20" fillId="3" borderId="0" xfId="0" applyFont="1" applyFill="1"/>
    <xf numFmtId="0" fontId="20" fillId="3" borderId="11" xfId="0" applyFont="1" applyFill="1" applyBorder="1" applyAlignment="1">
      <alignment vertical="center" wrapText="1"/>
    </xf>
    <xf numFmtId="168" fontId="19" fillId="3" borderId="26" xfId="0" applyNumberFormat="1" applyFont="1" applyFill="1" applyBorder="1" applyAlignment="1">
      <alignment horizontal="center" vertical="center"/>
    </xf>
    <xf numFmtId="0" fontId="19" fillId="4" borderId="0" xfId="0" applyFont="1" applyFill="1" applyAlignment="1">
      <alignment horizontal="left" vertical="center"/>
    </xf>
    <xf numFmtId="0" fontId="19" fillId="3" borderId="0" xfId="0" applyFont="1" applyFill="1" applyAlignment="1">
      <alignment vertical="center"/>
    </xf>
    <xf numFmtId="0" fontId="19" fillId="5" borderId="0" xfId="0" applyFont="1" applyFill="1" applyAlignment="1">
      <alignment horizontal="left" vertical="center"/>
    </xf>
    <xf numFmtId="0" fontId="20" fillId="3" borderId="26" xfId="0" applyFont="1" applyFill="1" applyBorder="1" applyAlignment="1">
      <alignment vertical="center" wrapText="1"/>
    </xf>
    <xf numFmtId="10" fontId="19" fillId="3" borderId="26" xfId="2" applyNumberFormat="1" applyFont="1" applyFill="1" applyBorder="1" applyAlignment="1">
      <alignment horizontal="center" vertical="center"/>
    </xf>
    <xf numFmtId="0" fontId="20" fillId="3" borderId="29" xfId="0" applyFont="1" applyFill="1" applyBorder="1" applyAlignment="1">
      <alignment horizontal="center" vertical="center" wrapText="1"/>
    </xf>
    <xf numFmtId="0" fontId="20" fillId="3" borderId="30" xfId="0" applyFont="1" applyFill="1" applyBorder="1" applyAlignment="1">
      <alignment vertical="center" wrapText="1"/>
    </xf>
    <xf numFmtId="0" fontId="19" fillId="4" borderId="0" xfId="0" applyFont="1" applyFill="1" applyAlignment="1">
      <alignment vertical="center"/>
    </xf>
    <xf numFmtId="168" fontId="19" fillId="3" borderId="26" xfId="2" applyNumberFormat="1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14" fontId="23" fillId="0" borderId="1" xfId="0" applyNumberFormat="1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4" fontId="23" fillId="0" borderId="1" xfId="0" applyNumberFormat="1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5" fillId="0" borderId="1" xfId="0" applyFont="1" applyBorder="1" applyAlignment="1">
      <alignment horizontal="center"/>
    </xf>
    <xf numFmtId="10" fontId="23" fillId="0" borderId="1" xfId="0" applyNumberFormat="1" applyFont="1" applyBorder="1"/>
    <xf numFmtId="4" fontId="23" fillId="0" borderId="1" xfId="0" applyNumberFormat="1" applyFont="1" applyBorder="1"/>
    <xf numFmtId="10" fontId="23" fillId="0" borderId="1" xfId="2" applyNumberFormat="1" applyFont="1" applyBorder="1" applyAlignment="1">
      <alignment horizontal="right"/>
    </xf>
    <xf numFmtId="2" fontId="23" fillId="0" borderId="1" xfId="0" applyNumberFormat="1" applyFont="1" applyBorder="1"/>
    <xf numFmtId="10" fontId="23" fillId="0" borderId="1" xfId="2" applyNumberFormat="1" applyFont="1" applyFill="1" applyBorder="1" applyAlignment="1">
      <alignment horizontal="right"/>
    </xf>
    <xf numFmtId="4" fontId="25" fillId="0" borderId="1" xfId="0" applyNumberFormat="1" applyFont="1" applyBorder="1"/>
    <xf numFmtId="0" fontId="26" fillId="0" borderId="0" xfId="0" applyFont="1" applyAlignment="1">
      <alignment horizontal="center"/>
    </xf>
    <xf numFmtId="2" fontId="26" fillId="0" borderId="0" xfId="0" applyNumberFormat="1" applyFont="1"/>
    <xf numFmtId="10" fontId="23" fillId="0" borderId="1" xfId="0" applyNumberFormat="1" applyFont="1" applyBorder="1" applyAlignment="1">
      <alignment horizontal="center"/>
    </xf>
    <xf numFmtId="10" fontId="23" fillId="3" borderId="1" xfId="0" applyNumberFormat="1" applyFont="1" applyFill="1" applyBorder="1" applyAlignment="1">
      <alignment horizontal="center"/>
    </xf>
    <xf numFmtId="10" fontId="25" fillId="0" borderId="1" xfId="0" applyNumberFormat="1" applyFont="1" applyBorder="1" applyAlignment="1">
      <alignment horizontal="center"/>
    </xf>
    <xf numFmtId="2" fontId="25" fillId="0" borderId="1" xfId="0" applyNumberFormat="1" applyFont="1" applyBorder="1"/>
    <xf numFmtId="10" fontId="23" fillId="0" borderId="1" xfId="0" applyNumberFormat="1" applyFont="1" applyBorder="1" applyAlignment="1">
      <alignment horizontal="right"/>
    </xf>
    <xf numFmtId="10" fontId="25" fillId="0" borderId="1" xfId="0" applyNumberFormat="1" applyFont="1" applyBorder="1" applyAlignment="1">
      <alignment horizontal="right"/>
    </xf>
    <xf numFmtId="0" fontId="25" fillId="2" borderId="1" xfId="0" applyFont="1" applyFill="1" applyBorder="1" applyAlignment="1">
      <alignment horizontal="center"/>
    </xf>
    <xf numFmtId="0" fontId="23" fillId="0" borderId="1" xfId="0" applyFont="1" applyBorder="1"/>
    <xf numFmtId="2" fontId="23" fillId="0" borderId="1" xfId="0" applyNumberFormat="1" applyFont="1" applyBorder="1" applyAlignment="1">
      <alignment horizontal="right"/>
    </xf>
    <xf numFmtId="166" fontId="23" fillId="0" borderId="1" xfId="0" applyNumberFormat="1" applyFont="1" applyBorder="1" applyAlignment="1">
      <alignment horizontal="center"/>
    </xf>
    <xf numFmtId="165" fontId="23" fillId="0" borderId="1" xfId="0" applyNumberFormat="1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10" fontId="23" fillId="0" borderId="1" xfId="2" applyNumberFormat="1" applyFont="1" applyBorder="1" applyAlignment="1"/>
    <xf numFmtId="0" fontId="23" fillId="0" borderId="0" xfId="0" applyFont="1" applyAlignment="1">
      <alignment horizontal="left"/>
    </xf>
    <xf numFmtId="0" fontId="23" fillId="0" borderId="0" xfId="0" applyFont="1"/>
    <xf numFmtId="2" fontId="23" fillId="0" borderId="0" xfId="0" applyNumberFormat="1" applyFont="1"/>
    <xf numFmtId="0" fontId="25" fillId="0" borderId="1" xfId="0" applyFont="1" applyBorder="1" applyAlignment="1">
      <alignment horizontal="center" wrapText="1"/>
    </xf>
    <xf numFmtId="0" fontId="25" fillId="0" borderId="1" xfId="0" applyFont="1" applyBorder="1"/>
    <xf numFmtId="0" fontId="25" fillId="0" borderId="1" xfId="0" applyFont="1" applyBorder="1" applyAlignment="1">
      <alignment horizontal="right"/>
    </xf>
    <xf numFmtId="2" fontId="25" fillId="0" borderId="0" xfId="0" applyNumberFormat="1" applyFont="1"/>
    <xf numFmtId="0" fontId="19" fillId="4" borderId="1" xfId="0" applyFont="1" applyFill="1" applyBorder="1" applyAlignment="1">
      <alignment horizontal="center" vertical="center"/>
    </xf>
    <xf numFmtId="164" fontId="30" fillId="7" borderId="1" xfId="1" applyFont="1" applyFill="1" applyBorder="1"/>
    <xf numFmtId="164" fontId="2" fillId="0" borderId="1" xfId="1" applyBorder="1" applyAlignment="1">
      <alignment vertical="center"/>
    </xf>
    <xf numFmtId="0" fontId="15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wrapText="1"/>
    </xf>
    <xf numFmtId="0" fontId="23" fillId="0" borderId="1" xfId="0" applyFont="1" applyBorder="1" applyAlignment="1">
      <alignment horizontal="left" vertical="center" wrapText="1"/>
    </xf>
    <xf numFmtId="168" fontId="19" fillId="3" borderId="26" xfId="1" applyNumberFormat="1" applyFont="1" applyFill="1" applyBorder="1" applyAlignment="1">
      <alignment horizontal="center" vertical="center" wrapText="1"/>
    </xf>
    <xf numFmtId="0" fontId="31" fillId="3" borderId="0" xfId="0" applyFont="1" applyFill="1" applyAlignment="1">
      <alignment horizontal="center" vertical="center"/>
    </xf>
    <xf numFmtId="0" fontId="31" fillId="3" borderId="26" xfId="0" applyFont="1" applyFill="1" applyBorder="1" applyAlignment="1">
      <alignment horizontal="center" vertical="center"/>
    </xf>
    <xf numFmtId="14" fontId="31" fillId="3" borderId="26" xfId="0" applyNumberFormat="1" applyFont="1" applyFill="1" applyBorder="1" applyAlignment="1">
      <alignment horizontal="center" vertical="center"/>
    </xf>
    <xf numFmtId="0" fontId="31" fillId="3" borderId="0" xfId="0" applyFont="1" applyFill="1"/>
    <xf numFmtId="168" fontId="31" fillId="3" borderId="26" xfId="1" applyNumberFormat="1" applyFont="1" applyFill="1" applyBorder="1" applyAlignment="1">
      <alignment horizontal="center" vertical="center" wrapText="1"/>
    </xf>
    <xf numFmtId="168" fontId="31" fillId="3" borderId="26" xfId="0" applyNumberFormat="1" applyFont="1" applyFill="1" applyBorder="1" applyAlignment="1">
      <alignment horizontal="center" vertical="center"/>
    </xf>
    <xf numFmtId="10" fontId="31" fillId="3" borderId="26" xfId="2" applyNumberFormat="1" applyFont="1" applyFill="1" applyBorder="1" applyAlignment="1">
      <alignment horizontal="center" vertical="center" wrapText="1"/>
    </xf>
    <xf numFmtId="10" fontId="31" fillId="3" borderId="26" xfId="2" applyNumberFormat="1" applyFont="1" applyFill="1" applyBorder="1" applyAlignment="1">
      <alignment horizontal="center" vertical="center"/>
    </xf>
    <xf numFmtId="0" fontId="32" fillId="4" borderId="0" xfId="0" applyFont="1" applyFill="1" applyAlignment="1">
      <alignment vertical="center"/>
    </xf>
    <xf numFmtId="169" fontId="32" fillId="3" borderId="26" xfId="0" applyNumberFormat="1" applyFont="1" applyFill="1" applyBorder="1" applyAlignment="1">
      <alignment horizontal="center" vertical="center" wrapText="1"/>
    </xf>
    <xf numFmtId="168" fontId="32" fillId="3" borderId="26" xfId="0" applyNumberFormat="1" applyFont="1" applyFill="1" applyBorder="1" applyAlignment="1">
      <alignment horizontal="center" vertical="center" wrapText="1"/>
    </xf>
    <xf numFmtId="0" fontId="31" fillId="3" borderId="26" xfId="0" applyFont="1" applyFill="1" applyBorder="1" applyAlignment="1">
      <alignment horizontal="center" vertical="center" wrapText="1"/>
    </xf>
    <xf numFmtId="0" fontId="21" fillId="3" borderId="13" xfId="0" applyFont="1" applyFill="1" applyBorder="1" applyAlignment="1">
      <alignment horizontal="left" vertical="center"/>
    </xf>
    <xf numFmtId="168" fontId="25" fillId="3" borderId="26" xfId="1" applyNumberFormat="1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justify" vertical="center"/>
    </xf>
    <xf numFmtId="0" fontId="33" fillId="0" borderId="1" xfId="0" applyFont="1" applyBorder="1"/>
    <xf numFmtId="0" fontId="33" fillId="0" borderId="1" xfId="0" applyFont="1" applyBorder="1" applyAlignment="1">
      <alignment vertical="center" wrapText="1"/>
    </xf>
    <xf numFmtId="0" fontId="33" fillId="0" borderId="6" xfId="0" applyFont="1" applyBorder="1" applyAlignment="1">
      <alignment horizontal="justify" vertical="center"/>
    </xf>
    <xf numFmtId="0" fontId="12" fillId="0" borderId="25" xfId="0" applyFont="1" applyBorder="1" applyAlignment="1">
      <alignment vertical="center" wrapText="1"/>
    </xf>
    <xf numFmtId="0" fontId="12" fillId="0" borderId="6" xfId="0" applyFont="1" applyBorder="1"/>
    <xf numFmtId="0" fontId="19" fillId="5" borderId="0" xfId="0" applyFont="1" applyFill="1" applyAlignment="1">
      <alignment horizontal="left" vertical="center"/>
    </xf>
    <xf numFmtId="0" fontId="28" fillId="6" borderId="0" xfId="0" applyFont="1" applyFill="1" applyAlignment="1">
      <alignment horizontal="center" vertical="center"/>
    </xf>
    <xf numFmtId="0" fontId="19" fillId="3" borderId="27" xfId="0" applyFont="1" applyFill="1" applyBorder="1" applyAlignment="1">
      <alignment horizontal="center" vertical="center"/>
    </xf>
    <xf numFmtId="0" fontId="19" fillId="3" borderId="28" xfId="0" applyFont="1" applyFill="1" applyBorder="1" applyAlignment="1">
      <alignment horizontal="center" vertical="center"/>
    </xf>
    <xf numFmtId="0" fontId="19" fillId="3" borderId="29" xfId="0" applyFont="1" applyFill="1" applyBorder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left" vertical="center"/>
    </xf>
    <xf numFmtId="0" fontId="20" fillId="3" borderId="27" xfId="0" applyFont="1" applyFill="1" applyBorder="1" applyAlignment="1">
      <alignment horizontal="center" vertical="center" wrapText="1"/>
    </xf>
    <xf numFmtId="0" fontId="20" fillId="3" borderId="29" xfId="0" applyFont="1" applyFill="1" applyBorder="1" applyAlignment="1">
      <alignment horizontal="center" vertical="center" wrapText="1"/>
    </xf>
    <xf numFmtId="0" fontId="25" fillId="3" borderId="26" xfId="0" applyFont="1" applyFill="1" applyBorder="1" applyAlignment="1">
      <alignment horizontal="left" vertical="center" wrapText="1"/>
    </xf>
    <xf numFmtId="0" fontId="20" fillId="3" borderId="13" xfId="0" applyFont="1" applyFill="1" applyBorder="1" applyAlignment="1">
      <alignment horizontal="center" vertical="center"/>
    </xf>
    <xf numFmtId="0" fontId="20" fillId="3" borderId="14" xfId="0" applyFont="1" applyFill="1" applyBorder="1" applyAlignment="1">
      <alignment horizontal="center" vertical="center"/>
    </xf>
    <xf numFmtId="14" fontId="6" fillId="3" borderId="13" xfId="0" applyNumberFormat="1" applyFont="1" applyFill="1" applyBorder="1" applyAlignment="1">
      <alignment horizontal="center" vertical="center"/>
    </xf>
    <xf numFmtId="0" fontId="19" fillId="3" borderId="14" xfId="0" applyFont="1" applyFill="1" applyBorder="1" applyAlignment="1">
      <alignment horizontal="center" vertical="center"/>
    </xf>
    <xf numFmtId="0" fontId="20" fillId="3" borderId="26" xfId="0" applyFont="1" applyFill="1" applyBorder="1" applyAlignment="1">
      <alignment horizontal="left" vertical="center" wrapText="1"/>
    </xf>
    <xf numFmtId="0" fontId="22" fillId="6" borderId="0" xfId="0" applyFont="1" applyFill="1" applyAlignment="1">
      <alignment horizontal="center" vertical="center"/>
    </xf>
    <xf numFmtId="0" fontId="23" fillId="0" borderId="13" xfId="0" applyFont="1" applyBorder="1" applyAlignment="1">
      <alignment horizontal="left"/>
    </xf>
    <xf numFmtId="0" fontId="23" fillId="0" borderId="7" xfId="0" applyFont="1" applyBorder="1" applyAlignment="1">
      <alignment horizontal="left"/>
    </xf>
    <xf numFmtId="0" fontId="23" fillId="0" borderId="14" xfId="0" applyFont="1" applyBorder="1" applyAlignment="1">
      <alignment horizontal="left"/>
    </xf>
    <xf numFmtId="0" fontId="23" fillId="0" borderId="1" xfId="0" applyFont="1" applyBorder="1" applyAlignment="1">
      <alignment horizontal="left"/>
    </xf>
    <xf numFmtId="0" fontId="23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5" fillId="2" borderId="19" xfId="0" applyFont="1" applyFill="1" applyBorder="1" applyAlignment="1">
      <alignment horizontal="center"/>
    </xf>
    <xf numFmtId="0" fontId="25" fillId="2" borderId="0" xfId="0" applyFont="1" applyFill="1" applyAlignment="1">
      <alignment horizontal="center"/>
    </xf>
    <xf numFmtId="0" fontId="23" fillId="0" borderId="1" xfId="0" applyFont="1" applyBorder="1"/>
    <xf numFmtId="0" fontId="23" fillId="0" borderId="13" xfId="0" applyFont="1" applyBorder="1" applyAlignment="1">
      <alignment horizontal="left" wrapText="1"/>
    </xf>
    <xf numFmtId="0" fontId="23" fillId="0" borderId="7" xfId="0" applyFont="1" applyBorder="1" applyAlignment="1">
      <alignment horizontal="left" wrapText="1"/>
    </xf>
    <xf numFmtId="0" fontId="23" fillId="0" borderId="14" xfId="0" applyFont="1" applyBorder="1" applyAlignment="1">
      <alignment horizontal="left" wrapText="1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7" xfId="0" applyFont="1" applyBorder="1" applyAlignment="1">
      <alignment horizontal="center" wrapText="1"/>
    </xf>
    <xf numFmtId="0" fontId="3" fillId="0" borderId="24" xfId="0" applyFont="1" applyBorder="1" applyAlignment="1">
      <alignment horizontal="center" wrapText="1"/>
    </xf>
    <xf numFmtId="0" fontId="25" fillId="2" borderId="1" xfId="0" applyFont="1" applyFill="1" applyBorder="1" applyAlignment="1">
      <alignment horizontal="center"/>
    </xf>
    <xf numFmtId="0" fontId="25" fillId="2" borderId="13" xfId="0" applyFont="1" applyFill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5" fillId="2" borderId="20" xfId="0" applyFont="1" applyFill="1" applyBorder="1" applyAlignment="1">
      <alignment horizontal="center"/>
    </xf>
    <xf numFmtId="0" fontId="25" fillId="2" borderId="18" xfId="0" applyFont="1" applyFill="1" applyBorder="1" applyAlignment="1">
      <alignment horizontal="center"/>
    </xf>
    <xf numFmtId="4" fontId="0" fillId="0" borderId="16" xfId="0" applyNumberFormat="1" applyBorder="1" applyAlignment="1">
      <alignment horizontal="center"/>
    </xf>
    <xf numFmtId="4" fontId="0" fillId="0" borderId="9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25" fillId="0" borderId="13" xfId="0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3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left"/>
    </xf>
    <xf numFmtId="0" fontId="25" fillId="2" borderId="15" xfId="0" applyFont="1" applyFill="1" applyBorder="1" applyAlignment="1">
      <alignment horizontal="center"/>
    </xf>
    <xf numFmtId="0" fontId="25" fillId="2" borderId="7" xfId="0" applyFont="1" applyFill="1" applyBorder="1" applyAlignment="1">
      <alignment horizontal="center"/>
    </xf>
    <xf numFmtId="0" fontId="23" fillId="0" borderId="1" xfId="0" applyFont="1" applyBorder="1" applyAlignment="1">
      <alignment horizontal="left" vertical="center" wrapText="1"/>
    </xf>
    <xf numFmtId="0" fontId="25" fillId="2" borderId="21" xfId="0" applyFont="1" applyFill="1" applyBorder="1" applyAlignment="1">
      <alignment horizontal="center"/>
    </xf>
    <xf numFmtId="0" fontId="25" fillId="2" borderId="12" xfId="0" applyFont="1" applyFill="1" applyBorder="1" applyAlignment="1">
      <alignment horizontal="center"/>
    </xf>
    <xf numFmtId="0" fontId="25" fillId="0" borderId="13" xfId="0" applyFont="1" applyBorder="1" applyAlignment="1">
      <alignment horizontal="left"/>
    </xf>
    <xf numFmtId="0" fontId="25" fillId="0" borderId="7" xfId="0" applyFont="1" applyBorder="1" applyAlignment="1">
      <alignment horizontal="left"/>
    </xf>
    <xf numFmtId="0" fontId="25" fillId="0" borderId="14" xfId="0" applyFont="1" applyBorder="1" applyAlignment="1">
      <alignment horizontal="left"/>
    </xf>
    <xf numFmtId="0" fontId="23" fillId="0" borderId="0" xfId="0" applyFont="1" applyAlignment="1">
      <alignment horizontal="left"/>
    </xf>
    <xf numFmtId="0" fontId="25" fillId="0" borderId="1" xfId="0" applyFont="1" applyBorder="1" applyAlignment="1">
      <alignment horizontal="center" wrapText="1"/>
    </xf>
    <xf numFmtId="0" fontId="23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17" fillId="0" borderId="13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</cellXfs>
  <cellStyles count="5">
    <cellStyle name="Moeda" xfId="1" builtinId="4"/>
    <cellStyle name="Moeda 2" xfId="4" xr:uid="{00000000-0005-0000-0000-000001000000}"/>
    <cellStyle name="Normal" xfId="0" builtinId="0"/>
    <cellStyle name="Normal 2" xfId="3" xr:uid="{00000000-0005-0000-0000-000005000000}"/>
    <cellStyle name="Porcentagem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B7A57-9B6C-4913-B32A-E988FFAEA5B6}">
  <dimension ref="A1:R122"/>
  <sheetViews>
    <sheetView topLeftCell="A103" workbookViewId="0">
      <selection activeCell="D10" sqref="D10"/>
    </sheetView>
  </sheetViews>
  <sheetFormatPr defaultColWidth="9.1796875" defaultRowHeight="15.5" x14ac:dyDescent="0.25"/>
  <cols>
    <col min="1" max="1" width="9.1796875" style="48"/>
    <col min="2" max="2" width="48.1796875" style="48" customWidth="1"/>
    <col min="3" max="3" width="13.81640625" style="108" customWidth="1"/>
    <col min="4" max="4" width="14.1796875" style="108" customWidth="1"/>
    <col min="5" max="7" width="13.26953125" style="108" customWidth="1"/>
    <col min="8" max="8" width="18" style="108" customWidth="1"/>
    <col min="9" max="9" width="15.81640625" style="50" customWidth="1"/>
    <col min="10" max="10" width="15.1796875" style="50" customWidth="1"/>
    <col min="11" max="12" width="9.1796875" style="48" customWidth="1"/>
    <col min="13" max="13" width="9.1796875" style="48"/>
    <col min="14" max="14" width="9.1796875" style="48" customWidth="1"/>
    <col min="15" max="16384" width="9.1796875" style="48"/>
  </cols>
  <sheetData>
    <row r="1" spans="1:18" ht="18.5" x14ac:dyDescent="0.25">
      <c r="A1" s="129" t="s">
        <v>0</v>
      </c>
      <c r="B1" s="129"/>
      <c r="C1" s="129"/>
      <c r="D1" s="129"/>
      <c r="E1" s="129"/>
      <c r="F1" s="129"/>
      <c r="G1" s="129"/>
      <c r="H1" s="129"/>
      <c r="I1" s="129"/>
      <c r="J1" s="129"/>
    </row>
    <row r="2" spans="1:18" ht="16" thickBot="1" x14ac:dyDescent="0.3"/>
    <row r="3" spans="1:18" ht="16" thickBot="1" x14ac:dyDescent="0.3">
      <c r="A3" s="51" t="s">
        <v>1</v>
      </c>
      <c r="B3" s="52"/>
      <c r="C3" s="109" t="s">
        <v>2</v>
      </c>
      <c r="D3" s="109" t="s">
        <v>3</v>
      </c>
      <c r="E3" s="109" t="s">
        <v>4</v>
      </c>
      <c r="F3" s="109" t="s">
        <v>5</v>
      </c>
      <c r="G3" s="109" t="s">
        <v>6</v>
      </c>
      <c r="H3" s="119" t="s">
        <v>7</v>
      </c>
      <c r="I3" s="130" t="s">
        <v>8</v>
      </c>
      <c r="J3" s="130" t="s">
        <v>9</v>
      </c>
    </row>
    <row r="4" spans="1:18" ht="16" thickBot="1" x14ac:dyDescent="0.3">
      <c r="A4" s="51" t="s">
        <v>10</v>
      </c>
      <c r="B4" s="52"/>
      <c r="C4" s="109" t="s">
        <v>11</v>
      </c>
      <c r="D4" s="109" t="s">
        <v>12</v>
      </c>
      <c r="E4" s="109" t="s">
        <v>13</v>
      </c>
      <c r="F4" s="109" t="s">
        <v>14</v>
      </c>
      <c r="G4" s="109" t="s">
        <v>15</v>
      </c>
      <c r="H4" s="109" t="s">
        <v>16</v>
      </c>
      <c r="I4" s="131"/>
      <c r="J4" s="131"/>
    </row>
    <row r="5" spans="1:18" ht="16" thickBot="1" x14ac:dyDescent="0.3">
      <c r="A5" s="51" t="s">
        <v>17</v>
      </c>
      <c r="B5" s="52"/>
      <c r="C5" s="109">
        <v>154617</v>
      </c>
      <c r="D5" s="109">
        <v>373053</v>
      </c>
      <c r="E5" s="109">
        <v>130011</v>
      </c>
      <c r="F5" s="109">
        <v>135101</v>
      </c>
      <c r="G5" s="109">
        <v>155907</v>
      </c>
      <c r="H5" s="109" t="s">
        <v>18</v>
      </c>
      <c r="I5" s="131"/>
      <c r="J5" s="131"/>
    </row>
    <row r="6" spans="1:18" ht="16" thickBot="1" x14ac:dyDescent="0.3">
      <c r="A6" s="51" t="s">
        <v>19</v>
      </c>
      <c r="B6" s="52"/>
      <c r="C6" s="110">
        <v>44834</v>
      </c>
      <c r="D6" s="110">
        <v>44820</v>
      </c>
      <c r="E6" s="110">
        <v>44833</v>
      </c>
      <c r="F6" s="110">
        <v>44701</v>
      </c>
      <c r="G6" s="110">
        <v>44917</v>
      </c>
      <c r="H6" s="110">
        <v>45026</v>
      </c>
      <c r="I6" s="132"/>
      <c r="J6" s="132"/>
    </row>
    <row r="7" spans="1:18" x14ac:dyDescent="0.25">
      <c r="I7" s="49"/>
      <c r="J7" s="49"/>
      <c r="K7" s="49"/>
      <c r="L7" s="49"/>
      <c r="M7" s="49"/>
      <c r="N7" s="49"/>
      <c r="O7" s="49"/>
      <c r="P7" s="49"/>
      <c r="Q7" s="50"/>
      <c r="R7" s="50"/>
    </row>
    <row r="8" spans="1:18" s="54" customFormat="1" x14ac:dyDescent="0.35">
      <c r="A8" s="133" t="s">
        <v>20</v>
      </c>
      <c r="B8" s="133"/>
      <c r="C8" s="133"/>
      <c r="D8" s="133"/>
      <c r="E8" s="133"/>
      <c r="F8" s="133"/>
      <c r="G8" s="133"/>
      <c r="H8" s="133"/>
      <c r="I8" s="133"/>
      <c r="J8" s="133"/>
    </row>
    <row r="9" spans="1:18" s="54" customFormat="1" ht="16" thickBot="1" x14ac:dyDescent="0.4">
      <c r="C9" s="111"/>
      <c r="D9" s="111"/>
      <c r="E9" s="111"/>
      <c r="F9" s="111"/>
      <c r="G9" s="111"/>
      <c r="H9" s="111"/>
      <c r="K9" s="48"/>
      <c r="L9" s="48"/>
      <c r="M9" s="48"/>
      <c r="N9" s="48"/>
      <c r="O9" s="48"/>
      <c r="P9" s="48"/>
      <c r="Q9" s="48"/>
      <c r="R9" s="48"/>
    </row>
    <row r="10" spans="1:18" s="54" customFormat="1" ht="16" thickBot="1" x14ac:dyDescent="0.4">
      <c r="A10" s="53" t="s">
        <v>21</v>
      </c>
      <c r="B10" s="55" t="s">
        <v>22</v>
      </c>
      <c r="C10" s="112">
        <v>1374.81</v>
      </c>
      <c r="D10" s="112">
        <v>1374.81</v>
      </c>
      <c r="E10" s="112">
        <v>1374.81</v>
      </c>
      <c r="F10" s="112">
        <v>1374.81</v>
      </c>
      <c r="G10" s="112">
        <v>1374.81</v>
      </c>
      <c r="H10" s="112">
        <v>1374.81</v>
      </c>
      <c r="I10" s="107">
        <v>1374.81</v>
      </c>
      <c r="J10" s="107">
        <v>1374.81</v>
      </c>
      <c r="K10" s="48"/>
      <c r="L10" s="48"/>
      <c r="M10" s="48"/>
      <c r="N10" s="48"/>
      <c r="O10" s="48"/>
      <c r="P10" s="48"/>
      <c r="Q10" s="48"/>
      <c r="R10" s="48"/>
    </row>
    <row r="11" spans="1:18" s="54" customFormat="1" ht="16" thickBot="1" x14ac:dyDescent="0.4">
      <c r="A11" s="53" t="s">
        <v>23</v>
      </c>
      <c r="B11" s="55" t="s">
        <v>24</v>
      </c>
      <c r="C11" s="112">
        <f t="shared" ref="C11" si="0">C10*0.3</f>
        <v>412.44299999999998</v>
      </c>
      <c r="D11" s="112">
        <f t="shared" ref="D11:J11" si="1">D10*0.3</f>
        <v>412.44299999999998</v>
      </c>
      <c r="E11" s="112">
        <f t="shared" si="1"/>
        <v>412.44299999999998</v>
      </c>
      <c r="F11" s="112">
        <f t="shared" si="1"/>
        <v>412.44299999999998</v>
      </c>
      <c r="G11" s="112">
        <f t="shared" si="1"/>
        <v>412.44299999999998</v>
      </c>
      <c r="H11" s="112">
        <f t="shared" si="1"/>
        <v>412.44299999999998</v>
      </c>
      <c r="I11" s="107">
        <f t="shared" si="1"/>
        <v>412.44299999999998</v>
      </c>
      <c r="J11" s="107">
        <f t="shared" si="1"/>
        <v>412.44299999999998</v>
      </c>
      <c r="K11" s="48"/>
      <c r="L11" s="48"/>
      <c r="M11" s="48"/>
      <c r="N11" s="48"/>
      <c r="O11" s="48"/>
      <c r="P11" s="48"/>
      <c r="Q11" s="48"/>
      <c r="R11" s="48"/>
    </row>
    <row r="13" spans="1:18" x14ac:dyDescent="0.25">
      <c r="A13" s="134" t="s">
        <v>25</v>
      </c>
      <c r="B13" s="134"/>
      <c r="C13" s="134"/>
      <c r="D13" s="134"/>
      <c r="E13" s="134"/>
      <c r="F13" s="134"/>
      <c r="G13" s="134"/>
      <c r="H13" s="134"/>
      <c r="I13" s="134"/>
      <c r="J13" s="134"/>
    </row>
    <row r="14" spans="1:18" x14ac:dyDescent="0.25">
      <c r="A14" s="58"/>
    </row>
    <row r="15" spans="1:18" x14ac:dyDescent="0.25">
      <c r="A15" s="128" t="s">
        <v>26</v>
      </c>
      <c r="B15" s="128"/>
      <c r="C15" s="128"/>
      <c r="D15" s="128"/>
      <c r="E15" s="128"/>
      <c r="F15" s="128"/>
      <c r="G15" s="128"/>
      <c r="H15" s="128"/>
      <c r="I15" s="128"/>
      <c r="J15" s="128"/>
    </row>
    <row r="16" spans="1:18" ht="16" thickBot="1" x14ac:dyDescent="0.3"/>
    <row r="17" spans="1:10" ht="31.5" thickBot="1" x14ac:dyDescent="0.3">
      <c r="A17" s="53" t="s">
        <v>21</v>
      </c>
      <c r="B17" s="60" t="s">
        <v>27</v>
      </c>
      <c r="C17" s="113">
        <v>139.18</v>
      </c>
      <c r="D17" s="113">
        <v>139.18</v>
      </c>
      <c r="E17" s="113">
        <v>139.18</v>
      </c>
      <c r="F17" s="113">
        <v>139.18</v>
      </c>
      <c r="G17" s="113">
        <v>139.18</v>
      </c>
      <c r="H17" s="113">
        <v>139.18</v>
      </c>
      <c r="I17" s="56">
        <v>139.18</v>
      </c>
      <c r="J17" s="56">
        <v>139.18</v>
      </c>
    </row>
    <row r="19" spans="1:10" x14ac:dyDescent="0.25">
      <c r="A19" s="134" t="s">
        <v>28</v>
      </c>
      <c r="B19" s="134"/>
      <c r="C19" s="134"/>
      <c r="D19" s="134"/>
      <c r="E19" s="134"/>
      <c r="F19" s="134"/>
      <c r="G19" s="134"/>
      <c r="H19" s="134"/>
      <c r="I19" s="134"/>
      <c r="J19" s="134"/>
    </row>
    <row r="21" spans="1:10" x14ac:dyDescent="0.25">
      <c r="A21" s="128" t="s">
        <v>29</v>
      </c>
      <c r="B21" s="128"/>
      <c r="C21" s="128"/>
      <c r="D21" s="128"/>
      <c r="E21" s="128"/>
      <c r="F21" s="128"/>
      <c r="G21" s="128"/>
      <c r="H21" s="128"/>
      <c r="I21" s="128"/>
      <c r="J21" s="128"/>
    </row>
    <row r="22" spans="1:10" ht="16" thickBot="1" x14ac:dyDescent="0.3"/>
    <row r="23" spans="1:10" ht="16" thickBot="1" x14ac:dyDescent="0.3">
      <c r="A23" s="53" t="s">
        <v>21</v>
      </c>
      <c r="B23" s="60" t="s">
        <v>30</v>
      </c>
      <c r="C23" s="114">
        <v>4.1999999999999997E-3</v>
      </c>
      <c r="D23" s="114">
        <v>4.1999999999999997E-3</v>
      </c>
      <c r="E23" s="115">
        <v>4.1999999999999997E-3</v>
      </c>
      <c r="F23" s="115">
        <v>9.4000000000000004E-3</v>
      </c>
      <c r="G23" s="115">
        <v>1E-4</v>
      </c>
      <c r="H23" s="115">
        <v>6.7000000000000002E-3</v>
      </c>
      <c r="I23" s="61">
        <f>AVERAGE(C23:H23)</f>
        <v>4.7999999999999996E-3</v>
      </c>
      <c r="J23" s="61">
        <f>MEDIAN(C23:H23)</f>
        <v>4.1999999999999997E-3</v>
      </c>
    </row>
    <row r="24" spans="1:10" ht="16" thickBot="1" x14ac:dyDescent="0.3">
      <c r="A24" s="53" t="s">
        <v>23</v>
      </c>
      <c r="B24" s="60" t="s">
        <v>31</v>
      </c>
      <c r="C24" s="115">
        <v>2.3999999999999998E-3</v>
      </c>
      <c r="D24" s="114">
        <v>1.9E-3</v>
      </c>
      <c r="E24" s="115">
        <v>0.02</v>
      </c>
      <c r="F24" s="115">
        <v>8.0000000000000004E-4</v>
      </c>
      <c r="G24" s="115">
        <v>8.0000000000000002E-3</v>
      </c>
      <c r="H24" s="115">
        <v>2.3999999999999998E-3</v>
      </c>
      <c r="I24" s="61">
        <f>AVERAGE(C24:H24)</f>
        <v>5.9166666666666673E-3</v>
      </c>
      <c r="J24" s="61">
        <f>MEDIAN(C24:H24)</f>
        <v>2.3999999999999998E-3</v>
      </c>
    </row>
    <row r="26" spans="1:10" x14ac:dyDescent="0.25">
      <c r="A26" s="128" t="s">
        <v>32</v>
      </c>
      <c r="B26" s="128"/>
      <c r="C26" s="128"/>
      <c r="D26" s="128"/>
      <c r="E26" s="128"/>
      <c r="F26" s="128"/>
      <c r="G26" s="128"/>
      <c r="H26" s="128"/>
      <c r="I26" s="128"/>
      <c r="J26" s="128"/>
    </row>
    <row r="27" spans="1:10" ht="16" thickBot="1" x14ac:dyDescent="0.3"/>
    <row r="28" spans="1:10" ht="16" thickBot="1" x14ac:dyDescent="0.3">
      <c r="A28" s="53" t="s">
        <v>21</v>
      </c>
      <c r="B28" s="60" t="s">
        <v>33</v>
      </c>
      <c r="C28" s="114">
        <v>1.9400000000000001E-2</v>
      </c>
      <c r="D28" s="114">
        <v>1.9400000000000001E-2</v>
      </c>
      <c r="E28" s="115">
        <v>1.9400000000000001E-2</v>
      </c>
      <c r="F28" s="115">
        <v>1.9400000000000001E-2</v>
      </c>
      <c r="G28" s="115">
        <v>1E-4</v>
      </c>
      <c r="H28" s="115">
        <v>1.77E-2</v>
      </c>
      <c r="I28" s="61">
        <f>AVERAGE(C28:H28)</f>
        <v>1.5900000000000001E-2</v>
      </c>
      <c r="J28" s="61">
        <f>MEDIAN(C28:H28)</f>
        <v>1.9400000000000001E-2</v>
      </c>
    </row>
    <row r="29" spans="1:10" ht="16" thickBot="1" x14ac:dyDescent="0.3">
      <c r="A29" s="53" t="s">
        <v>23</v>
      </c>
      <c r="B29" s="60" t="s">
        <v>34</v>
      </c>
      <c r="C29" s="114">
        <v>4.7600000000000003E-2</v>
      </c>
      <c r="D29" s="114">
        <v>4.0099999999999997E-2</v>
      </c>
      <c r="E29" s="115">
        <v>0.02</v>
      </c>
      <c r="F29" s="115">
        <v>0.04</v>
      </c>
      <c r="G29" s="115">
        <v>3.2000000000000001E-2</v>
      </c>
      <c r="H29" s="115">
        <v>1.8700000000000001E-2</v>
      </c>
      <c r="I29" s="61">
        <f>AVERAGE(C29:H29)</f>
        <v>3.3066666666666668E-2</v>
      </c>
      <c r="J29" s="61">
        <f>MEDIAN(C29:H29)</f>
        <v>3.6000000000000004E-2</v>
      </c>
    </row>
    <row r="31" spans="1:10" x14ac:dyDescent="0.25">
      <c r="A31" s="134" t="s">
        <v>35</v>
      </c>
      <c r="B31" s="134"/>
      <c r="C31" s="134"/>
      <c r="D31" s="134"/>
      <c r="E31" s="134"/>
      <c r="F31" s="134"/>
      <c r="G31" s="134"/>
      <c r="H31" s="134"/>
      <c r="I31" s="134"/>
      <c r="J31" s="134"/>
    </row>
    <row r="33" spans="1:10" x14ac:dyDescent="0.25">
      <c r="A33" s="128" t="s">
        <v>36</v>
      </c>
      <c r="B33" s="128"/>
      <c r="C33" s="128"/>
      <c r="D33" s="128"/>
      <c r="E33" s="128"/>
      <c r="F33" s="128"/>
      <c r="G33" s="128"/>
      <c r="H33" s="128"/>
      <c r="I33" s="128"/>
      <c r="J33" s="128"/>
    </row>
    <row r="34" spans="1:10" ht="16" thickBot="1" x14ac:dyDescent="0.3">
      <c r="A34" s="58"/>
    </row>
    <row r="35" spans="1:10" ht="16" thickBot="1" x14ac:dyDescent="0.3">
      <c r="A35" s="53" t="s">
        <v>21</v>
      </c>
      <c r="B35" s="60" t="s">
        <v>37</v>
      </c>
      <c r="C35" s="115">
        <v>8.3299999999999999E-2</v>
      </c>
      <c r="D35" s="115">
        <v>8.3299999999999999E-2</v>
      </c>
      <c r="E35" s="115">
        <v>8.3299999999999999E-2</v>
      </c>
      <c r="F35" s="115">
        <v>8.3299999999999999E-2</v>
      </c>
      <c r="G35" s="115">
        <v>1.6199999999999999E-2</v>
      </c>
      <c r="H35" s="115">
        <v>8.3299999999999999E-2</v>
      </c>
      <c r="I35" s="61">
        <f t="shared" ref="I35:I46" si="2">AVERAGE(C35:H35)</f>
        <v>7.2116666666666662E-2</v>
      </c>
      <c r="J35" s="61">
        <f t="shared" ref="J35:J46" si="3">MEDIAN(C35:H35)</f>
        <v>8.3299999999999999E-2</v>
      </c>
    </row>
    <row r="36" spans="1:10" ht="16" thickBot="1" x14ac:dyDescent="0.3">
      <c r="A36" s="62" t="s">
        <v>23</v>
      </c>
      <c r="B36" s="63" t="s">
        <v>38</v>
      </c>
      <c r="C36" s="114">
        <v>1.61E-2</v>
      </c>
      <c r="D36" s="114">
        <v>3.2000000000000002E-3</v>
      </c>
      <c r="E36" s="115">
        <v>1.6299999999999999E-2</v>
      </c>
      <c r="F36" s="115">
        <v>1E-3</v>
      </c>
      <c r="G36" s="115">
        <v>1E-4</v>
      </c>
      <c r="H36" s="115">
        <v>1.37E-2</v>
      </c>
      <c r="I36" s="61">
        <f t="shared" si="2"/>
        <v>8.3999999999999995E-3</v>
      </c>
      <c r="J36" s="61">
        <f t="shared" si="3"/>
        <v>8.4500000000000009E-3</v>
      </c>
    </row>
    <row r="37" spans="1:10" ht="16" thickBot="1" x14ac:dyDescent="0.3">
      <c r="A37" s="62" t="s">
        <v>39</v>
      </c>
      <c r="B37" s="63" t="s">
        <v>40</v>
      </c>
      <c r="C37" s="114">
        <v>4.0000000000000002E-4</v>
      </c>
      <c r="D37" s="114">
        <v>2.9999999999999997E-4</v>
      </c>
      <c r="E37" s="115">
        <v>2.0000000000000001E-4</v>
      </c>
      <c r="F37" s="115">
        <v>4.0000000000000002E-4</v>
      </c>
      <c r="G37" s="115">
        <v>1E-4</v>
      </c>
      <c r="H37" s="115">
        <v>6.8999999999999999E-3</v>
      </c>
      <c r="I37" s="61">
        <f t="shared" si="2"/>
        <v>1.3833333333333334E-3</v>
      </c>
      <c r="J37" s="61">
        <f t="shared" si="3"/>
        <v>3.5E-4</v>
      </c>
    </row>
    <row r="38" spans="1:10" ht="16" thickBot="1" x14ac:dyDescent="0.3">
      <c r="A38" s="62" t="s">
        <v>41</v>
      </c>
      <c r="B38" s="63" t="s">
        <v>42</v>
      </c>
      <c r="C38" s="114">
        <v>0</v>
      </c>
      <c r="D38" s="114">
        <v>6.4000000000000003E-3</v>
      </c>
      <c r="E38" s="115">
        <v>3.8800000000000001E-2</v>
      </c>
      <c r="F38" s="115">
        <v>0</v>
      </c>
      <c r="G38" s="115">
        <v>1E-4</v>
      </c>
      <c r="H38" s="115">
        <v>2.5000000000000001E-2</v>
      </c>
      <c r="I38" s="61">
        <f t="shared" si="2"/>
        <v>1.1716666666666667E-2</v>
      </c>
      <c r="J38" s="61">
        <f t="shared" si="3"/>
        <v>3.2499999999999999E-3</v>
      </c>
    </row>
    <row r="39" spans="1:10" ht="16" thickBot="1" x14ac:dyDescent="0.3">
      <c r="A39" s="62" t="s">
        <v>43</v>
      </c>
      <c r="B39" s="63" t="s">
        <v>44</v>
      </c>
      <c r="C39" s="114">
        <v>0</v>
      </c>
      <c r="D39" s="114">
        <v>0</v>
      </c>
      <c r="E39" s="115">
        <v>0</v>
      </c>
      <c r="F39" s="115">
        <v>0</v>
      </c>
      <c r="G39" s="115">
        <v>0</v>
      </c>
      <c r="H39" s="115">
        <v>0</v>
      </c>
      <c r="I39" s="61">
        <f t="shared" si="2"/>
        <v>0</v>
      </c>
      <c r="J39" s="61">
        <f t="shared" si="3"/>
        <v>0</v>
      </c>
    </row>
    <row r="40" spans="1:10" ht="16" thickBot="1" x14ac:dyDescent="0.3">
      <c r="A40" s="62" t="s">
        <v>45</v>
      </c>
      <c r="B40" s="63" t="s">
        <v>46</v>
      </c>
      <c r="C40" s="114">
        <v>0</v>
      </c>
      <c r="D40" s="114">
        <v>0</v>
      </c>
      <c r="E40" s="115">
        <v>0</v>
      </c>
      <c r="F40" s="115">
        <v>0</v>
      </c>
      <c r="G40" s="115">
        <v>0</v>
      </c>
      <c r="H40" s="115">
        <v>0</v>
      </c>
      <c r="I40" s="61">
        <f t="shared" si="2"/>
        <v>0</v>
      </c>
      <c r="J40" s="61">
        <f t="shared" si="3"/>
        <v>0</v>
      </c>
    </row>
    <row r="41" spans="1:10" ht="16" thickBot="1" x14ac:dyDescent="0.3">
      <c r="A41" s="62" t="s">
        <v>47</v>
      </c>
      <c r="B41" s="63" t="s">
        <v>48</v>
      </c>
      <c r="C41" s="114">
        <v>0</v>
      </c>
      <c r="D41" s="114">
        <v>0</v>
      </c>
      <c r="E41" s="115">
        <v>0</v>
      </c>
      <c r="F41" s="115">
        <v>0</v>
      </c>
      <c r="G41" s="115">
        <v>0</v>
      </c>
      <c r="H41" s="115">
        <v>0</v>
      </c>
      <c r="I41" s="61">
        <f t="shared" si="2"/>
        <v>0</v>
      </c>
      <c r="J41" s="61">
        <f t="shared" si="3"/>
        <v>0</v>
      </c>
    </row>
    <row r="42" spans="1:10" ht="16" thickBot="1" x14ac:dyDescent="0.3">
      <c r="A42" s="62" t="s">
        <v>49</v>
      </c>
      <c r="B42" s="63" t="s">
        <v>50</v>
      </c>
      <c r="C42" s="114">
        <v>0</v>
      </c>
      <c r="D42" s="114">
        <v>0</v>
      </c>
      <c r="E42" s="115">
        <v>0</v>
      </c>
      <c r="F42" s="115">
        <v>0</v>
      </c>
      <c r="G42" s="115">
        <v>0</v>
      </c>
      <c r="H42" s="115">
        <v>0</v>
      </c>
      <c r="I42" s="61">
        <f t="shared" si="2"/>
        <v>0</v>
      </c>
      <c r="J42" s="61">
        <f t="shared" si="3"/>
        <v>0</v>
      </c>
    </row>
    <row r="43" spans="1:10" ht="16" thickBot="1" x14ac:dyDescent="0.3">
      <c r="A43" s="62" t="s">
        <v>51</v>
      </c>
      <c r="B43" s="63" t="s">
        <v>52</v>
      </c>
      <c r="C43" s="114">
        <v>0</v>
      </c>
      <c r="D43" s="114">
        <v>0</v>
      </c>
      <c r="E43" s="115">
        <v>0</v>
      </c>
      <c r="F43" s="115">
        <v>0</v>
      </c>
      <c r="G43" s="115">
        <v>0</v>
      </c>
      <c r="H43" s="115">
        <v>0</v>
      </c>
      <c r="I43" s="61">
        <f t="shared" si="2"/>
        <v>0</v>
      </c>
      <c r="J43" s="61">
        <f t="shared" si="3"/>
        <v>0</v>
      </c>
    </row>
    <row r="44" spans="1:10" ht="16" thickBot="1" x14ac:dyDescent="0.3">
      <c r="A44" s="62" t="s">
        <v>53</v>
      </c>
      <c r="B44" s="63" t="s">
        <v>54</v>
      </c>
      <c r="C44" s="114">
        <v>2.0000000000000001E-4</v>
      </c>
      <c r="D44" s="114">
        <v>4.0000000000000002E-4</v>
      </c>
      <c r="E44" s="115">
        <v>0</v>
      </c>
      <c r="F44" s="115">
        <v>1.6000000000000001E-3</v>
      </c>
      <c r="G44" s="115">
        <v>1E-4</v>
      </c>
      <c r="H44" s="115">
        <v>3.2000000000000002E-3</v>
      </c>
      <c r="I44" s="61">
        <f t="shared" si="2"/>
        <v>9.1666666666666665E-4</v>
      </c>
      <c r="J44" s="61">
        <f t="shared" si="3"/>
        <v>3.0000000000000003E-4</v>
      </c>
    </row>
    <row r="45" spans="1:10" ht="16" thickBot="1" x14ac:dyDescent="0.3">
      <c r="A45" s="62" t="s">
        <v>55</v>
      </c>
      <c r="B45" s="63" t="s">
        <v>56</v>
      </c>
      <c r="C45" s="114">
        <v>5.0000000000000001E-4</v>
      </c>
      <c r="D45" s="114">
        <v>5.0000000000000001E-4</v>
      </c>
      <c r="E45" s="115">
        <v>2.9999999999999997E-4</v>
      </c>
      <c r="F45" s="115">
        <v>1E-4</v>
      </c>
      <c r="G45" s="115">
        <v>1E-4</v>
      </c>
      <c r="H45" s="115">
        <v>2.3999999999999998E-3</v>
      </c>
      <c r="I45" s="61">
        <f t="shared" si="2"/>
        <v>6.4999999999999997E-4</v>
      </c>
      <c r="J45" s="61">
        <f t="shared" si="3"/>
        <v>3.9999999999999996E-4</v>
      </c>
    </row>
    <row r="46" spans="1:10" ht="16" thickBot="1" x14ac:dyDescent="0.3">
      <c r="A46" s="62" t="s">
        <v>57</v>
      </c>
      <c r="B46" s="63" t="s">
        <v>58</v>
      </c>
      <c r="C46" s="114">
        <v>0</v>
      </c>
      <c r="D46" s="114">
        <v>0</v>
      </c>
      <c r="E46" s="115">
        <v>0</v>
      </c>
      <c r="F46" s="115">
        <v>0</v>
      </c>
      <c r="G46" s="115">
        <v>0</v>
      </c>
      <c r="H46" s="115">
        <v>0</v>
      </c>
      <c r="I46" s="61">
        <f t="shared" si="2"/>
        <v>0</v>
      </c>
      <c r="J46" s="61">
        <f t="shared" si="3"/>
        <v>0</v>
      </c>
    </row>
    <row r="48" spans="1:10" x14ac:dyDescent="0.25">
      <c r="A48" s="134" t="s">
        <v>59</v>
      </c>
      <c r="B48" s="134"/>
      <c r="C48" s="134"/>
      <c r="D48" s="134"/>
      <c r="E48" s="134"/>
      <c r="F48" s="134"/>
      <c r="G48" s="134"/>
      <c r="H48" s="134"/>
      <c r="I48" s="134"/>
      <c r="J48" s="134"/>
    </row>
    <row r="49" spans="1:18" ht="16" thickBot="1" x14ac:dyDescent="0.3"/>
    <row r="50" spans="1:18" ht="16" thickBot="1" x14ac:dyDescent="0.3">
      <c r="A50" s="53" t="s">
        <v>21</v>
      </c>
      <c r="B50" s="60" t="s">
        <v>60</v>
      </c>
      <c r="C50" s="114">
        <v>7.0000000000000007E-2</v>
      </c>
      <c r="D50" s="114">
        <v>0.04</v>
      </c>
      <c r="E50" s="114">
        <v>7.0000000000000007E-2</v>
      </c>
      <c r="F50" s="114">
        <v>1.2200000000000001E-2</v>
      </c>
      <c r="G50" s="114">
        <v>0.1</v>
      </c>
      <c r="H50" s="114">
        <v>0.06</v>
      </c>
      <c r="I50" s="61">
        <f>AVERAGE(C50:H50)</f>
        <v>5.8700000000000002E-2</v>
      </c>
      <c r="J50" s="61">
        <f>MEDIAN(C50:H50)</f>
        <v>6.5000000000000002E-2</v>
      </c>
    </row>
    <row r="51" spans="1:18" ht="16" thickBot="1" x14ac:dyDescent="0.3">
      <c r="A51" s="53" t="s">
        <v>23</v>
      </c>
      <c r="B51" s="60" t="s">
        <v>61</v>
      </c>
      <c r="C51" s="114">
        <v>7.4999999999999997E-2</v>
      </c>
      <c r="D51" s="114">
        <v>4.4999999999999998E-2</v>
      </c>
      <c r="E51" s="114">
        <v>6.1499999999999999E-2</v>
      </c>
      <c r="F51" s="114">
        <v>1.2200000000000001E-2</v>
      </c>
      <c r="G51" s="114">
        <v>0.125</v>
      </c>
      <c r="H51" s="114">
        <v>0.06</v>
      </c>
      <c r="I51" s="61">
        <f>AVERAGE(C51:H51)</f>
        <v>6.3116666666666668E-2</v>
      </c>
      <c r="J51" s="61">
        <f>MEDIAN(C51:H51)</f>
        <v>6.0749999999999998E-2</v>
      </c>
    </row>
    <row r="52" spans="1:18" ht="16" thickBot="1" x14ac:dyDescent="0.3">
      <c r="A52" s="135" t="s">
        <v>39</v>
      </c>
      <c r="B52" s="60" t="s">
        <v>62</v>
      </c>
      <c r="C52" s="115">
        <v>6.4999999999999997E-3</v>
      </c>
      <c r="D52" s="115">
        <v>6.4999999999999997E-3</v>
      </c>
      <c r="E52" s="115">
        <v>6.4999999999999997E-3</v>
      </c>
      <c r="F52" s="115">
        <v>6.4999999999999997E-3</v>
      </c>
      <c r="G52" s="115">
        <v>6.4999999999999997E-3</v>
      </c>
      <c r="H52" s="115">
        <v>6.4999999999999997E-3</v>
      </c>
      <c r="I52" s="61">
        <f>AVERAGE(C52:H52)</f>
        <v>6.4999999999999997E-3</v>
      </c>
      <c r="J52" s="61">
        <f>MEDIAN(C52:H52)</f>
        <v>6.4999999999999997E-3</v>
      </c>
    </row>
    <row r="53" spans="1:18" ht="16" thickBot="1" x14ac:dyDescent="0.3">
      <c r="A53" s="136"/>
      <c r="B53" s="60" t="s">
        <v>63</v>
      </c>
      <c r="C53" s="115">
        <v>0.03</v>
      </c>
      <c r="D53" s="115">
        <v>0.03</v>
      </c>
      <c r="E53" s="115">
        <v>0.03</v>
      </c>
      <c r="F53" s="115">
        <v>0.03</v>
      </c>
      <c r="G53" s="115">
        <v>0.03</v>
      </c>
      <c r="H53" s="115">
        <v>0.03</v>
      </c>
      <c r="I53" s="61">
        <f>AVERAGE(C53:H53)</f>
        <v>0.03</v>
      </c>
      <c r="J53" s="61">
        <f>MEDIAN(C53:H53)</f>
        <v>0.03</v>
      </c>
    </row>
    <row r="54" spans="1:18" x14ac:dyDescent="0.25">
      <c r="I54" s="49"/>
      <c r="J54" s="49"/>
      <c r="K54" s="49"/>
      <c r="L54" s="49"/>
      <c r="M54" s="49"/>
      <c r="N54" s="49"/>
      <c r="O54" s="49"/>
      <c r="P54" s="49"/>
      <c r="Q54" s="50"/>
      <c r="R54" s="50"/>
    </row>
    <row r="55" spans="1:18" x14ac:dyDescent="0.25">
      <c r="A55" s="64" t="s">
        <v>64</v>
      </c>
      <c r="B55" s="64"/>
      <c r="C55" s="116"/>
      <c r="D55" s="116"/>
      <c r="E55" s="116"/>
      <c r="F55" s="116"/>
      <c r="G55" s="116"/>
      <c r="H55" s="116"/>
      <c r="I55" s="64"/>
      <c r="J55" s="64"/>
    </row>
    <row r="56" spans="1:18" ht="16" thickBot="1" x14ac:dyDescent="0.3">
      <c r="I56" s="49"/>
      <c r="J56" s="49"/>
    </row>
    <row r="57" spans="1:18" ht="16" thickBot="1" x14ac:dyDescent="0.3">
      <c r="A57" s="137" t="s">
        <v>65</v>
      </c>
      <c r="B57" s="137"/>
      <c r="C57" s="117">
        <v>9783.7900000000009</v>
      </c>
      <c r="D57" s="117">
        <v>9719.43</v>
      </c>
      <c r="E57" s="118">
        <v>9593.99</v>
      </c>
      <c r="F57" s="118">
        <v>8087.73</v>
      </c>
      <c r="G57" s="118">
        <v>10636.6</v>
      </c>
      <c r="H57" s="118">
        <v>10584.16</v>
      </c>
      <c r="I57" s="65">
        <f>AVERAGE(C57:H57)</f>
        <v>9734.2833333333328</v>
      </c>
      <c r="J57" s="65">
        <f>MEDIAN(C57:H57)</f>
        <v>9751.61</v>
      </c>
    </row>
    <row r="60" spans="1:18" ht="18.5" x14ac:dyDescent="0.25">
      <c r="A60" s="129" t="s">
        <v>66</v>
      </c>
      <c r="B60" s="129"/>
      <c r="C60" s="129"/>
      <c r="D60" s="129"/>
      <c r="E60" s="129"/>
      <c r="F60" s="129"/>
      <c r="G60" s="129"/>
      <c r="H60" s="129"/>
      <c r="I60" s="129"/>
      <c r="J60" s="129"/>
    </row>
    <row r="61" spans="1:18" ht="16" thickBot="1" x14ac:dyDescent="0.3"/>
    <row r="62" spans="1:18" ht="16" thickBot="1" x14ac:dyDescent="0.3">
      <c r="A62" s="51" t="s">
        <v>1</v>
      </c>
      <c r="B62" s="52"/>
      <c r="C62" s="109" t="s">
        <v>2</v>
      </c>
      <c r="D62" s="109" t="s">
        <v>3</v>
      </c>
      <c r="E62" s="109" t="s">
        <v>4</v>
      </c>
      <c r="F62" s="109" t="s">
        <v>5</v>
      </c>
      <c r="G62" s="109" t="s">
        <v>67</v>
      </c>
      <c r="H62" s="119" t="s">
        <v>7</v>
      </c>
      <c r="I62" s="130" t="s">
        <v>8</v>
      </c>
      <c r="J62" s="130" t="s">
        <v>9</v>
      </c>
    </row>
    <row r="63" spans="1:18" ht="16" thickBot="1" x14ac:dyDescent="0.3">
      <c r="A63" s="51" t="s">
        <v>10</v>
      </c>
      <c r="B63" s="52"/>
      <c r="C63" s="109" t="s">
        <v>11</v>
      </c>
      <c r="D63" s="109" t="s">
        <v>12</v>
      </c>
      <c r="E63" s="109" t="s">
        <v>13</v>
      </c>
      <c r="F63" s="109" t="s">
        <v>14</v>
      </c>
      <c r="G63" s="109" t="s">
        <v>68</v>
      </c>
      <c r="H63" s="109" t="s">
        <v>16</v>
      </c>
      <c r="I63" s="131"/>
      <c r="J63" s="131"/>
    </row>
    <row r="64" spans="1:18" ht="16" thickBot="1" x14ac:dyDescent="0.3">
      <c r="A64" s="51" t="s">
        <v>17</v>
      </c>
      <c r="B64" s="52"/>
      <c r="C64" s="109">
        <v>154617</v>
      </c>
      <c r="D64" s="109">
        <v>373053</v>
      </c>
      <c r="E64" s="109">
        <v>130011</v>
      </c>
      <c r="F64" s="109">
        <v>135101</v>
      </c>
      <c r="G64" s="109">
        <v>170607</v>
      </c>
      <c r="H64" s="109" t="s">
        <v>18</v>
      </c>
      <c r="I64" s="131"/>
      <c r="J64" s="131"/>
    </row>
    <row r="65" spans="1:10" ht="16" thickBot="1" x14ac:dyDescent="0.3">
      <c r="A65" s="51" t="s">
        <v>19</v>
      </c>
      <c r="B65" s="52"/>
      <c r="C65" s="110">
        <v>44834</v>
      </c>
      <c r="D65" s="110">
        <v>44820</v>
      </c>
      <c r="E65" s="110">
        <v>44833</v>
      </c>
      <c r="F65" s="110">
        <v>44701</v>
      </c>
      <c r="G65" s="110">
        <v>44911</v>
      </c>
      <c r="H65" s="110">
        <v>45026</v>
      </c>
      <c r="I65" s="132"/>
      <c r="J65" s="132"/>
    </row>
    <row r="66" spans="1:10" x14ac:dyDescent="0.25">
      <c r="I66" s="49"/>
      <c r="J66" s="49"/>
    </row>
    <row r="67" spans="1:10" x14ac:dyDescent="0.25">
      <c r="A67" s="133" t="s">
        <v>20</v>
      </c>
      <c r="B67" s="133"/>
      <c r="C67" s="133"/>
      <c r="D67" s="133"/>
      <c r="E67" s="133"/>
      <c r="F67" s="133"/>
      <c r="G67" s="133"/>
      <c r="H67" s="133"/>
      <c r="I67" s="133"/>
      <c r="J67" s="133"/>
    </row>
    <row r="68" spans="1:10" ht="16" thickBot="1" x14ac:dyDescent="0.4">
      <c r="A68" s="54"/>
      <c r="B68" s="54"/>
      <c r="C68" s="111"/>
      <c r="D68" s="111"/>
      <c r="E68" s="111"/>
      <c r="F68" s="111"/>
      <c r="G68" s="111"/>
      <c r="H68" s="111"/>
      <c r="I68" s="54"/>
      <c r="J68" s="54"/>
    </row>
    <row r="69" spans="1:10" ht="16" thickBot="1" x14ac:dyDescent="0.3">
      <c r="A69" s="53" t="s">
        <v>21</v>
      </c>
      <c r="B69" s="55" t="s">
        <v>22</v>
      </c>
      <c r="C69" s="112">
        <v>1374.81</v>
      </c>
      <c r="D69" s="112">
        <v>1374.81</v>
      </c>
      <c r="E69" s="112">
        <v>1374.81</v>
      </c>
      <c r="F69" s="112">
        <v>1374.81</v>
      </c>
      <c r="G69" s="112">
        <v>1374.81</v>
      </c>
      <c r="H69" s="112">
        <v>1374.81</v>
      </c>
      <c r="I69" s="121">
        <f>AVERAGE(C69:H69)</f>
        <v>1374.8099999999997</v>
      </c>
      <c r="J69" s="121">
        <f>MEDIAN(C69:H69)</f>
        <v>1374.81</v>
      </c>
    </row>
    <row r="70" spans="1:10" ht="16" thickBot="1" x14ac:dyDescent="0.3">
      <c r="A70" s="53" t="s">
        <v>23</v>
      </c>
      <c r="B70" s="55" t="s">
        <v>24</v>
      </c>
      <c r="C70" s="112">
        <f t="shared" ref="C70" si="4">C69*0.3</f>
        <v>412.44299999999998</v>
      </c>
      <c r="D70" s="112">
        <f t="shared" ref="D70:H70" si="5">D69*0.3</f>
        <v>412.44299999999998</v>
      </c>
      <c r="E70" s="112">
        <f t="shared" si="5"/>
        <v>412.44299999999998</v>
      </c>
      <c r="F70" s="112">
        <f t="shared" si="5"/>
        <v>412.44299999999998</v>
      </c>
      <c r="G70" s="112">
        <f t="shared" si="5"/>
        <v>412.44299999999998</v>
      </c>
      <c r="H70" s="112">
        <f t="shared" si="5"/>
        <v>412.44299999999998</v>
      </c>
      <c r="I70" s="121">
        <f>AVERAGE(C70:H70)</f>
        <v>412.44300000000004</v>
      </c>
      <c r="J70" s="121">
        <f>MEDIAN(C70:H70)</f>
        <v>412.44299999999998</v>
      </c>
    </row>
    <row r="71" spans="1:10" ht="16" thickBot="1" x14ac:dyDescent="0.3">
      <c r="A71" s="53" t="s">
        <v>39</v>
      </c>
      <c r="B71" s="55" t="s">
        <v>69</v>
      </c>
      <c r="C71" s="112">
        <v>302.7</v>
      </c>
      <c r="D71" s="112">
        <v>302.7</v>
      </c>
      <c r="E71" s="112">
        <v>302.7</v>
      </c>
      <c r="F71" s="112">
        <v>302.7</v>
      </c>
      <c r="G71" s="112">
        <v>302.7</v>
      </c>
      <c r="H71" s="112">
        <v>302.7</v>
      </c>
      <c r="I71" s="121">
        <f>AVERAGE(C71:H71)</f>
        <v>302.7</v>
      </c>
      <c r="J71" s="121">
        <f>MEDIAN(C71:H71)</f>
        <v>302.7</v>
      </c>
    </row>
    <row r="73" spans="1:10" x14ac:dyDescent="0.25">
      <c r="A73" s="134" t="s">
        <v>25</v>
      </c>
      <c r="B73" s="134"/>
      <c r="C73" s="134"/>
      <c r="D73" s="134"/>
      <c r="E73" s="134"/>
      <c r="F73" s="134"/>
      <c r="G73" s="134"/>
      <c r="H73" s="134"/>
      <c r="I73" s="57"/>
      <c r="J73" s="57"/>
    </row>
    <row r="74" spans="1:10" x14ac:dyDescent="0.25">
      <c r="A74" s="58"/>
    </row>
    <row r="75" spans="1:10" x14ac:dyDescent="0.25">
      <c r="A75" s="128" t="s">
        <v>26</v>
      </c>
      <c r="B75" s="128"/>
      <c r="C75" s="128"/>
      <c r="D75" s="128"/>
      <c r="E75" s="128"/>
      <c r="F75" s="128"/>
      <c r="G75" s="128"/>
      <c r="H75" s="128"/>
      <c r="I75" s="59"/>
      <c r="J75" s="59"/>
    </row>
    <row r="76" spans="1:10" ht="16" thickBot="1" x14ac:dyDescent="0.3"/>
    <row r="77" spans="1:10" ht="16" thickBot="1" x14ac:dyDescent="0.3">
      <c r="A77" s="53" t="s">
        <v>21</v>
      </c>
      <c r="B77" s="60" t="s">
        <v>70</v>
      </c>
      <c r="C77" s="113">
        <v>139.18</v>
      </c>
      <c r="D77" s="113">
        <v>139.18</v>
      </c>
      <c r="E77" s="113">
        <v>139.18</v>
      </c>
      <c r="F77" s="113">
        <v>139.18</v>
      </c>
      <c r="G77" s="113">
        <v>139.18</v>
      </c>
      <c r="H77" s="113">
        <v>139.18</v>
      </c>
      <c r="I77" s="56">
        <f>AVERAGE(C77:H77)</f>
        <v>139.18000000000004</v>
      </c>
      <c r="J77" s="56">
        <f>MEDIAN(C77:H77)</f>
        <v>139.18</v>
      </c>
    </row>
    <row r="79" spans="1:10" x14ac:dyDescent="0.25">
      <c r="A79" s="134" t="s">
        <v>28</v>
      </c>
      <c r="B79" s="134"/>
      <c r="C79" s="134"/>
      <c r="D79" s="134"/>
      <c r="E79" s="134"/>
      <c r="F79" s="134"/>
      <c r="G79" s="134"/>
      <c r="H79" s="134"/>
      <c r="I79" s="57"/>
      <c r="J79" s="57"/>
    </row>
    <row r="81" spans="1:10" x14ac:dyDescent="0.25">
      <c r="A81" s="128" t="s">
        <v>29</v>
      </c>
      <c r="B81" s="128"/>
      <c r="C81" s="128"/>
      <c r="D81" s="128"/>
      <c r="E81" s="128"/>
      <c r="F81" s="128"/>
      <c r="G81" s="128"/>
      <c r="H81" s="128"/>
      <c r="I81" s="59"/>
      <c r="J81" s="59"/>
    </row>
    <row r="82" spans="1:10" ht="16" thickBot="1" x14ac:dyDescent="0.3"/>
    <row r="83" spans="1:10" ht="16" thickBot="1" x14ac:dyDescent="0.3">
      <c r="A83" s="53" t="s">
        <v>21</v>
      </c>
      <c r="B83" s="60" t="s">
        <v>30</v>
      </c>
      <c r="C83" s="114">
        <v>4.1999999999999997E-3</v>
      </c>
      <c r="D83" s="114">
        <v>4.1999999999999997E-3</v>
      </c>
      <c r="E83" s="115">
        <v>4.1999999999999997E-3</v>
      </c>
      <c r="F83" s="115">
        <v>9.4000000000000004E-3</v>
      </c>
      <c r="G83" s="115">
        <v>1E-4</v>
      </c>
      <c r="H83" s="115">
        <v>6.7000000000000002E-3</v>
      </c>
      <c r="I83" s="61">
        <f>AVERAGE(C83:H83)</f>
        <v>4.7999999999999996E-3</v>
      </c>
      <c r="J83" s="61">
        <f>MEDIAN(C83:H83)</f>
        <v>4.1999999999999997E-3</v>
      </c>
    </row>
    <row r="84" spans="1:10" ht="16" thickBot="1" x14ac:dyDescent="0.3">
      <c r="A84" s="53" t="s">
        <v>23</v>
      </c>
      <c r="B84" s="60" t="s">
        <v>31</v>
      </c>
      <c r="C84" s="115">
        <v>2.3999999999999998E-3</v>
      </c>
      <c r="D84" s="114">
        <v>1.9E-3</v>
      </c>
      <c r="E84" s="115">
        <v>0.02</v>
      </c>
      <c r="F84" s="115">
        <v>8.0000000000000004E-4</v>
      </c>
      <c r="G84" s="115">
        <v>8.0000000000000002E-3</v>
      </c>
      <c r="H84" s="115">
        <v>2.3999999999999998E-3</v>
      </c>
      <c r="I84" s="61">
        <f>AVERAGE(C84:H84)</f>
        <v>5.9166666666666673E-3</v>
      </c>
      <c r="J84" s="61">
        <f>MEDIAN(C84:H84)</f>
        <v>2.3999999999999998E-3</v>
      </c>
    </row>
    <row r="86" spans="1:10" x14ac:dyDescent="0.25">
      <c r="A86" s="128" t="s">
        <v>32</v>
      </c>
      <c r="B86" s="128"/>
      <c r="C86" s="128"/>
      <c r="D86" s="128"/>
      <c r="E86" s="128"/>
      <c r="F86" s="128"/>
      <c r="G86" s="128"/>
      <c r="H86" s="128"/>
      <c r="I86" s="59"/>
      <c r="J86" s="59"/>
    </row>
    <row r="87" spans="1:10" ht="16" thickBot="1" x14ac:dyDescent="0.3"/>
    <row r="88" spans="1:10" ht="16" thickBot="1" x14ac:dyDescent="0.3">
      <c r="A88" s="53" t="s">
        <v>21</v>
      </c>
      <c r="B88" s="60" t="s">
        <v>33</v>
      </c>
      <c r="C88" s="114">
        <v>1.9400000000000001E-2</v>
      </c>
      <c r="D88" s="114">
        <v>1.9400000000000001E-2</v>
      </c>
      <c r="E88" s="115">
        <v>1.9400000000000001E-2</v>
      </c>
      <c r="F88" s="115">
        <v>1.9400000000000001E-2</v>
      </c>
      <c r="G88" s="115">
        <v>1E-4</v>
      </c>
      <c r="H88" s="115">
        <v>1.77E-2</v>
      </c>
      <c r="I88" s="61">
        <f>AVERAGE(C88:H88)</f>
        <v>1.5900000000000001E-2</v>
      </c>
      <c r="J88" s="61">
        <f>MEDIAN(C88:H88)</f>
        <v>1.9400000000000001E-2</v>
      </c>
    </row>
    <row r="89" spans="1:10" ht="16" thickBot="1" x14ac:dyDescent="0.3">
      <c r="A89" s="53" t="s">
        <v>23</v>
      </c>
      <c r="B89" s="60" t="s">
        <v>34</v>
      </c>
      <c r="C89" s="114">
        <v>4.7600000000000003E-2</v>
      </c>
      <c r="D89" s="114">
        <v>4.0099999999999997E-2</v>
      </c>
      <c r="E89" s="115">
        <v>0.02</v>
      </c>
      <c r="F89" s="115">
        <v>0.04</v>
      </c>
      <c r="G89" s="115">
        <v>3.2000000000000001E-2</v>
      </c>
      <c r="H89" s="115">
        <v>1.8700000000000001E-2</v>
      </c>
      <c r="I89" s="61">
        <f>AVERAGE(C89:H89)</f>
        <v>3.3066666666666668E-2</v>
      </c>
      <c r="J89" s="61">
        <f>MEDIAN(C89:H89)</f>
        <v>3.6000000000000004E-2</v>
      </c>
    </row>
    <row r="91" spans="1:10" x14ac:dyDescent="0.25">
      <c r="A91" s="134" t="s">
        <v>35</v>
      </c>
      <c r="B91" s="134"/>
      <c r="C91" s="134"/>
      <c r="D91" s="134"/>
      <c r="E91" s="134"/>
      <c r="F91" s="134"/>
      <c r="G91" s="134"/>
      <c r="H91" s="134"/>
      <c r="I91" s="57"/>
      <c r="J91" s="57"/>
    </row>
    <row r="93" spans="1:10" x14ac:dyDescent="0.25">
      <c r="A93" s="128" t="s">
        <v>36</v>
      </c>
      <c r="B93" s="128"/>
      <c r="C93" s="128"/>
      <c r="D93" s="128"/>
      <c r="E93" s="128"/>
      <c r="F93" s="128"/>
      <c r="G93" s="128"/>
      <c r="H93" s="128"/>
      <c r="I93" s="59"/>
      <c r="J93" s="59"/>
    </row>
    <row r="94" spans="1:10" ht="16" thickBot="1" x14ac:dyDescent="0.3">
      <c r="A94" s="58"/>
    </row>
    <row r="95" spans="1:10" ht="16" thickBot="1" x14ac:dyDescent="0.3">
      <c r="A95" s="53" t="s">
        <v>21</v>
      </c>
      <c r="B95" s="60" t="s">
        <v>37</v>
      </c>
      <c r="C95" s="115">
        <v>8.3299999999999999E-2</v>
      </c>
      <c r="D95" s="115">
        <v>8.3299999999999999E-2</v>
      </c>
      <c r="E95" s="115">
        <v>9.4999999999999998E-3</v>
      </c>
      <c r="F95" s="115">
        <v>1.29E-2</v>
      </c>
      <c r="G95" s="115">
        <v>1.6199999999999999E-2</v>
      </c>
      <c r="H95" s="115">
        <v>8.3299999999999999E-2</v>
      </c>
      <c r="I95" s="61">
        <f t="shared" ref="I95:I106" si="6">AVERAGE(C95:H95)</f>
        <v>4.8083333333333332E-2</v>
      </c>
      <c r="J95" s="61">
        <f t="shared" ref="J95:J106" si="7">MEDIAN(C95:H95)</f>
        <v>4.9749999999999996E-2</v>
      </c>
    </row>
    <row r="96" spans="1:10" ht="16" thickBot="1" x14ac:dyDescent="0.3">
      <c r="A96" s="62" t="s">
        <v>23</v>
      </c>
      <c r="B96" s="63" t="s">
        <v>38</v>
      </c>
      <c r="C96" s="114">
        <v>1.61E-2</v>
      </c>
      <c r="D96" s="114">
        <v>3.2000000000000002E-3</v>
      </c>
      <c r="E96" s="115">
        <v>1.6299999999999999E-2</v>
      </c>
      <c r="F96" s="115">
        <v>1E-3</v>
      </c>
      <c r="G96" s="115">
        <v>1E-4</v>
      </c>
      <c r="H96" s="115">
        <v>1.37E-2</v>
      </c>
      <c r="I96" s="61">
        <f t="shared" si="6"/>
        <v>8.3999999999999995E-3</v>
      </c>
      <c r="J96" s="61">
        <f t="shared" si="7"/>
        <v>8.4500000000000009E-3</v>
      </c>
    </row>
    <row r="97" spans="1:10" ht="16" thickBot="1" x14ac:dyDescent="0.3">
      <c r="A97" s="62" t="s">
        <v>39</v>
      </c>
      <c r="B97" s="63" t="s">
        <v>40</v>
      </c>
      <c r="C97" s="114">
        <v>4.0000000000000002E-4</v>
      </c>
      <c r="D97" s="114">
        <v>2.9999999999999997E-4</v>
      </c>
      <c r="E97" s="115">
        <v>2.0000000000000001E-4</v>
      </c>
      <c r="F97" s="115">
        <v>4.0000000000000002E-4</v>
      </c>
      <c r="G97" s="115">
        <v>1E-4</v>
      </c>
      <c r="H97" s="115">
        <v>6.8999999999999999E-3</v>
      </c>
      <c r="I97" s="61">
        <f t="shared" si="6"/>
        <v>1.3833333333333334E-3</v>
      </c>
      <c r="J97" s="61">
        <f t="shared" si="7"/>
        <v>3.5E-4</v>
      </c>
    </row>
    <row r="98" spans="1:10" ht="16" thickBot="1" x14ac:dyDescent="0.3">
      <c r="A98" s="62" t="s">
        <v>41</v>
      </c>
      <c r="B98" s="63" t="s">
        <v>42</v>
      </c>
      <c r="C98" s="114">
        <v>0</v>
      </c>
      <c r="D98" s="114">
        <v>6.4000000000000003E-3</v>
      </c>
      <c r="E98" s="115">
        <v>0</v>
      </c>
      <c r="F98" s="115">
        <v>0</v>
      </c>
      <c r="G98" s="115">
        <v>1E-4</v>
      </c>
      <c r="H98" s="115">
        <v>2.5000000000000001E-2</v>
      </c>
      <c r="I98" s="61">
        <f t="shared" si="6"/>
        <v>5.2500000000000003E-3</v>
      </c>
      <c r="J98" s="61">
        <f t="shared" si="7"/>
        <v>5.0000000000000002E-5</v>
      </c>
    </row>
    <row r="99" spans="1:10" ht="16" thickBot="1" x14ac:dyDescent="0.3">
      <c r="A99" s="62" t="s">
        <v>43</v>
      </c>
      <c r="B99" s="63" t="s">
        <v>44</v>
      </c>
      <c r="C99" s="114">
        <v>0</v>
      </c>
      <c r="D99" s="114">
        <v>0</v>
      </c>
      <c r="E99" s="115">
        <v>0</v>
      </c>
      <c r="F99" s="115">
        <v>0</v>
      </c>
      <c r="G99" s="115">
        <v>0</v>
      </c>
      <c r="H99" s="115">
        <v>0</v>
      </c>
      <c r="I99" s="61">
        <f t="shared" si="6"/>
        <v>0</v>
      </c>
      <c r="J99" s="61">
        <f t="shared" si="7"/>
        <v>0</v>
      </c>
    </row>
    <row r="100" spans="1:10" ht="16" thickBot="1" x14ac:dyDescent="0.3">
      <c r="A100" s="62" t="s">
        <v>45</v>
      </c>
      <c r="B100" s="63" t="s">
        <v>46</v>
      </c>
      <c r="C100" s="114">
        <v>0</v>
      </c>
      <c r="D100" s="114">
        <v>0</v>
      </c>
      <c r="E100" s="115">
        <v>0</v>
      </c>
      <c r="F100" s="115">
        <v>0</v>
      </c>
      <c r="G100" s="115">
        <v>0</v>
      </c>
      <c r="H100" s="115">
        <v>0</v>
      </c>
      <c r="I100" s="61">
        <f t="shared" si="6"/>
        <v>0</v>
      </c>
      <c r="J100" s="61">
        <f t="shared" si="7"/>
        <v>0</v>
      </c>
    </row>
    <row r="101" spans="1:10" ht="16" thickBot="1" x14ac:dyDescent="0.3">
      <c r="A101" s="62" t="s">
        <v>47</v>
      </c>
      <c r="B101" s="63" t="s">
        <v>48</v>
      </c>
      <c r="C101" s="114">
        <v>0</v>
      </c>
      <c r="D101" s="114">
        <v>0</v>
      </c>
      <c r="E101" s="115">
        <v>0</v>
      </c>
      <c r="F101" s="115">
        <v>0</v>
      </c>
      <c r="G101" s="115">
        <v>0</v>
      </c>
      <c r="H101" s="115">
        <v>0</v>
      </c>
      <c r="I101" s="61">
        <f t="shared" si="6"/>
        <v>0</v>
      </c>
      <c r="J101" s="61">
        <f t="shared" si="7"/>
        <v>0</v>
      </c>
    </row>
    <row r="102" spans="1:10" ht="16" thickBot="1" x14ac:dyDescent="0.3">
      <c r="A102" s="62" t="s">
        <v>49</v>
      </c>
      <c r="B102" s="63" t="s">
        <v>50</v>
      </c>
      <c r="C102" s="114">
        <v>0</v>
      </c>
      <c r="D102" s="114">
        <v>0</v>
      </c>
      <c r="E102" s="115">
        <v>0</v>
      </c>
      <c r="F102" s="115">
        <v>0</v>
      </c>
      <c r="G102" s="115">
        <v>0</v>
      </c>
      <c r="H102" s="115">
        <v>0</v>
      </c>
      <c r="I102" s="61">
        <f t="shared" si="6"/>
        <v>0</v>
      </c>
      <c r="J102" s="61">
        <f t="shared" si="7"/>
        <v>0</v>
      </c>
    </row>
    <row r="103" spans="1:10" ht="16" thickBot="1" x14ac:dyDescent="0.3">
      <c r="A103" s="62" t="s">
        <v>51</v>
      </c>
      <c r="B103" s="63" t="s">
        <v>52</v>
      </c>
      <c r="C103" s="114">
        <v>0</v>
      </c>
      <c r="D103" s="114">
        <v>0</v>
      </c>
      <c r="E103" s="115">
        <v>0</v>
      </c>
      <c r="F103" s="115">
        <v>0</v>
      </c>
      <c r="G103" s="115">
        <v>0</v>
      </c>
      <c r="H103" s="115">
        <v>0</v>
      </c>
      <c r="I103" s="61">
        <f t="shared" si="6"/>
        <v>0</v>
      </c>
      <c r="J103" s="61">
        <f t="shared" si="7"/>
        <v>0</v>
      </c>
    </row>
    <row r="104" spans="1:10" ht="16" thickBot="1" x14ac:dyDescent="0.3">
      <c r="A104" s="62" t="s">
        <v>53</v>
      </c>
      <c r="B104" s="63" t="s">
        <v>54</v>
      </c>
      <c r="C104" s="114">
        <v>2.0000000000000001E-4</v>
      </c>
      <c r="D104" s="114">
        <v>4.0000000000000002E-4</v>
      </c>
      <c r="E104" s="115">
        <v>2.9999999999999997E-4</v>
      </c>
      <c r="F104" s="115">
        <v>1.6000000000000001E-3</v>
      </c>
      <c r="G104" s="115">
        <v>1E-4</v>
      </c>
      <c r="H104" s="115">
        <v>3.2000000000000002E-3</v>
      </c>
      <c r="I104" s="61">
        <f t="shared" si="6"/>
        <v>9.6666666666666656E-4</v>
      </c>
      <c r="J104" s="61">
        <f t="shared" si="7"/>
        <v>3.5E-4</v>
      </c>
    </row>
    <row r="105" spans="1:10" ht="16" thickBot="1" x14ac:dyDescent="0.3">
      <c r="A105" s="62" t="s">
        <v>55</v>
      </c>
      <c r="B105" s="63" t="s">
        <v>56</v>
      </c>
      <c r="C105" s="114">
        <v>5.0000000000000001E-4</v>
      </c>
      <c r="D105" s="114">
        <v>5.0000000000000001E-4</v>
      </c>
      <c r="E105" s="115">
        <v>2.9999999999999997E-4</v>
      </c>
      <c r="F105" s="115">
        <v>1E-4</v>
      </c>
      <c r="G105" s="115">
        <v>1E-4</v>
      </c>
      <c r="H105" s="115">
        <v>2.3999999999999998E-3</v>
      </c>
      <c r="I105" s="61">
        <f t="shared" si="6"/>
        <v>6.4999999999999997E-4</v>
      </c>
      <c r="J105" s="61">
        <f t="shared" si="7"/>
        <v>3.9999999999999996E-4</v>
      </c>
    </row>
    <row r="106" spans="1:10" ht="16" thickBot="1" x14ac:dyDescent="0.3">
      <c r="A106" s="62" t="s">
        <v>57</v>
      </c>
      <c r="B106" s="63" t="s">
        <v>58</v>
      </c>
      <c r="C106" s="114">
        <v>0</v>
      </c>
      <c r="D106" s="114">
        <v>0</v>
      </c>
      <c r="E106" s="115">
        <v>0</v>
      </c>
      <c r="F106" s="115">
        <v>0</v>
      </c>
      <c r="G106" s="115">
        <v>0</v>
      </c>
      <c r="H106" s="115">
        <v>0</v>
      </c>
      <c r="I106" s="61">
        <f t="shared" si="6"/>
        <v>0</v>
      </c>
      <c r="J106" s="61">
        <f t="shared" si="7"/>
        <v>0</v>
      </c>
    </row>
    <row r="108" spans="1:10" x14ac:dyDescent="0.25">
      <c r="A108" s="134" t="s">
        <v>59</v>
      </c>
      <c r="B108" s="134"/>
      <c r="C108" s="134"/>
      <c r="D108" s="134"/>
      <c r="E108" s="134"/>
      <c r="F108" s="134"/>
      <c r="G108" s="134"/>
      <c r="H108" s="134"/>
      <c r="I108" s="57"/>
      <c r="J108" s="57"/>
    </row>
    <row r="109" spans="1:10" ht="16" thickBot="1" x14ac:dyDescent="0.3"/>
    <row r="110" spans="1:10" ht="16" thickBot="1" x14ac:dyDescent="0.3">
      <c r="A110" s="53" t="s">
        <v>21</v>
      </c>
      <c r="B110" s="60" t="s">
        <v>60</v>
      </c>
      <c r="C110" s="114">
        <v>7.0000000000000007E-2</v>
      </c>
      <c r="D110" s="114">
        <v>0.05</v>
      </c>
      <c r="E110" s="114">
        <v>0.06</v>
      </c>
      <c r="F110" s="114">
        <v>1.2200000000000001E-2</v>
      </c>
      <c r="G110" s="114">
        <v>0.1</v>
      </c>
      <c r="H110" s="114">
        <v>0.06</v>
      </c>
      <c r="I110" s="61">
        <f>AVERAGE(C110:H110)</f>
        <v>5.8700000000000002E-2</v>
      </c>
      <c r="J110" s="61">
        <f>MEDIAN(C110:H110)</f>
        <v>0.06</v>
      </c>
    </row>
    <row r="111" spans="1:10" ht="16" thickBot="1" x14ac:dyDescent="0.3">
      <c r="A111" s="53" t="s">
        <v>23</v>
      </c>
      <c r="B111" s="60" t="s">
        <v>61</v>
      </c>
      <c r="C111" s="114">
        <v>7.4999999999999997E-2</v>
      </c>
      <c r="D111" s="114">
        <v>0.05</v>
      </c>
      <c r="E111" s="114">
        <v>5.74E-2</v>
      </c>
      <c r="F111" s="114">
        <v>1.2200000000000001E-2</v>
      </c>
      <c r="G111" s="114">
        <v>0.125</v>
      </c>
      <c r="H111" s="114">
        <v>0.06</v>
      </c>
      <c r="I111" s="61">
        <f>AVERAGE(C111:H111)</f>
        <v>6.3266666666666665E-2</v>
      </c>
      <c r="J111" s="61">
        <f>MEDIAN(C111:H111)</f>
        <v>5.8700000000000002E-2</v>
      </c>
    </row>
    <row r="112" spans="1:10" ht="16" thickBot="1" x14ac:dyDescent="0.3">
      <c r="A112" s="135" t="s">
        <v>39</v>
      </c>
      <c r="B112" s="60" t="s">
        <v>62</v>
      </c>
      <c r="C112" s="115">
        <v>6.4999999999999997E-3</v>
      </c>
      <c r="D112" s="115">
        <v>6.4999999999999997E-3</v>
      </c>
      <c r="E112" s="115">
        <v>6.4999999999999997E-3</v>
      </c>
      <c r="F112" s="115">
        <v>6.4999999999999997E-3</v>
      </c>
      <c r="G112" s="115">
        <v>6.4999999999999997E-3</v>
      </c>
      <c r="H112" s="115">
        <v>6.4999999999999997E-3</v>
      </c>
      <c r="I112" s="61">
        <f>AVERAGE(C112:H112)</f>
        <v>6.4999999999999997E-3</v>
      </c>
      <c r="J112" s="61">
        <f>MEDIAN(C112:H112)</f>
        <v>6.4999999999999997E-3</v>
      </c>
    </row>
    <row r="113" spans="1:10" ht="16" thickBot="1" x14ac:dyDescent="0.3">
      <c r="A113" s="136"/>
      <c r="B113" s="60" t="s">
        <v>63</v>
      </c>
      <c r="C113" s="115">
        <v>0.03</v>
      </c>
      <c r="D113" s="115">
        <v>0.03</v>
      </c>
      <c r="E113" s="115">
        <v>0.03</v>
      </c>
      <c r="F113" s="115">
        <v>0.03</v>
      </c>
      <c r="G113" s="115">
        <v>0.03</v>
      </c>
      <c r="H113" s="115">
        <v>0.03</v>
      </c>
      <c r="I113" s="61">
        <f>AVERAGE(C113:H113)</f>
        <v>0.03</v>
      </c>
      <c r="J113" s="61">
        <f>MEDIAN(C113:H113)</f>
        <v>0.03</v>
      </c>
    </row>
    <row r="114" spans="1:10" x14ac:dyDescent="0.25">
      <c r="I114" s="49"/>
      <c r="J114" s="49"/>
    </row>
    <row r="115" spans="1:10" x14ac:dyDescent="0.25">
      <c r="A115" s="64" t="s">
        <v>64</v>
      </c>
      <c r="B115" s="64"/>
      <c r="C115" s="116"/>
      <c r="D115" s="116"/>
      <c r="E115" s="116"/>
      <c r="F115" s="116"/>
      <c r="G115" s="116"/>
      <c r="H115" s="116"/>
      <c r="I115" s="64"/>
      <c r="J115" s="64"/>
    </row>
    <row r="116" spans="1:10" ht="16" thickBot="1" x14ac:dyDescent="0.3">
      <c r="I116" s="49"/>
      <c r="J116" s="49"/>
    </row>
    <row r="117" spans="1:10" ht="16" thickBot="1" x14ac:dyDescent="0.3">
      <c r="A117" s="142" t="s">
        <v>71</v>
      </c>
      <c r="B117" s="142"/>
      <c r="C117" s="117">
        <v>11994.77</v>
      </c>
      <c r="D117" s="117">
        <v>11809.92</v>
      </c>
      <c r="E117" s="118">
        <v>11130.44</v>
      </c>
      <c r="F117" s="118">
        <v>9655.52</v>
      </c>
      <c r="G117" s="118">
        <v>12605.86</v>
      </c>
      <c r="H117" s="118">
        <v>12600.52</v>
      </c>
      <c r="I117" s="65">
        <f>AVERAGE(C117:H117)</f>
        <v>11632.838333333335</v>
      </c>
      <c r="J117" s="65">
        <f>MEDIAN(C117:H117)</f>
        <v>11902.345000000001</v>
      </c>
    </row>
    <row r="120" spans="1:10" x14ac:dyDescent="0.25">
      <c r="H120" s="120" t="s">
        <v>72</v>
      </c>
      <c r="I120" s="138" t="s">
        <v>73</v>
      </c>
      <c r="J120" s="139"/>
    </row>
    <row r="121" spans="1:10" x14ac:dyDescent="0.25">
      <c r="H121" s="120" t="s">
        <v>74</v>
      </c>
      <c r="I121" s="138">
        <v>1990280</v>
      </c>
      <c r="J121" s="139"/>
    </row>
    <row r="122" spans="1:10" x14ac:dyDescent="0.25">
      <c r="H122" s="120" t="s">
        <v>75</v>
      </c>
      <c r="I122" s="140">
        <v>45041</v>
      </c>
      <c r="J122" s="141"/>
    </row>
  </sheetData>
  <mergeCells count="31">
    <mergeCell ref="I121:J121"/>
    <mergeCell ref="I122:J122"/>
    <mergeCell ref="A60:J60"/>
    <mergeCell ref="I62:I65"/>
    <mergeCell ref="J62:J65"/>
    <mergeCell ref="A67:J67"/>
    <mergeCell ref="A73:H73"/>
    <mergeCell ref="A75:H75"/>
    <mergeCell ref="I120:J120"/>
    <mergeCell ref="A93:H93"/>
    <mergeCell ref="A108:H108"/>
    <mergeCell ref="A112:A113"/>
    <mergeCell ref="A117:B117"/>
    <mergeCell ref="A79:H79"/>
    <mergeCell ref="A81:H81"/>
    <mergeCell ref="A86:H86"/>
    <mergeCell ref="A91:H91"/>
    <mergeCell ref="A52:A53"/>
    <mergeCell ref="A57:B57"/>
    <mergeCell ref="A19:J19"/>
    <mergeCell ref="A21:J21"/>
    <mergeCell ref="A26:J26"/>
    <mergeCell ref="A31:J31"/>
    <mergeCell ref="A33:J33"/>
    <mergeCell ref="A48:J48"/>
    <mergeCell ref="A15:J15"/>
    <mergeCell ref="A1:J1"/>
    <mergeCell ref="I3:I6"/>
    <mergeCell ref="J3:J6"/>
    <mergeCell ref="A8:J8"/>
    <mergeCell ref="A13:J13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E69C9-BE69-4486-8BC6-7587027445EB}">
  <sheetPr>
    <tabColor theme="8" tint="0.59999389629810485"/>
  </sheetPr>
  <dimension ref="A1:T153"/>
  <sheetViews>
    <sheetView showGridLines="0" topLeftCell="A117" workbookViewId="0">
      <selection activeCell="I150" sqref="I150"/>
    </sheetView>
  </sheetViews>
  <sheetFormatPr defaultRowHeight="12.5" x14ac:dyDescent="0.25"/>
  <cols>
    <col min="1" max="1" width="10" bestFit="1" customWidth="1"/>
    <col min="5" max="5" width="10.81640625" bestFit="1" customWidth="1"/>
    <col min="7" max="7" width="26.26953125" customWidth="1"/>
    <col min="8" max="8" width="8.81640625" customWidth="1"/>
    <col min="9" max="9" width="21.453125" customWidth="1"/>
    <col min="10" max="10" width="30.453125" customWidth="1"/>
    <col min="11" max="11" width="32.7265625" hidden="1" customWidth="1"/>
    <col min="12" max="12" width="22.81640625" customWidth="1"/>
    <col min="13" max="13" width="26.7265625" customWidth="1"/>
    <col min="14" max="14" width="35.54296875" customWidth="1"/>
    <col min="15" max="15" width="10.26953125" bestFit="1" customWidth="1"/>
    <col min="16" max="16" width="12.90625" customWidth="1"/>
    <col min="17" max="17" width="24.26953125" customWidth="1"/>
    <col min="18" max="18" width="38.81640625" customWidth="1"/>
    <col min="19" max="19" width="37.7265625" customWidth="1"/>
    <col min="20" max="20" width="22.81640625" customWidth="1"/>
  </cols>
  <sheetData>
    <row r="1" spans="1:9" ht="18" customHeight="1" x14ac:dyDescent="0.25">
      <c r="A1" s="143" t="s">
        <v>76</v>
      </c>
      <c r="B1" s="143"/>
      <c r="C1" s="143"/>
      <c r="D1" s="143"/>
      <c r="E1" s="143"/>
      <c r="F1" s="143"/>
      <c r="G1" s="143"/>
      <c r="H1" s="143"/>
      <c r="I1" s="143"/>
    </row>
    <row r="2" spans="1:9" ht="17.25" customHeight="1" x14ac:dyDescent="0.25">
      <c r="A2" s="143" t="s">
        <v>77</v>
      </c>
      <c r="B2" s="143"/>
      <c r="C2" s="143"/>
      <c r="D2" s="143"/>
      <c r="E2" s="143"/>
      <c r="F2" s="143"/>
      <c r="G2" s="143"/>
      <c r="H2" s="143"/>
      <c r="I2" s="143"/>
    </row>
    <row r="3" spans="1:9" ht="16.5" customHeight="1" x14ac:dyDescent="0.25">
      <c r="A3" s="133" t="s">
        <v>78</v>
      </c>
      <c r="B3" s="133"/>
      <c r="C3" s="133"/>
      <c r="D3" s="133"/>
      <c r="E3" s="133"/>
      <c r="F3" s="133"/>
      <c r="G3" s="133"/>
      <c r="H3" s="133"/>
      <c r="I3" s="133"/>
    </row>
    <row r="4" spans="1:9" ht="15.5" x14ac:dyDescent="0.35">
      <c r="A4" s="66" t="s">
        <v>21</v>
      </c>
      <c r="B4" s="144" t="s">
        <v>79</v>
      </c>
      <c r="C4" s="145"/>
      <c r="D4" s="145"/>
      <c r="E4" s="145"/>
      <c r="F4" s="145"/>
      <c r="G4" s="145"/>
      <c r="H4" s="146"/>
      <c r="I4" s="67" t="s">
        <v>80</v>
      </c>
    </row>
    <row r="5" spans="1:9" ht="15.5" x14ac:dyDescent="0.35">
      <c r="A5" s="66" t="s">
        <v>23</v>
      </c>
      <c r="B5" s="144" t="s">
        <v>81</v>
      </c>
      <c r="C5" s="145"/>
      <c r="D5" s="145"/>
      <c r="E5" s="145"/>
      <c r="F5" s="145"/>
      <c r="G5" s="145"/>
      <c r="H5" s="146"/>
      <c r="I5" s="66" t="s">
        <v>82</v>
      </c>
    </row>
    <row r="6" spans="1:9" ht="15.5" x14ac:dyDescent="0.35">
      <c r="A6" s="66" t="s">
        <v>39</v>
      </c>
      <c r="B6" s="144" t="s">
        <v>83</v>
      </c>
      <c r="C6" s="145"/>
      <c r="D6" s="145"/>
      <c r="E6" s="145"/>
      <c r="F6" s="145"/>
      <c r="G6" s="145"/>
      <c r="H6" s="146"/>
      <c r="I6" s="66">
        <v>2023</v>
      </c>
    </row>
    <row r="7" spans="1:9" ht="15.5" x14ac:dyDescent="0.35">
      <c r="A7" s="66" t="s">
        <v>41</v>
      </c>
      <c r="B7" s="144" t="s">
        <v>84</v>
      </c>
      <c r="C7" s="145"/>
      <c r="D7" s="145"/>
      <c r="E7" s="145"/>
      <c r="F7" s="145"/>
      <c r="G7" s="145"/>
      <c r="H7" s="146"/>
      <c r="I7" s="66">
        <v>12</v>
      </c>
    </row>
    <row r="8" spans="1:9" ht="15.5" x14ac:dyDescent="0.35">
      <c r="A8" s="68"/>
      <c r="B8" s="69"/>
      <c r="C8" s="69"/>
      <c r="D8" s="69"/>
      <c r="E8" s="69"/>
      <c r="F8" s="69"/>
      <c r="G8" s="69"/>
      <c r="H8" s="68"/>
      <c r="I8" s="68"/>
    </row>
    <row r="9" spans="1:9" ht="15.5" x14ac:dyDescent="0.25">
      <c r="A9" s="133" t="s">
        <v>85</v>
      </c>
      <c r="B9" s="133"/>
      <c r="C9" s="133"/>
      <c r="D9" s="133"/>
      <c r="E9" s="133"/>
      <c r="F9" s="133"/>
      <c r="G9" s="133"/>
      <c r="H9" s="133"/>
      <c r="I9" s="133"/>
    </row>
    <row r="10" spans="1:9" ht="15.5" x14ac:dyDescent="0.35">
      <c r="A10" s="148" t="s">
        <v>86</v>
      </c>
      <c r="B10" s="148"/>
      <c r="C10" s="148" t="s">
        <v>87</v>
      </c>
      <c r="D10" s="148"/>
      <c r="E10" s="148" t="s">
        <v>88</v>
      </c>
      <c r="F10" s="148"/>
      <c r="G10" s="148"/>
      <c r="H10" s="148"/>
      <c r="I10" s="148"/>
    </row>
    <row r="11" spans="1:9" ht="15.5" x14ac:dyDescent="0.35">
      <c r="A11" s="148" t="s">
        <v>89</v>
      </c>
      <c r="B11" s="148"/>
      <c r="C11" s="148" t="s">
        <v>90</v>
      </c>
      <c r="D11" s="148"/>
      <c r="E11" s="148">
        <v>5</v>
      </c>
      <c r="F11" s="148"/>
      <c r="G11" s="148"/>
      <c r="H11" s="148"/>
      <c r="I11" s="148"/>
    </row>
    <row r="12" spans="1:9" ht="15.5" x14ac:dyDescent="0.35">
      <c r="A12" s="68"/>
      <c r="B12" s="69"/>
      <c r="C12" s="69"/>
      <c r="D12" s="69"/>
      <c r="E12" s="69"/>
      <c r="F12" s="69"/>
      <c r="G12" s="69"/>
      <c r="H12" s="68"/>
      <c r="I12" s="68"/>
    </row>
    <row r="13" spans="1:9" ht="15.5" x14ac:dyDescent="0.25">
      <c r="A13" s="133" t="s">
        <v>91</v>
      </c>
      <c r="B13" s="133"/>
      <c r="C13" s="133"/>
      <c r="D13" s="133"/>
      <c r="E13" s="133"/>
      <c r="F13" s="133"/>
      <c r="G13" s="133"/>
      <c r="H13" s="133"/>
      <c r="I13" s="133"/>
    </row>
    <row r="14" spans="1:9" ht="15.5" x14ac:dyDescent="0.35">
      <c r="A14" s="66">
        <v>1</v>
      </c>
      <c r="B14" s="147" t="s">
        <v>92</v>
      </c>
      <c r="C14" s="147"/>
      <c r="D14" s="147"/>
      <c r="E14" s="147"/>
      <c r="F14" s="147"/>
      <c r="G14" s="147"/>
      <c r="H14" s="147"/>
      <c r="I14" s="66" t="s">
        <v>89</v>
      </c>
    </row>
    <row r="15" spans="1:9" ht="15.5" x14ac:dyDescent="0.35">
      <c r="A15" s="66">
        <v>2</v>
      </c>
      <c r="B15" s="147" t="s">
        <v>93</v>
      </c>
      <c r="C15" s="147"/>
      <c r="D15" s="147"/>
      <c r="E15" s="147"/>
      <c r="F15" s="147"/>
      <c r="G15" s="147"/>
      <c r="H15" s="147"/>
      <c r="I15" s="66"/>
    </row>
    <row r="16" spans="1:9" ht="15.5" x14ac:dyDescent="0.35">
      <c r="A16" s="66">
        <v>3</v>
      </c>
      <c r="B16" s="147" t="s">
        <v>94</v>
      </c>
      <c r="C16" s="147"/>
      <c r="D16" s="147"/>
      <c r="E16" s="147"/>
      <c r="F16" s="147"/>
      <c r="G16" s="147"/>
      <c r="H16" s="147"/>
      <c r="I16" s="70">
        <v>1374.81</v>
      </c>
    </row>
    <row r="17" spans="1:10" ht="15.5" x14ac:dyDescent="0.35">
      <c r="A17" s="66">
        <v>4</v>
      </c>
      <c r="B17" s="147" t="s">
        <v>95</v>
      </c>
      <c r="C17" s="147"/>
      <c r="D17" s="147"/>
      <c r="E17" s="147"/>
      <c r="F17" s="147"/>
      <c r="G17" s="147"/>
      <c r="H17" s="147"/>
      <c r="I17" s="66" t="s">
        <v>96</v>
      </c>
    </row>
    <row r="18" spans="1:10" ht="15.5" x14ac:dyDescent="0.35">
      <c r="A18" s="66">
        <v>5</v>
      </c>
      <c r="B18" s="147" t="s">
        <v>97</v>
      </c>
      <c r="C18" s="147"/>
      <c r="D18" s="147"/>
      <c r="E18" s="147"/>
      <c r="F18" s="147"/>
      <c r="G18" s="147"/>
      <c r="H18" s="147"/>
      <c r="I18" s="67">
        <v>44958</v>
      </c>
    </row>
    <row r="19" spans="1:10" ht="15.5" x14ac:dyDescent="0.35">
      <c r="A19" s="150"/>
      <c r="B19" s="150"/>
      <c r="C19" s="150"/>
      <c r="D19" s="150"/>
      <c r="E19" s="150"/>
      <c r="F19" s="150"/>
      <c r="G19" s="150"/>
      <c r="H19" s="150"/>
      <c r="I19" s="150"/>
    </row>
    <row r="20" spans="1:10" ht="15.5" x14ac:dyDescent="0.25">
      <c r="A20" s="133" t="s">
        <v>98</v>
      </c>
      <c r="B20" s="133"/>
      <c r="C20" s="133"/>
      <c r="D20" s="133"/>
      <c r="E20" s="133"/>
      <c r="F20" s="133"/>
      <c r="G20" s="133"/>
      <c r="H20" s="133"/>
      <c r="I20" s="133"/>
    </row>
    <row r="21" spans="1:10" ht="15.5" x14ac:dyDescent="0.35">
      <c r="A21" s="72" t="s">
        <v>99</v>
      </c>
      <c r="B21" s="149" t="s">
        <v>100</v>
      </c>
      <c r="C21" s="149"/>
      <c r="D21" s="149"/>
      <c r="E21" s="149"/>
      <c r="F21" s="149"/>
      <c r="G21" s="149"/>
      <c r="H21" s="72" t="s">
        <v>101</v>
      </c>
      <c r="I21" s="72" t="s">
        <v>102</v>
      </c>
    </row>
    <row r="22" spans="1:10" ht="15.5" x14ac:dyDescent="0.35">
      <c r="A22" s="72" t="s">
        <v>21</v>
      </c>
      <c r="B22" s="147" t="s">
        <v>103</v>
      </c>
      <c r="C22" s="147"/>
      <c r="D22" s="147"/>
      <c r="E22" s="147"/>
      <c r="F22" s="147"/>
      <c r="G22" s="147"/>
      <c r="H22" s="73">
        <v>1</v>
      </c>
      <c r="I22" s="74">
        <v>1374.81</v>
      </c>
    </row>
    <row r="23" spans="1:10" ht="15.5" x14ac:dyDescent="0.35">
      <c r="A23" s="72" t="s">
        <v>23</v>
      </c>
      <c r="B23" s="147" t="s">
        <v>104</v>
      </c>
      <c r="C23" s="147"/>
      <c r="D23" s="147"/>
      <c r="E23" s="147"/>
      <c r="F23" s="147"/>
      <c r="G23" s="147"/>
      <c r="H23" s="75">
        <v>0.3</v>
      </c>
      <c r="I23" s="76">
        <f>I22*H23</f>
        <v>412.44299999999998</v>
      </c>
    </row>
    <row r="24" spans="1:10" ht="15.5" x14ac:dyDescent="0.35">
      <c r="A24" s="72" t="s">
        <v>39</v>
      </c>
      <c r="B24" s="147" t="s">
        <v>105</v>
      </c>
      <c r="C24" s="147"/>
      <c r="D24" s="147"/>
      <c r="E24" s="147"/>
      <c r="F24" s="147"/>
      <c r="G24" s="147"/>
      <c r="H24" s="75">
        <v>0</v>
      </c>
      <c r="I24" s="76">
        <f>I22*H24</f>
        <v>0</v>
      </c>
    </row>
    <row r="25" spans="1:10" ht="15.5" x14ac:dyDescent="0.35">
      <c r="A25" s="72" t="s">
        <v>41</v>
      </c>
      <c r="B25" s="147" t="s">
        <v>69</v>
      </c>
      <c r="C25" s="147"/>
      <c r="D25" s="147"/>
      <c r="E25" s="147"/>
      <c r="F25" s="147"/>
      <c r="G25" s="147"/>
      <c r="H25" s="75">
        <v>0</v>
      </c>
      <c r="I25" s="76">
        <v>0</v>
      </c>
    </row>
    <row r="26" spans="1:10" ht="15.5" x14ac:dyDescent="0.35">
      <c r="A26" s="72" t="s">
        <v>43</v>
      </c>
      <c r="B26" s="147" t="s">
        <v>106</v>
      </c>
      <c r="C26" s="147"/>
      <c r="D26" s="147"/>
      <c r="E26" s="147"/>
      <c r="F26" s="147"/>
      <c r="G26" s="147"/>
      <c r="H26" s="77">
        <v>0</v>
      </c>
      <c r="I26" s="76">
        <v>0</v>
      </c>
      <c r="J26" s="29"/>
    </row>
    <row r="27" spans="1:10" ht="15.5" x14ac:dyDescent="0.35">
      <c r="A27" s="72" t="s">
        <v>45</v>
      </c>
      <c r="B27" s="147" t="s">
        <v>107</v>
      </c>
      <c r="C27" s="147"/>
      <c r="D27" s="147"/>
      <c r="E27" s="147"/>
      <c r="F27" s="147"/>
      <c r="G27" s="147"/>
      <c r="H27" s="75">
        <v>0</v>
      </c>
      <c r="I27" s="76">
        <v>0</v>
      </c>
    </row>
    <row r="28" spans="1:10" ht="15.5" x14ac:dyDescent="0.35">
      <c r="A28" s="149" t="s">
        <v>108</v>
      </c>
      <c r="B28" s="149"/>
      <c r="C28" s="149"/>
      <c r="D28" s="149"/>
      <c r="E28" s="149"/>
      <c r="F28" s="149"/>
      <c r="G28" s="149"/>
      <c r="H28" s="149"/>
      <c r="I28" s="78">
        <f>SUM(I22:I27)</f>
        <v>1787.2529999999999</v>
      </c>
    </row>
    <row r="29" spans="1:10" ht="15.5" x14ac:dyDescent="0.35">
      <c r="A29" s="72" t="s">
        <v>109</v>
      </c>
      <c r="B29" s="149" t="s">
        <v>110</v>
      </c>
      <c r="C29" s="149"/>
      <c r="D29" s="149"/>
      <c r="E29" s="149"/>
      <c r="F29" s="149"/>
      <c r="G29" s="149"/>
      <c r="H29" s="72" t="s">
        <v>101</v>
      </c>
      <c r="I29" s="72" t="s">
        <v>102</v>
      </c>
    </row>
    <row r="30" spans="1:10" ht="15.5" x14ac:dyDescent="0.35">
      <c r="A30" s="72" t="s">
        <v>21</v>
      </c>
      <c r="B30" s="147" t="s">
        <v>111</v>
      </c>
      <c r="C30" s="147"/>
      <c r="D30" s="147"/>
      <c r="E30" s="147"/>
      <c r="F30" s="147"/>
      <c r="G30" s="147"/>
      <c r="H30" s="75">
        <v>0.18229999999999999</v>
      </c>
      <c r="I30" s="76">
        <v>250.63</v>
      </c>
    </row>
    <row r="31" spans="1:10" ht="15.5" x14ac:dyDescent="0.35">
      <c r="A31" s="72" t="s">
        <v>23</v>
      </c>
      <c r="B31" s="147" t="s">
        <v>112</v>
      </c>
      <c r="C31" s="147"/>
      <c r="D31" s="147"/>
      <c r="E31" s="147"/>
      <c r="F31" s="147"/>
      <c r="G31" s="147"/>
      <c r="H31" s="75"/>
      <c r="I31" s="76">
        <v>6.09</v>
      </c>
    </row>
    <row r="32" spans="1:10" ht="15.5" x14ac:dyDescent="0.35">
      <c r="A32" s="72" t="s">
        <v>41</v>
      </c>
      <c r="B32" s="147" t="s">
        <v>113</v>
      </c>
      <c r="C32" s="147"/>
      <c r="D32" s="147"/>
      <c r="E32" s="147"/>
      <c r="F32" s="147"/>
      <c r="G32" s="147"/>
      <c r="H32" s="75"/>
      <c r="I32" s="76">
        <v>185.39</v>
      </c>
    </row>
    <row r="33" spans="1:12" ht="15.5" x14ac:dyDescent="0.35">
      <c r="A33" s="149" t="s">
        <v>114</v>
      </c>
      <c r="B33" s="149"/>
      <c r="C33" s="149"/>
      <c r="D33" s="149"/>
      <c r="E33" s="149"/>
      <c r="F33" s="149"/>
      <c r="G33" s="149"/>
      <c r="H33" s="149"/>
      <c r="I33" s="78">
        <v>442.11</v>
      </c>
    </row>
    <row r="34" spans="1:12" ht="15.5" x14ac:dyDescent="0.35">
      <c r="A34" s="149" t="s">
        <v>115</v>
      </c>
      <c r="B34" s="149"/>
      <c r="C34" s="149"/>
      <c r="D34" s="149"/>
      <c r="E34" s="149"/>
      <c r="F34" s="149"/>
      <c r="G34" s="149"/>
      <c r="H34" s="149"/>
      <c r="I34" s="78">
        <v>2229.36</v>
      </c>
      <c r="J34" s="15"/>
    </row>
    <row r="35" spans="1:12" ht="15.5" x14ac:dyDescent="0.35">
      <c r="A35" s="79"/>
      <c r="B35" s="79"/>
      <c r="C35" s="79"/>
      <c r="D35" s="79"/>
      <c r="E35" s="79"/>
      <c r="F35" s="79"/>
      <c r="G35" s="79"/>
      <c r="H35" s="79"/>
      <c r="I35" s="80"/>
    </row>
    <row r="36" spans="1:12" ht="15.5" x14ac:dyDescent="0.25">
      <c r="A36" s="133" t="s">
        <v>116</v>
      </c>
      <c r="B36" s="133"/>
      <c r="C36" s="133"/>
      <c r="D36" s="133"/>
      <c r="E36" s="133"/>
      <c r="F36" s="133"/>
      <c r="G36" s="133"/>
      <c r="H36" s="133"/>
      <c r="I36" s="133"/>
    </row>
    <row r="37" spans="1:12" ht="15.5" x14ac:dyDescent="0.35">
      <c r="A37" s="149" t="s">
        <v>117</v>
      </c>
      <c r="B37" s="149"/>
      <c r="C37" s="149"/>
      <c r="D37" s="149"/>
      <c r="E37" s="149"/>
      <c r="F37" s="149"/>
      <c r="G37" s="149"/>
      <c r="H37" s="72" t="s">
        <v>101</v>
      </c>
      <c r="I37" s="72" t="s">
        <v>102</v>
      </c>
    </row>
    <row r="38" spans="1:12" ht="15.5" x14ac:dyDescent="0.35">
      <c r="A38" s="72" t="s">
        <v>21</v>
      </c>
      <c r="B38" s="147" t="s">
        <v>118</v>
      </c>
      <c r="C38" s="147"/>
      <c r="D38" s="147"/>
      <c r="E38" s="147"/>
      <c r="F38" s="147"/>
      <c r="G38" s="147"/>
      <c r="H38" s="81">
        <v>8.3299999999999999E-2</v>
      </c>
      <c r="I38" s="76">
        <f>I28/12</f>
        <v>148.93774999999999</v>
      </c>
    </row>
    <row r="39" spans="1:12" ht="15.5" x14ac:dyDescent="0.35">
      <c r="A39" s="72" t="s">
        <v>23</v>
      </c>
      <c r="B39" s="147" t="s">
        <v>119</v>
      </c>
      <c r="C39" s="147"/>
      <c r="D39" s="147"/>
      <c r="E39" s="147"/>
      <c r="F39" s="147"/>
      <c r="G39" s="147"/>
      <c r="H39" s="82"/>
      <c r="I39" s="76">
        <f>(I28/12)+ (I28/3)/12</f>
        <v>198.58366666666666</v>
      </c>
    </row>
    <row r="40" spans="1:12" ht="15.5" x14ac:dyDescent="0.35">
      <c r="A40" s="149" t="s">
        <v>120</v>
      </c>
      <c r="B40" s="149"/>
      <c r="C40" s="149"/>
      <c r="D40" s="149"/>
      <c r="E40" s="149"/>
      <c r="F40" s="149"/>
      <c r="G40" s="149"/>
      <c r="H40" s="83"/>
      <c r="I40" s="84">
        <f>SUM(I38:I39)</f>
        <v>347.52141666666665</v>
      </c>
    </row>
    <row r="41" spans="1:12" ht="15.5" x14ac:dyDescent="0.35">
      <c r="A41" s="151"/>
      <c r="B41" s="152"/>
      <c r="C41" s="152"/>
      <c r="D41" s="152"/>
      <c r="E41" s="152"/>
      <c r="F41" s="152"/>
      <c r="G41" s="152"/>
      <c r="H41" s="152"/>
      <c r="I41" s="152"/>
    </row>
    <row r="42" spans="1:12" ht="15.75" customHeight="1" x14ac:dyDescent="0.35">
      <c r="A42" s="149" t="s">
        <v>121</v>
      </c>
      <c r="B42" s="149"/>
      <c r="C42" s="149"/>
      <c r="D42" s="149"/>
      <c r="E42" s="149"/>
      <c r="F42" s="149"/>
      <c r="G42" s="149"/>
      <c r="H42" s="72" t="s">
        <v>101</v>
      </c>
      <c r="I42" s="72" t="s">
        <v>102</v>
      </c>
    </row>
    <row r="43" spans="1:12" ht="15.5" x14ac:dyDescent="0.35">
      <c r="A43" s="72" t="s">
        <v>21</v>
      </c>
      <c r="B43" s="147" t="s">
        <v>122</v>
      </c>
      <c r="C43" s="147"/>
      <c r="D43" s="147"/>
      <c r="E43" s="147"/>
      <c r="F43" s="147"/>
      <c r="G43" s="147"/>
      <c r="H43" s="85">
        <v>0.2</v>
      </c>
      <c r="I43" s="76">
        <f>(I28+I40)*H43</f>
        <v>426.95488333333333</v>
      </c>
      <c r="K43" s="11"/>
      <c r="L43" s="9"/>
    </row>
    <row r="44" spans="1:12" ht="15.5" x14ac:dyDescent="0.35">
      <c r="A44" s="72" t="s">
        <v>23</v>
      </c>
      <c r="B44" s="147" t="s">
        <v>123</v>
      </c>
      <c r="C44" s="147"/>
      <c r="D44" s="147"/>
      <c r="E44" s="147"/>
      <c r="F44" s="147"/>
      <c r="G44" s="147"/>
      <c r="H44" s="85">
        <v>2.5000000000000001E-2</v>
      </c>
      <c r="I44" s="76">
        <f>(I28+I40)*H44</f>
        <v>53.369360416666666</v>
      </c>
      <c r="K44" s="12"/>
      <c r="L44" s="9"/>
    </row>
    <row r="45" spans="1:12" ht="15.5" x14ac:dyDescent="0.35">
      <c r="A45" s="72" t="s">
        <v>39</v>
      </c>
      <c r="B45" s="147" t="s">
        <v>124</v>
      </c>
      <c r="C45" s="147"/>
      <c r="D45" s="147"/>
      <c r="E45" s="147"/>
      <c r="F45" s="147"/>
      <c r="G45" s="147"/>
      <c r="H45" s="85">
        <v>0.03</v>
      </c>
      <c r="I45" s="76">
        <f>(I28+I40)*H45</f>
        <v>64.043232500000002</v>
      </c>
      <c r="K45" s="11"/>
    </row>
    <row r="46" spans="1:12" ht="15.5" x14ac:dyDescent="0.35">
      <c r="A46" s="72" t="s">
        <v>41</v>
      </c>
      <c r="B46" s="147" t="s">
        <v>125</v>
      </c>
      <c r="C46" s="147"/>
      <c r="D46" s="147"/>
      <c r="E46" s="147"/>
      <c r="F46" s="147"/>
      <c r="G46" s="147"/>
      <c r="H46" s="85">
        <v>1.4999999999999999E-2</v>
      </c>
      <c r="I46" s="76">
        <f>(I28+I40)*H46</f>
        <v>32.021616250000001</v>
      </c>
      <c r="K46" s="11"/>
    </row>
    <row r="47" spans="1:12" ht="15.5" x14ac:dyDescent="0.35">
      <c r="A47" s="72" t="s">
        <v>43</v>
      </c>
      <c r="B47" s="147" t="s">
        <v>126</v>
      </c>
      <c r="C47" s="147"/>
      <c r="D47" s="147"/>
      <c r="E47" s="147"/>
      <c r="F47" s="147"/>
      <c r="G47" s="147"/>
      <c r="H47" s="85">
        <v>0.01</v>
      </c>
      <c r="I47" s="76">
        <f>(I28+I40)*H47</f>
        <v>21.347744166666669</v>
      </c>
    </row>
    <row r="48" spans="1:12" ht="15.5" x14ac:dyDescent="0.35">
      <c r="A48" s="72" t="s">
        <v>45</v>
      </c>
      <c r="B48" s="147" t="s">
        <v>127</v>
      </c>
      <c r="C48" s="147"/>
      <c r="D48" s="147"/>
      <c r="E48" s="147"/>
      <c r="F48" s="147"/>
      <c r="G48" s="147"/>
      <c r="H48" s="85">
        <v>6.0000000000000001E-3</v>
      </c>
      <c r="I48" s="76">
        <f>(I28+I40)*H48</f>
        <v>12.8086465</v>
      </c>
    </row>
    <row r="49" spans="1:20" ht="15.5" x14ac:dyDescent="0.35">
      <c r="A49" s="72" t="s">
        <v>47</v>
      </c>
      <c r="B49" s="147" t="s">
        <v>128</v>
      </c>
      <c r="C49" s="147"/>
      <c r="D49" s="147"/>
      <c r="E49" s="147"/>
      <c r="F49" s="147"/>
      <c r="G49" s="147"/>
      <c r="H49" s="85">
        <v>2E-3</v>
      </c>
      <c r="I49" s="76">
        <f>(I28+I40)*H49</f>
        <v>4.2695488333333333</v>
      </c>
    </row>
    <row r="50" spans="1:20" ht="15.5" x14ac:dyDescent="0.35">
      <c r="A50" s="72" t="s">
        <v>49</v>
      </c>
      <c r="B50" s="147" t="s">
        <v>129</v>
      </c>
      <c r="C50" s="147"/>
      <c r="D50" s="147"/>
      <c r="E50" s="147"/>
      <c r="F50" s="147"/>
      <c r="G50" s="147"/>
      <c r="H50" s="85">
        <v>0.08</v>
      </c>
      <c r="I50" s="76">
        <f>(I28+I40)*H50</f>
        <v>170.78195333333335</v>
      </c>
    </row>
    <row r="51" spans="1:20" ht="15.5" x14ac:dyDescent="0.35">
      <c r="A51" s="149" t="s">
        <v>130</v>
      </c>
      <c r="B51" s="149"/>
      <c r="C51" s="149"/>
      <c r="D51" s="149"/>
      <c r="E51" s="149"/>
      <c r="F51" s="149"/>
      <c r="G51" s="149"/>
      <c r="H51" s="86">
        <f>SUM(H43:H50)</f>
        <v>0.36800000000000005</v>
      </c>
      <c r="I51" s="78">
        <f>SUM(I43:I50)</f>
        <v>785.59698533333335</v>
      </c>
    </row>
    <row r="52" spans="1:20" ht="16" thickBot="1" x14ac:dyDescent="0.4">
      <c r="A52" s="162"/>
      <c r="B52" s="162"/>
      <c r="C52" s="162"/>
      <c r="D52" s="162"/>
      <c r="E52" s="162"/>
      <c r="F52" s="162"/>
      <c r="G52" s="162"/>
      <c r="H52" s="162"/>
      <c r="I52" s="163"/>
      <c r="K52" s="6"/>
    </row>
    <row r="53" spans="1:20" ht="16" thickBot="1" x14ac:dyDescent="0.4">
      <c r="A53" s="149" t="s">
        <v>131</v>
      </c>
      <c r="B53" s="149"/>
      <c r="C53" s="149"/>
      <c r="D53" s="149"/>
      <c r="E53" s="149"/>
      <c r="F53" s="149"/>
      <c r="G53" s="149"/>
      <c r="H53" s="83"/>
      <c r="I53" s="72" t="s">
        <v>102</v>
      </c>
      <c r="K53" s="157" t="s">
        <v>132</v>
      </c>
      <c r="L53" s="158"/>
      <c r="M53" s="158"/>
      <c r="N53" s="158"/>
      <c r="O53" s="159"/>
      <c r="Q53" s="157" t="s">
        <v>133</v>
      </c>
      <c r="R53" s="158"/>
      <c r="S53" s="158"/>
      <c r="T53" s="159"/>
    </row>
    <row r="54" spans="1:20" ht="14.25" customHeight="1" x14ac:dyDescent="0.35">
      <c r="A54" s="72" t="s">
        <v>21</v>
      </c>
      <c r="B54" s="153" t="s">
        <v>134</v>
      </c>
      <c r="C54" s="153"/>
      <c r="D54" s="153"/>
      <c r="E54" s="153"/>
      <c r="F54" s="153"/>
      <c r="G54" s="153"/>
      <c r="H54" s="66" t="s">
        <v>80</v>
      </c>
      <c r="I54" s="89">
        <f>O55-N58</f>
        <v>69.594400000000007</v>
      </c>
      <c r="J54" s="18"/>
      <c r="K54" s="21" t="s">
        <v>135</v>
      </c>
      <c r="L54" s="22" t="s">
        <v>136</v>
      </c>
      <c r="M54" s="23" t="s">
        <v>137</v>
      </c>
      <c r="N54" s="23" t="s">
        <v>138</v>
      </c>
      <c r="O54" s="24" t="s">
        <v>139</v>
      </c>
      <c r="Q54" s="21" t="s">
        <v>140</v>
      </c>
      <c r="R54" s="22" t="s">
        <v>141</v>
      </c>
      <c r="S54" s="23" t="s">
        <v>138</v>
      </c>
      <c r="T54" s="24" t="s">
        <v>139</v>
      </c>
    </row>
    <row r="55" spans="1:20" ht="16" thickBot="1" x14ac:dyDescent="0.4">
      <c r="A55" s="72" t="s">
        <v>23</v>
      </c>
      <c r="B55" s="154" t="s">
        <v>142</v>
      </c>
      <c r="C55" s="155"/>
      <c r="D55" s="155"/>
      <c r="E55" s="155"/>
      <c r="F55" s="155"/>
      <c r="G55" s="156"/>
      <c r="H55" s="66" t="s">
        <v>80</v>
      </c>
      <c r="I55" s="89">
        <f>T55</f>
        <v>243.33279999999999</v>
      </c>
      <c r="K55" s="19" t="s">
        <v>89</v>
      </c>
      <c r="L55" s="20">
        <v>5</v>
      </c>
      <c r="M55" s="20">
        <v>2</v>
      </c>
      <c r="N55" s="20">
        <v>15.208299999999999</v>
      </c>
      <c r="O55" s="25">
        <f>L55*M55*N55</f>
        <v>152.083</v>
      </c>
      <c r="Q55" s="19" t="s">
        <v>89</v>
      </c>
      <c r="R55" s="20">
        <v>16</v>
      </c>
      <c r="S55" s="20">
        <v>15.208299999999999</v>
      </c>
      <c r="T55" s="25">
        <f>R55*S55</f>
        <v>243.33279999999999</v>
      </c>
    </row>
    <row r="56" spans="1:20" ht="16.5" customHeight="1" thickBot="1" x14ac:dyDescent="0.4">
      <c r="A56" s="72" t="s">
        <v>39</v>
      </c>
      <c r="B56" s="153" t="s">
        <v>143</v>
      </c>
      <c r="C56" s="153"/>
      <c r="D56" s="153"/>
      <c r="E56" s="153"/>
      <c r="F56" s="153"/>
      <c r="G56" s="153"/>
      <c r="H56" s="66" t="s">
        <v>80</v>
      </c>
      <c r="I56" s="89">
        <v>198.07</v>
      </c>
      <c r="K56" s="157" t="s">
        <v>144</v>
      </c>
      <c r="L56" s="158"/>
      <c r="M56" s="158"/>
      <c r="N56" s="158"/>
      <c r="O56" s="159"/>
      <c r="Q56" s="157" t="s">
        <v>145</v>
      </c>
      <c r="R56" s="158"/>
      <c r="S56" s="158"/>
      <c r="T56" s="159"/>
    </row>
    <row r="57" spans="1:20" ht="15" customHeight="1" x14ac:dyDescent="0.35">
      <c r="A57" s="72" t="s">
        <v>41</v>
      </c>
      <c r="B57" s="153" t="s">
        <v>146</v>
      </c>
      <c r="C57" s="153"/>
      <c r="D57" s="153"/>
      <c r="E57" s="153"/>
      <c r="F57" s="153"/>
      <c r="G57" s="153"/>
      <c r="H57" s="66" t="s">
        <v>80</v>
      </c>
      <c r="I57" s="89">
        <v>11.41</v>
      </c>
      <c r="K57" s="21" t="s">
        <v>147</v>
      </c>
      <c r="L57" s="22" t="s">
        <v>148</v>
      </c>
      <c r="M57" s="23" t="s">
        <v>149</v>
      </c>
      <c r="N57" s="160" t="s">
        <v>150</v>
      </c>
      <c r="O57" s="161"/>
      <c r="Q57" s="21" t="s">
        <v>140</v>
      </c>
      <c r="R57" s="22" t="s">
        <v>148</v>
      </c>
      <c r="S57" s="23" t="s">
        <v>149</v>
      </c>
      <c r="T57" s="24" t="s">
        <v>139</v>
      </c>
    </row>
    <row r="58" spans="1:20" ht="16" thickBot="1" x14ac:dyDescent="0.4">
      <c r="A58" s="149" t="s">
        <v>151</v>
      </c>
      <c r="B58" s="149"/>
      <c r="C58" s="149"/>
      <c r="D58" s="149"/>
      <c r="E58" s="149"/>
      <c r="F58" s="149"/>
      <c r="G58" s="149"/>
      <c r="H58" s="149"/>
      <c r="I58" s="78">
        <f>SUM(I54:I57)</f>
        <v>522.40719999999999</v>
      </c>
      <c r="K58" s="19" t="s">
        <v>89</v>
      </c>
      <c r="L58" s="27">
        <f>I22</f>
        <v>1374.81</v>
      </c>
      <c r="M58" s="26">
        <v>0.06</v>
      </c>
      <c r="N58" s="169">
        <f>L58*M58</f>
        <v>82.488599999999991</v>
      </c>
      <c r="O58" s="170"/>
      <c r="Q58" s="19" t="s">
        <v>89</v>
      </c>
      <c r="R58" s="27">
        <f>T55</f>
        <v>243.33279999999999</v>
      </c>
      <c r="S58" s="26">
        <v>0.15</v>
      </c>
      <c r="T58" s="25">
        <f>R58*S58</f>
        <v>36.499919999999996</v>
      </c>
    </row>
    <row r="59" spans="1:20" ht="15.5" x14ac:dyDescent="0.35">
      <c r="A59" s="162"/>
      <c r="B59" s="162"/>
      <c r="C59" s="162"/>
      <c r="D59" s="162"/>
      <c r="E59" s="162"/>
      <c r="F59" s="162"/>
      <c r="G59" s="162"/>
      <c r="H59" s="162"/>
      <c r="I59" s="163"/>
    </row>
    <row r="60" spans="1:20" ht="15.5" x14ac:dyDescent="0.3">
      <c r="A60" s="133" t="s">
        <v>152</v>
      </c>
      <c r="B60" s="133"/>
      <c r="C60" s="133"/>
      <c r="D60" s="133"/>
      <c r="E60" s="133"/>
      <c r="F60" s="133"/>
      <c r="G60" s="133"/>
      <c r="H60" s="133"/>
      <c r="I60" s="133"/>
      <c r="K60" s="171"/>
      <c r="L60" s="171"/>
      <c r="M60" s="171"/>
      <c r="N60" s="171"/>
      <c r="O60" s="171"/>
    </row>
    <row r="61" spans="1:20" ht="15.5" x14ac:dyDescent="0.35">
      <c r="A61" s="172" t="s">
        <v>153</v>
      </c>
      <c r="B61" s="173"/>
      <c r="C61" s="173"/>
      <c r="D61" s="173"/>
      <c r="E61" s="173"/>
      <c r="F61" s="173"/>
      <c r="G61" s="173"/>
      <c r="H61" s="174"/>
      <c r="I61" s="72" t="s">
        <v>102</v>
      </c>
      <c r="K61" s="28"/>
      <c r="L61" s="2"/>
      <c r="M61" s="28"/>
      <c r="N61" s="28"/>
      <c r="O61" s="28"/>
    </row>
    <row r="62" spans="1:20" ht="15.5" x14ac:dyDescent="0.35">
      <c r="A62" s="72" t="s">
        <v>154</v>
      </c>
      <c r="B62" s="164" t="s">
        <v>155</v>
      </c>
      <c r="C62" s="165"/>
      <c r="D62" s="165"/>
      <c r="E62" s="165"/>
      <c r="F62" s="165"/>
      <c r="G62" s="165"/>
      <c r="H62" s="166"/>
      <c r="I62" s="76">
        <f>I40</f>
        <v>347.52141666666665</v>
      </c>
      <c r="O62" s="15"/>
    </row>
    <row r="63" spans="1:20" ht="15.5" x14ac:dyDescent="0.35">
      <c r="A63" s="72" t="s">
        <v>156</v>
      </c>
      <c r="B63" s="148" t="s">
        <v>157</v>
      </c>
      <c r="C63" s="148"/>
      <c r="D63" s="148"/>
      <c r="E63" s="148"/>
      <c r="F63" s="148"/>
      <c r="G63" s="148"/>
      <c r="H63" s="148"/>
      <c r="I63" s="74">
        <f>I51</f>
        <v>785.59698533333335</v>
      </c>
    </row>
    <row r="64" spans="1:20" ht="15.5" x14ac:dyDescent="0.35">
      <c r="A64" s="72" t="s">
        <v>158</v>
      </c>
      <c r="B64" s="148" t="s">
        <v>159</v>
      </c>
      <c r="C64" s="148"/>
      <c r="D64" s="148"/>
      <c r="E64" s="148"/>
      <c r="F64" s="148"/>
      <c r="G64" s="148"/>
      <c r="H64" s="148"/>
      <c r="I64" s="74">
        <f>I58</f>
        <v>522.40719999999999</v>
      </c>
    </row>
    <row r="65" spans="1:15" ht="15.5" x14ac:dyDescent="0.35">
      <c r="A65" s="149" t="s">
        <v>160</v>
      </c>
      <c r="B65" s="149"/>
      <c r="C65" s="149"/>
      <c r="D65" s="149"/>
      <c r="E65" s="149"/>
      <c r="F65" s="149"/>
      <c r="G65" s="149"/>
      <c r="H65" s="149"/>
      <c r="I65" s="78">
        <f>SUM(I62:I64)</f>
        <v>1655.5256020000002</v>
      </c>
    </row>
    <row r="66" spans="1:15" ht="15.5" x14ac:dyDescent="0.35">
      <c r="A66" s="167"/>
      <c r="B66" s="168"/>
      <c r="C66" s="168"/>
      <c r="D66" s="168"/>
      <c r="E66" s="168"/>
      <c r="F66" s="168"/>
      <c r="G66" s="168"/>
      <c r="H66" s="168"/>
      <c r="I66" s="168"/>
    </row>
    <row r="67" spans="1:15" ht="15.5" x14ac:dyDescent="0.3">
      <c r="A67" s="133" t="s">
        <v>161</v>
      </c>
      <c r="B67" s="133"/>
      <c r="C67" s="133"/>
      <c r="D67" s="133"/>
      <c r="E67" s="133"/>
      <c r="F67" s="133"/>
      <c r="G67" s="133"/>
      <c r="H67" s="133"/>
      <c r="I67" s="133"/>
      <c r="K67" s="175" t="s">
        <v>162</v>
      </c>
      <c r="L67" s="176"/>
      <c r="M67" s="2" t="s">
        <v>163</v>
      </c>
      <c r="N67" s="2"/>
    </row>
    <row r="68" spans="1:15" ht="15.5" x14ac:dyDescent="0.35">
      <c r="A68" s="72">
        <v>3</v>
      </c>
      <c r="B68" s="149" t="s">
        <v>164</v>
      </c>
      <c r="C68" s="149"/>
      <c r="D68" s="149"/>
      <c r="E68" s="149"/>
      <c r="F68" s="149"/>
      <c r="G68" s="149"/>
      <c r="H68" s="72" t="s">
        <v>101</v>
      </c>
      <c r="I68" s="72" t="s">
        <v>102</v>
      </c>
      <c r="K68" s="7" t="s">
        <v>165</v>
      </c>
      <c r="L68" s="7" t="s">
        <v>149</v>
      </c>
      <c r="M68" s="5" t="s">
        <v>166</v>
      </c>
    </row>
    <row r="69" spans="1:15" ht="15.5" x14ac:dyDescent="0.35">
      <c r="A69" s="72" t="s">
        <v>21</v>
      </c>
      <c r="B69" s="147" t="s">
        <v>30</v>
      </c>
      <c r="C69" s="147"/>
      <c r="D69" s="147"/>
      <c r="E69" s="147"/>
      <c r="F69" s="147"/>
      <c r="G69" s="147"/>
      <c r="H69" s="81"/>
      <c r="I69" s="76">
        <f>((I28)/12)*37.01%</f>
        <v>55.121861274999993</v>
      </c>
      <c r="K69" s="10" t="s">
        <v>167</v>
      </c>
      <c r="L69" s="1" t="s">
        <v>168</v>
      </c>
      <c r="M69" s="5" t="s">
        <v>169</v>
      </c>
      <c r="N69" s="5"/>
    </row>
    <row r="70" spans="1:15" ht="15.5" x14ac:dyDescent="0.35">
      <c r="A70" s="72" t="s">
        <v>23</v>
      </c>
      <c r="B70" s="147" t="s">
        <v>170</v>
      </c>
      <c r="C70" s="147"/>
      <c r="D70" s="147"/>
      <c r="E70" s="147"/>
      <c r="F70" s="147"/>
      <c r="G70" s="147"/>
      <c r="H70" s="90"/>
      <c r="I70" s="76">
        <f>I69*8%</f>
        <v>4.4097489019999996</v>
      </c>
      <c r="K70" s="10" t="s">
        <v>171</v>
      </c>
      <c r="L70" s="8" t="s">
        <v>172</v>
      </c>
      <c r="M70" s="15">
        <f>((I34+I62+I64+I50)/12)*37.01%</f>
        <v>100.85442649641666</v>
      </c>
      <c r="O70" s="15"/>
    </row>
    <row r="71" spans="1:15" ht="15.5" x14ac:dyDescent="0.35">
      <c r="A71" s="72" t="s">
        <v>39</v>
      </c>
      <c r="B71" s="147" t="s">
        <v>173</v>
      </c>
      <c r="C71" s="147"/>
      <c r="D71" s="147"/>
      <c r="E71" s="147"/>
      <c r="F71" s="147"/>
      <c r="G71" s="147"/>
      <c r="H71" s="91"/>
      <c r="I71" s="76">
        <f>(I50*40%)*37.01%</f>
        <v>25.282560371466673</v>
      </c>
      <c r="K71" s="10" t="s">
        <v>174</v>
      </c>
      <c r="L71" s="1">
        <v>0.2382</v>
      </c>
      <c r="M71" s="5" t="s">
        <v>175</v>
      </c>
      <c r="N71" s="5"/>
    </row>
    <row r="72" spans="1:15" ht="17.25" customHeight="1" x14ac:dyDescent="0.35">
      <c r="A72" s="92" t="s">
        <v>41</v>
      </c>
      <c r="B72" s="177" t="s">
        <v>176</v>
      </c>
      <c r="C72" s="177"/>
      <c r="D72" s="177"/>
      <c r="E72" s="177"/>
      <c r="F72" s="177"/>
      <c r="G72" s="177"/>
      <c r="H72" s="81"/>
      <c r="I72" s="76">
        <f>(I28/30)/12*7*37.01%</f>
        <v>12.861767630833333</v>
      </c>
      <c r="J72">
        <f>(I28/12)*37.01%</f>
        <v>55.121861274999993</v>
      </c>
      <c r="K72" s="178" t="s">
        <v>177</v>
      </c>
      <c r="L72" s="179"/>
      <c r="M72" s="15">
        <f>I50*40%</f>
        <v>68.312781333333348</v>
      </c>
      <c r="N72" s="15">
        <f>44.91*37.01%</f>
        <v>16.621191</v>
      </c>
    </row>
    <row r="73" spans="1:15" ht="15.65" customHeight="1" x14ac:dyDescent="0.35">
      <c r="A73" s="72" t="s">
        <v>43</v>
      </c>
      <c r="B73" s="147" t="s">
        <v>178</v>
      </c>
      <c r="C73" s="147"/>
      <c r="D73" s="147"/>
      <c r="E73" s="147"/>
      <c r="F73" s="147"/>
      <c r="G73" s="147"/>
      <c r="H73" s="82"/>
      <c r="I73" s="76">
        <f>(I72*H51)</f>
        <v>4.7331304881466671</v>
      </c>
      <c r="L73" s="18"/>
      <c r="M73" s="2" t="s">
        <v>179</v>
      </c>
      <c r="N73" s="2"/>
    </row>
    <row r="74" spans="1:15" ht="15.65" customHeight="1" x14ac:dyDescent="0.35">
      <c r="A74" s="72" t="s">
        <v>45</v>
      </c>
      <c r="B74" s="147" t="s">
        <v>180</v>
      </c>
      <c r="C74" s="147"/>
      <c r="D74" s="147"/>
      <c r="E74" s="147"/>
      <c r="F74" s="147"/>
      <c r="G74" s="147"/>
      <c r="H74" s="91"/>
      <c r="I74" s="76">
        <f>(I50*40%)*37.01%</f>
        <v>25.282560371466673</v>
      </c>
      <c r="M74" s="5" t="s">
        <v>166</v>
      </c>
    </row>
    <row r="75" spans="1:15" ht="15.65" customHeight="1" x14ac:dyDescent="0.35">
      <c r="A75" s="149" t="s">
        <v>181</v>
      </c>
      <c r="B75" s="149"/>
      <c r="C75" s="149"/>
      <c r="D75" s="149"/>
      <c r="E75" s="149"/>
      <c r="F75" s="149"/>
      <c r="G75" s="149"/>
      <c r="H75" s="83"/>
      <c r="I75" s="84">
        <f>SUM(I69:I74)</f>
        <v>127.69162903891333</v>
      </c>
      <c r="M75" s="5" t="s">
        <v>182</v>
      </c>
      <c r="N75" s="5"/>
    </row>
    <row r="76" spans="1:15" ht="15.65" customHeight="1" x14ac:dyDescent="0.35">
      <c r="A76" s="172"/>
      <c r="B76" s="173"/>
      <c r="C76" s="173"/>
      <c r="D76" s="173"/>
      <c r="E76" s="173"/>
      <c r="F76" s="173"/>
      <c r="G76" s="173"/>
      <c r="H76" s="173"/>
      <c r="I76" s="173"/>
      <c r="K76">
        <v>76.510000000000005</v>
      </c>
      <c r="M76" s="15">
        <f>(I34+I65)/12</f>
        <v>323.74046683333336</v>
      </c>
      <c r="N76">
        <f>M76*37.01%</f>
        <v>119.81634677501667</v>
      </c>
    </row>
    <row r="77" spans="1:15" ht="15.65" customHeight="1" x14ac:dyDescent="0.3">
      <c r="A77" s="133" t="s">
        <v>183</v>
      </c>
      <c r="B77" s="133"/>
      <c r="C77" s="133"/>
      <c r="D77" s="133"/>
      <c r="E77" s="133"/>
      <c r="F77" s="133"/>
      <c r="G77" s="133"/>
      <c r="H77" s="133"/>
      <c r="I77" s="133"/>
      <c r="M77" s="5" t="s">
        <v>175</v>
      </c>
      <c r="N77" s="5"/>
    </row>
    <row r="78" spans="1:15" ht="15.65" customHeight="1" x14ac:dyDescent="0.35">
      <c r="A78" s="149" t="s">
        <v>184</v>
      </c>
      <c r="B78" s="149"/>
      <c r="C78" s="149"/>
      <c r="D78" s="149"/>
      <c r="E78" s="149"/>
      <c r="F78" s="149"/>
      <c r="G78" s="149"/>
      <c r="H78" s="72" t="s">
        <v>101</v>
      </c>
      <c r="I78" s="72" t="s">
        <v>102</v>
      </c>
      <c r="M78" s="15">
        <f>I50*40%</f>
        <v>68.312781333333348</v>
      </c>
      <c r="N78" s="15">
        <f>M78*37.01%</f>
        <v>25.282560371466673</v>
      </c>
    </row>
    <row r="79" spans="1:15" ht="29.25" customHeight="1" x14ac:dyDescent="0.35">
      <c r="A79" s="72" t="s">
        <v>21</v>
      </c>
      <c r="B79" s="183" t="s">
        <v>185</v>
      </c>
      <c r="C79" s="183"/>
      <c r="D79" s="183"/>
      <c r="E79" s="183"/>
      <c r="F79" s="183"/>
      <c r="G79" s="183"/>
      <c r="H79" s="81"/>
      <c r="I79" s="76">
        <v>0</v>
      </c>
    </row>
    <row r="80" spans="1:15" ht="15.65" customHeight="1" x14ac:dyDescent="0.35">
      <c r="A80" s="72" t="s">
        <v>23</v>
      </c>
      <c r="B80" s="147" t="s">
        <v>186</v>
      </c>
      <c r="C80" s="147"/>
      <c r="D80" s="147"/>
      <c r="E80" s="147"/>
      <c r="F80" s="147"/>
      <c r="G80" s="147"/>
      <c r="H80" s="81"/>
      <c r="I80" s="76">
        <f>(I28/30)/12*1</f>
        <v>4.9645916666666663</v>
      </c>
      <c r="K80" s="15"/>
    </row>
    <row r="81" spans="1:14" ht="15.65" customHeight="1" x14ac:dyDescent="0.35">
      <c r="A81" s="72" t="s">
        <v>39</v>
      </c>
      <c r="B81" s="147" t="s">
        <v>187</v>
      </c>
      <c r="C81" s="147"/>
      <c r="D81" s="147"/>
      <c r="E81" s="147"/>
      <c r="F81" s="147"/>
      <c r="G81" s="147"/>
      <c r="H81" s="81"/>
      <c r="I81" s="76">
        <f>((I28/30)/12*20)*0.05</f>
        <v>4.9645916666666672</v>
      </c>
    </row>
    <row r="82" spans="1:14" ht="15.65" customHeight="1" x14ac:dyDescent="0.35">
      <c r="A82" s="72" t="s">
        <v>41</v>
      </c>
      <c r="B82" s="147" t="s">
        <v>188</v>
      </c>
      <c r="C82" s="147"/>
      <c r="D82" s="147"/>
      <c r="E82" s="147"/>
      <c r="F82" s="147"/>
      <c r="G82" s="147"/>
      <c r="H82" s="81"/>
      <c r="I82" s="76">
        <f>(I28/30)/12*15*0.0922</f>
        <v>6.866030275</v>
      </c>
      <c r="K82" s="31"/>
    </row>
    <row r="83" spans="1:14" ht="17.5" customHeight="1" x14ac:dyDescent="0.35">
      <c r="A83" s="72" t="s">
        <v>43</v>
      </c>
      <c r="B83" s="147" t="s">
        <v>189</v>
      </c>
      <c r="C83" s="147"/>
      <c r="D83" s="147"/>
      <c r="E83" s="147"/>
      <c r="F83" s="147"/>
      <c r="G83" s="147"/>
      <c r="H83" s="81"/>
      <c r="I83" s="76">
        <v>2.41</v>
      </c>
      <c r="K83" s="30"/>
      <c r="N83" s="33"/>
    </row>
    <row r="84" spans="1:14" ht="15.65" customHeight="1" x14ac:dyDescent="0.35">
      <c r="A84" s="72" t="s">
        <v>45</v>
      </c>
      <c r="B84" s="147" t="s">
        <v>107</v>
      </c>
      <c r="C84" s="147"/>
      <c r="D84" s="147"/>
      <c r="E84" s="147"/>
      <c r="F84" s="147"/>
      <c r="G84" s="147"/>
      <c r="H84" s="81"/>
      <c r="I84" s="76">
        <v>0</v>
      </c>
      <c r="K84" s="32"/>
    </row>
    <row r="85" spans="1:14" ht="17.5" customHeight="1" x14ac:dyDescent="0.35">
      <c r="A85" s="72" t="s">
        <v>47</v>
      </c>
      <c r="B85" s="180" t="s">
        <v>190</v>
      </c>
      <c r="C85" s="180"/>
      <c r="D85" s="180"/>
      <c r="E85" s="180"/>
      <c r="F85" s="180"/>
      <c r="G85" s="180"/>
      <c r="H85" s="81"/>
      <c r="I85" s="76">
        <f>(I79+I80+I81+I82+I83+I84)*H51</f>
        <v>7.0675186078666679</v>
      </c>
      <c r="K85" s="31"/>
      <c r="N85" s="34"/>
    </row>
    <row r="86" spans="1:14" ht="17.5" customHeight="1" x14ac:dyDescent="0.35">
      <c r="A86" s="149" t="s">
        <v>191</v>
      </c>
      <c r="B86" s="149"/>
      <c r="C86" s="149"/>
      <c r="D86" s="149"/>
      <c r="E86" s="149"/>
      <c r="F86" s="149"/>
      <c r="G86" s="149"/>
      <c r="H86" s="83"/>
      <c r="I86" s="84">
        <f>SUM(I79:I85)</f>
        <v>26.272732216200001</v>
      </c>
      <c r="N86" s="33"/>
    </row>
    <row r="87" spans="1:14" ht="15.65" customHeight="1" x14ac:dyDescent="0.35">
      <c r="A87" s="181"/>
      <c r="B87" s="182"/>
      <c r="C87" s="182"/>
      <c r="D87" s="182"/>
      <c r="E87" s="182"/>
      <c r="F87" s="182"/>
      <c r="G87" s="182"/>
      <c r="H87" s="182"/>
      <c r="I87" s="182"/>
      <c r="K87" s="15"/>
    </row>
    <row r="88" spans="1:14" ht="15.65" customHeight="1" x14ac:dyDescent="0.35">
      <c r="A88" s="149" t="s">
        <v>192</v>
      </c>
      <c r="B88" s="149"/>
      <c r="C88" s="149"/>
      <c r="D88" s="149"/>
      <c r="E88" s="149"/>
      <c r="F88" s="149"/>
      <c r="G88" s="149"/>
      <c r="H88" s="72" t="s">
        <v>101</v>
      </c>
      <c r="I88" s="72" t="s">
        <v>102</v>
      </c>
    </row>
    <row r="89" spans="1:14" ht="15.5" x14ac:dyDescent="0.35">
      <c r="A89" s="72" t="s">
        <v>21</v>
      </c>
      <c r="B89" s="147" t="s">
        <v>193</v>
      </c>
      <c r="C89" s="147"/>
      <c r="D89" s="147"/>
      <c r="E89" s="147"/>
      <c r="F89" s="147"/>
      <c r="G89" s="147"/>
      <c r="H89" s="81"/>
      <c r="I89" s="76">
        <v>0</v>
      </c>
    </row>
    <row r="90" spans="1:14" ht="15.5" x14ac:dyDescent="0.35">
      <c r="A90" s="149" t="s">
        <v>194</v>
      </c>
      <c r="B90" s="149"/>
      <c r="C90" s="149"/>
      <c r="D90" s="149"/>
      <c r="E90" s="149"/>
      <c r="F90" s="149"/>
      <c r="G90" s="149"/>
      <c r="H90" s="83"/>
      <c r="I90" s="84">
        <f>SUM(I89)</f>
        <v>0</v>
      </c>
    </row>
    <row r="91" spans="1:14" ht="15.5" x14ac:dyDescent="0.35">
      <c r="A91" s="184"/>
      <c r="B91" s="185"/>
      <c r="C91" s="185"/>
      <c r="D91" s="185"/>
      <c r="E91" s="185"/>
      <c r="F91" s="185"/>
      <c r="G91" s="185"/>
      <c r="H91" s="185"/>
      <c r="I91" s="185"/>
    </row>
    <row r="92" spans="1:14" ht="15.5" x14ac:dyDescent="0.25">
      <c r="A92" s="133" t="s">
        <v>195</v>
      </c>
      <c r="B92" s="133"/>
      <c r="C92" s="133"/>
      <c r="D92" s="133"/>
      <c r="E92" s="133"/>
      <c r="F92" s="133"/>
      <c r="G92" s="133"/>
      <c r="H92" s="133"/>
      <c r="I92" s="133"/>
    </row>
    <row r="93" spans="1:14" ht="15.5" x14ac:dyDescent="0.35">
      <c r="A93" s="149" t="s">
        <v>35</v>
      </c>
      <c r="B93" s="149"/>
      <c r="C93" s="149"/>
      <c r="D93" s="149"/>
      <c r="E93" s="149"/>
      <c r="F93" s="149"/>
      <c r="G93" s="149"/>
      <c r="H93" s="149"/>
      <c r="I93" s="72" t="s">
        <v>102</v>
      </c>
    </row>
    <row r="94" spans="1:14" ht="15.5" x14ac:dyDescent="0.35">
      <c r="A94" s="72" t="s">
        <v>196</v>
      </c>
      <c r="B94" s="148" t="s">
        <v>197</v>
      </c>
      <c r="C94" s="148"/>
      <c r="D94" s="148"/>
      <c r="E94" s="148"/>
      <c r="F94" s="148"/>
      <c r="G94" s="148"/>
      <c r="H94" s="148"/>
      <c r="I94" s="76">
        <f>SUM(I86)</f>
        <v>26.272732216200001</v>
      </c>
    </row>
    <row r="95" spans="1:14" ht="15.5" x14ac:dyDescent="0.35">
      <c r="A95" s="72" t="s">
        <v>198</v>
      </c>
      <c r="B95" s="148" t="s">
        <v>199</v>
      </c>
      <c r="C95" s="148"/>
      <c r="D95" s="148"/>
      <c r="E95" s="148"/>
      <c r="F95" s="148"/>
      <c r="G95" s="148"/>
      <c r="H95" s="148"/>
      <c r="I95" s="76">
        <f>I90</f>
        <v>0</v>
      </c>
    </row>
    <row r="96" spans="1:14" ht="15.5" x14ac:dyDescent="0.35">
      <c r="A96" s="149" t="s">
        <v>200</v>
      </c>
      <c r="B96" s="149"/>
      <c r="C96" s="149"/>
      <c r="D96" s="149"/>
      <c r="E96" s="149"/>
      <c r="F96" s="149"/>
      <c r="G96" s="149"/>
      <c r="H96" s="149"/>
      <c r="I96" s="84">
        <f>SUM(I94:I95)</f>
        <v>26.272732216200001</v>
      </c>
    </row>
    <row r="97" spans="1:11" ht="15.5" x14ac:dyDescent="0.35">
      <c r="A97" s="167"/>
      <c r="B97" s="168"/>
      <c r="C97" s="168"/>
      <c r="D97" s="168"/>
      <c r="E97" s="168"/>
      <c r="F97" s="168"/>
      <c r="G97" s="168"/>
      <c r="H97" s="168"/>
      <c r="I97" s="168"/>
    </row>
    <row r="98" spans="1:11" ht="15.5" x14ac:dyDescent="0.25">
      <c r="A98" s="133" t="s">
        <v>201</v>
      </c>
      <c r="B98" s="133"/>
      <c r="C98" s="133"/>
      <c r="D98" s="133"/>
      <c r="E98" s="133"/>
      <c r="F98" s="133"/>
      <c r="G98" s="133"/>
      <c r="H98" s="133"/>
      <c r="I98" s="133"/>
    </row>
    <row r="99" spans="1:11" ht="15.5" x14ac:dyDescent="0.35">
      <c r="A99" s="72">
        <v>5</v>
      </c>
      <c r="B99" s="149" t="s">
        <v>202</v>
      </c>
      <c r="C99" s="149"/>
      <c r="D99" s="149"/>
      <c r="E99" s="149"/>
      <c r="F99" s="149"/>
      <c r="G99" s="149"/>
      <c r="H99" s="72"/>
      <c r="I99" s="72" t="s">
        <v>102</v>
      </c>
    </row>
    <row r="100" spans="1:11" ht="15.5" x14ac:dyDescent="0.35">
      <c r="A100" s="72" t="s">
        <v>21</v>
      </c>
      <c r="B100" s="153" t="s">
        <v>203</v>
      </c>
      <c r="C100" s="153"/>
      <c r="D100" s="153"/>
      <c r="E100" s="153"/>
      <c r="F100" s="153"/>
      <c r="G100" s="153"/>
      <c r="H100" s="66" t="s">
        <v>80</v>
      </c>
      <c r="I100" s="76">
        <f>'MATERIAIS, EQUIPAMENTOS UNIFORM'!E12</f>
        <v>53.333333333333336</v>
      </c>
    </row>
    <row r="101" spans="1:11" ht="15.5" x14ac:dyDescent="0.35">
      <c r="A101" s="72" t="s">
        <v>23</v>
      </c>
      <c r="B101" s="153" t="s">
        <v>204</v>
      </c>
      <c r="C101" s="153"/>
      <c r="D101" s="153"/>
      <c r="E101" s="153"/>
      <c r="F101" s="153"/>
      <c r="G101" s="153"/>
      <c r="H101" s="66" t="s">
        <v>80</v>
      </c>
      <c r="I101" s="74">
        <f>'MATERIAIS, EQUIPAMENTOS UNIFORM'!E37</f>
        <v>31.8325</v>
      </c>
    </row>
    <row r="102" spans="1:11" ht="15.5" x14ac:dyDescent="0.35">
      <c r="A102" s="87" t="s">
        <v>39</v>
      </c>
      <c r="B102" s="153" t="s">
        <v>205</v>
      </c>
      <c r="C102" s="153"/>
      <c r="D102" s="153"/>
      <c r="E102" s="153"/>
      <c r="F102" s="153"/>
      <c r="G102" s="153"/>
      <c r="H102" s="66" t="s">
        <v>80</v>
      </c>
      <c r="I102" s="74">
        <f>'MATERIAIS, EQUIPAMENTOS UNIFORM'!E56+'MATERIAIS, EQUIPAMENTOS UNIFORM'!E61+'MATERIAIS, EQUIPAMENTOS UNIFORM'!E67</f>
        <v>41.736458333333331</v>
      </c>
    </row>
    <row r="103" spans="1:11" ht="15.5" x14ac:dyDescent="0.35">
      <c r="A103" s="87" t="s">
        <v>41</v>
      </c>
      <c r="B103" s="153" t="s">
        <v>107</v>
      </c>
      <c r="C103" s="153"/>
      <c r="D103" s="153"/>
      <c r="E103" s="153"/>
      <c r="F103" s="153"/>
      <c r="G103" s="153"/>
      <c r="H103" s="66" t="s">
        <v>80</v>
      </c>
      <c r="I103" s="74">
        <v>0</v>
      </c>
    </row>
    <row r="104" spans="1:11" ht="15.5" x14ac:dyDescent="0.35">
      <c r="A104" s="149" t="s">
        <v>206</v>
      </c>
      <c r="B104" s="149"/>
      <c r="C104" s="149"/>
      <c r="D104" s="149"/>
      <c r="E104" s="149"/>
      <c r="F104" s="149"/>
      <c r="G104" s="149"/>
      <c r="H104" s="83" t="s">
        <v>80</v>
      </c>
      <c r="I104" s="78">
        <f>SUM(I100:I103)</f>
        <v>126.90229166666667</v>
      </c>
    </row>
    <row r="105" spans="1:11" ht="15.5" x14ac:dyDescent="0.35">
      <c r="A105" s="167"/>
      <c r="B105" s="168"/>
      <c r="C105" s="168"/>
      <c r="D105" s="168"/>
      <c r="E105" s="168"/>
      <c r="F105" s="168"/>
      <c r="G105" s="168"/>
      <c r="H105" s="168"/>
      <c r="I105" s="168"/>
    </row>
    <row r="106" spans="1:11" ht="15.5" x14ac:dyDescent="0.25">
      <c r="A106" s="133" t="s">
        <v>207</v>
      </c>
      <c r="B106" s="133"/>
      <c r="C106" s="133"/>
      <c r="D106" s="133"/>
      <c r="E106" s="133"/>
      <c r="F106" s="133"/>
      <c r="G106" s="133"/>
      <c r="H106" s="133"/>
      <c r="I106" s="133"/>
    </row>
    <row r="107" spans="1:11" ht="15.5" x14ac:dyDescent="0.35">
      <c r="A107" s="72">
        <v>6</v>
      </c>
      <c r="B107" s="149" t="s">
        <v>208</v>
      </c>
      <c r="C107" s="149"/>
      <c r="D107" s="149"/>
      <c r="E107" s="149"/>
      <c r="F107" s="149"/>
      <c r="G107" s="149"/>
      <c r="H107" s="72" t="s">
        <v>101</v>
      </c>
      <c r="I107" s="72" t="s">
        <v>102</v>
      </c>
    </row>
    <row r="108" spans="1:11" ht="15.5" x14ac:dyDescent="0.35">
      <c r="A108" s="72" t="s">
        <v>21</v>
      </c>
      <c r="B108" s="147" t="s">
        <v>60</v>
      </c>
      <c r="C108" s="147"/>
      <c r="D108" s="147"/>
      <c r="E108" s="147"/>
      <c r="F108" s="147"/>
      <c r="G108" s="147"/>
      <c r="H108" s="73">
        <v>5.8700000000000002E-2</v>
      </c>
      <c r="I108" s="76">
        <f>I123*H108</f>
        <v>244.52965736390851</v>
      </c>
      <c r="K108" s="16">
        <f>(I34+I65+I75+I96+I104+I108+I109)/0.9135</f>
        <v>5133.5005553731507</v>
      </c>
    </row>
    <row r="109" spans="1:11" ht="15.5" x14ac:dyDescent="0.35">
      <c r="A109" s="72" t="s">
        <v>23</v>
      </c>
      <c r="B109" s="147" t="s">
        <v>61</v>
      </c>
      <c r="C109" s="147"/>
      <c r="D109" s="147"/>
      <c r="E109" s="147"/>
      <c r="F109" s="147"/>
      <c r="G109" s="147"/>
      <c r="H109" s="73">
        <v>6.3299999999999995E-2</v>
      </c>
      <c r="I109" s="76">
        <f>(I123+I108)*H109</f>
        <v>279.17084504768411</v>
      </c>
    </row>
    <row r="110" spans="1:11" ht="15.5" x14ac:dyDescent="0.35">
      <c r="A110" s="72" t="s">
        <v>39</v>
      </c>
      <c r="B110" s="186" t="s">
        <v>209</v>
      </c>
      <c r="C110" s="187"/>
      <c r="D110" s="187"/>
      <c r="E110" s="187"/>
      <c r="F110" s="187"/>
      <c r="G110" s="187"/>
      <c r="H110" s="187"/>
      <c r="I110" s="188"/>
    </row>
    <row r="111" spans="1:11" ht="15.5" x14ac:dyDescent="0.35">
      <c r="A111" s="72" t="s">
        <v>210</v>
      </c>
      <c r="B111" s="147" t="s">
        <v>62</v>
      </c>
      <c r="C111" s="147"/>
      <c r="D111" s="147"/>
      <c r="E111" s="147"/>
      <c r="F111" s="147"/>
      <c r="G111" s="147"/>
      <c r="H111" s="93">
        <v>6.4999999999999997E-3</v>
      </c>
      <c r="I111" s="76">
        <f>K108*H111</f>
        <v>33.367753609925479</v>
      </c>
    </row>
    <row r="112" spans="1:11" ht="15.5" x14ac:dyDescent="0.35">
      <c r="A112" s="72" t="s">
        <v>211</v>
      </c>
      <c r="B112" s="147" t="s">
        <v>63</v>
      </c>
      <c r="C112" s="147"/>
      <c r="D112" s="147"/>
      <c r="E112" s="147"/>
      <c r="F112" s="147"/>
      <c r="G112" s="147"/>
      <c r="H112" s="93">
        <v>0.03</v>
      </c>
      <c r="I112" s="76">
        <f>K108*H112</f>
        <v>154.0050166611945</v>
      </c>
    </row>
    <row r="113" spans="1:11" ht="15.5" x14ac:dyDescent="0.35">
      <c r="A113" s="72" t="s">
        <v>212</v>
      </c>
      <c r="B113" s="147" t="s">
        <v>213</v>
      </c>
      <c r="C113" s="147"/>
      <c r="D113" s="147"/>
      <c r="E113" s="147"/>
      <c r="F113" s="147"/>
      <c r="G113" s="147"/>
      <c r="H113" s="93">
        <v>0.05</v>
      </c>
      <c r="I113" s="76">
        <f>K108*H113</f>
        <v>256.67502776865757</v>
      </c>
    </row>
    <row r="114" spans="1:11" ht="15.5" x14ac:dyDescent="0.35">
      <c r="A114" s="149" t="s">
        <v>214</v>
      </c>
      <c r="B114" s="149"/>
      <c r="C114" s="149"/>
      <c r="D114" s="149"/>
      <c r="E114" s="149"/>
      <c r="F114" s="149"/>
      <c r="G114" s="149"/>
      <c r="H114" s="93"/>
      <c r="I114" s="78">
        <f>SUM(I108:I113)</f>
        <v>967.74830045137014</v>
      </c>
    </row>
    <row r="115" spans="1:11" ht="15.5" x14ac:dyDescent="0.35">
      <c r="A115" s="71"/>
      <c r="B115" s="189"/>
      <c r="C115" s="189"/>
      <c r="D115" s="189"/>
      <c r="E115" s="189"/>
      <c r="F115" s="189"/>
      <c r="G115" s="189"/>
      <c r="H115" s="189"/>
      <c r="I115" s="189"/>
    </row>
    <row r="116" spans="1:11" ht="15.5" x14ac:dyDescent="0.25">
      <c r="A116" s="133" t="s">
        <v>215</v>
      </c>
      <c r="B116" s="133"/>
      <c r="C116" s="133"/>
      <c r="D116" s="133"/>
      <c r="E116" s="133"/>
      <c r="F116" s="133"/>
      <c r="G116" s="133"/>
      <c r="H116" s="133"/>
      <c r="I116" s="133"/>
    </row>
    <row r="117" spans="1:11" ht="15.5" x14ac:dyDescent="0.35">
      <c r="A117" s="149" t="s">
        <v>216</v>
      </c>
      <c r="B117" s="149"/>
      <c r="C117" s="149"/>
      <c r="D117" s="149"/>
      <c r="E117" s="149"/>
      <c r="F117" s="149"/>
      <c r="G117" s="149"/>
      <c r="H117" s="149"/>
      <c r="I117" s="72" t="s">
        <v>102</v>
      </c>
      <c r="K117" s="4"/>
    </row>
    <row r="118" spans="1:11" ht="15.5" x14ac:dyDescent="0.35">
      <c r="A118" s="66" t="s">
        <v>21</v>
      </c>
      <c r="B118" s="147" t="str">
        <f>A20</f>
        <v>MÓDULO 1 - COMPOSIÇÃO DA REMUNERAÇÃO</v>
      </c>
      <c r="C118" s="147"/>
      <c r="D118" s="147"/>
      <c r="E118" s="147"/>
      <c r="F118" s="147"/>
      <c r="G118" s="147"/>
      <c r="H118" s="147"/>
      <c r="I118" s="74">
        <f>I34</f>
        <v>2229.36</v>
      </c>
    </row>
    <row r="119" spans="1:11" ht="15.5" x14ac:dyDescent="0.35">
      <c r="A119" s="66" t="s">
        <v>23</v>
      </c>
      <c r="B119" s="147" t="str">
        <f>A36</f>
        <v>MÓDULO 2 – ENCARGOS E BENEFÍCIOS ANUAIS, MENSAIS E DIÁRIOS</v>
      </c>
      <c r="C119" s="147"/>
      <c r="D119" s="147"/>
      <c r="E119" s="147"/>
      <c r="F119" s="147"/>
      <c r="G119" s="147"/>
      <c r="H119" s="147"/>
      <c r="I119" s="74">
        <f>I65</f>
        <v>1655.5256020000002</v>
      </c>
    </row>
    <row r="120" spans="1:11" ht="15.5" x14ac:dyDescent="0.35">
      <c r="A120" s="66" t="s">
        <v>39</v>
      </c>
      <c r="B120" s="147" t="str">
        <f>A67</f>
        <v>MÓDULO 3 – PROVISÃO PARA RESCISÃO</v>
      </c>
      <c r="C120" s="147"/>
      <c r="D120" s="147"/>
      <c r="E120" s="147"/>
      <c r="F120" s="147"/>
      <c r="G120" s="147"/>
      <c r="H120" s="147"/>
      <c r="I120" s="74">
        <f>I75</f>
        <v>127.69162903891333</v>
      </c>
    </row>
    <row r="121" spans="1:11" ht="15.5" x14ac:dyDescent="0.35">
      <c r="A121" s="66" t="s">
        <v>41</v>
      </c>
      <c r="B121" s="147" t="str">
        <f>A77</f>
        <v>MÓDULO 4 – CUSTO DE REPOSIÇÃO DO PROFISSIONAL AUSENTE</v>
      </c>
      <c r="C121" s="147"/>
      <c r="D121" s="147"/>
      <c r="E121" s="147"/>
      <c r="F121" s="147"/>
      <c r="G121" s="147"/>
      <c r="H121" s="147"/>
      <c r="I121" s="74">
        <f>I96</f>
        <v>26.272732216200001</v>
      </c>
      <c r="K121" s="4"/>
    </row>
    <row r="122" spans="1:11" ht="15.5" x14ac:dyDescent="0.35">
      <c r="A122" s="66" t="s">
        <v>43</v>
      </c>
      <c r="B122" s="147" t="str">
        <f>A98</f>
        <v>MÓDULO 5 – INSUMOS DIVERSOS</v>
      </c>
      <c r="C122" s="147"/>
      <c r="D122" s="147"/>
      <c r="E122" s="147"/>
      <c r="F122" s="147"/>
      <c r="G122" s="147"/>
      <c r="H122" s="147"/>
      <c r="I122" s="74">
        <f>I104</f>
        <v>126.90229166666667</v>
      </c>
      <c r="K122" s="4"/>
    </row>
    <row r="123" spans="1:11" ht="15.5" x14ac:dyDescent="0.35">
      <c r="A123" s="72"/>
      <c r="B123" s="149" t="s">
        <v>217</v>
      </c>
      <c r="C123" s="149"/>
      <c r="D123" s="149"/>
      <c r="E123" s="149"/>
      <c r="F123" s="149"/>
      <c r="G123" s="149"/>
      <c r="H123" s="149"/>
      <c r="I123" s="78">
        <f>SUM(I118:I122)</f>
        <v>4165.7522549217801</v>
      </c>
    </row>
    <row r="124" spans="1:11" ht="15.5" x14ac:dyDescent="0.35">
      <c r="A124" s="66" t="s">
        <v>45</v>
      </c>
      <c r="B124" s="147" t="str">
        <f>A106</f>
        <v>MÓDULO 6 – CUSTOS INDIRETOS, TRIBUTOS E LUCRO</v>
      </c>
      <c r="C124" s="147"/>
      <c r="D124" s="147"/>
      <c r="E124" s="147"/>
      <c r="F124" s="147"/>
      <c r="G124" s="147"/>
      <c r="H124" s="147"/>
      <c r="I124" s="74">
        <f>I114</f>
        <v>967.74830045137014</v>
      </c>
      <c r="K124" s="3"/>
    </row>
    <row r="125" spans="1:11" ht="15.5" x14ac:dyDescent="0.35">
      <c r="A125" s="149" t="s">
        <v>218</v>
      </c>
      <c r="B125" s="149"/>
      <c r="C125" s="149"/>
      <c r="D125" s="149"/>
      <c r="E125" s="149"/>
      <c r="F125" s="149"/>
      <c r="G125" s="149"/>
      <c r="H125" s="149"/>
      <c r="I125" s="78">
        <f>I123+I124</f>
        <v>5133.5005553731498</v>
      </c>
    </row>
    <row r="126" spans="1:11" ht="15.5" x14ac:dyDescent="0.35">
      <c r="A126" s="149" t="s">
        <v>219</v>
      </c>
      <c r="B126" s="149"/>
      <c r="C126" s="149"/>
      <c r="D126" s="149"/>
      <c r="E126" s="149"/>
      <c r="F126" s="149"/>
      <c r="G126" s="149"/>
      <c r="H126" s="149"/>
      <c r="I126" s="78">
        <f>I125*2</f>
        <v>10267.0011107463</v>
      </c>
    </row>
    <row r="127" spans="1:11" ht="15.5" x14ac:dyDescent="0.35">
      <c r="A127" s="95"/>
      <c r="B127" s="95"/>
      <c r="C127" s="95"/>
      <c r="D127" s="95"/>
      <c r="E127" s="95"/>
      <c r="F127" s="95"/>
      <c r="G127" s="95"/>
      <c r="H127" s="95"/>
      <c r="I127" s="96"/>
    </row>
    <row r="128" spans="1:11" ht="15.5" x14ac:dyDescent="0.25">
      <c r="A128" s="64" t="s">
        <v>220</v>
      </c>
      <c r="B128" s="64"/>
      <c r="C128" s="64"/>
      <c r="D128" s="64"/>
      <c r="E128" s="64"/>
      <c r="F128" s="64"/>
      <c r="G128" s="64"/>
      <c r="H128" s="64"/>
      <c r="I128" s="64"/>
    </row>
    <row r="129" spans="1:9" ht="13.5" hidden="1" customHeight="1" x14ac:dyDescent="0.35">
      <c r="A129" s="190" t="s">
        <v>221</v>
      </c>
      <c r="B129" s="190"/>
      <c r="C129" s="190" t="s">
        <v>222</v>
      </c>
      <c r="D129" s="190"/>
      <c r="E129" s="190" t="s">
        <v>223</v>
      </c>
      <c r="F129" s="190"/>
      <c r="G129" s="97" t="s">
        <v>224</v>
      </c>
      <c r="H129" s="97" t="s">
        <v>225</v>
      </c>
      <c r="I129" s="72" t="s">
        <v>102</v>
      </c>
    </row>
    <row r="130" spans="1:9" ht="40.5" hidden="1" customHeight="1" x14ac:dyDescent="0.35">
      <c r="A130" s="148" t="s">
        <v>226</v>
      </c>
      <c r="B130" s="148"/>
      <c r="C130" s="147" t="s">
        <v>227</v>
      </c>
      <c r="D130" s="147"/>
      <c r="E130" s="148"/>
      <c r="F130" s="148"/>
      <c r="G130" s="88" t="s">
        <v>227</v>
      </c>
      <c r="H130" s="88"/>
      <c r="I130" s="76">
        <v>0</v>
      </c>
    </row>
    <row r="131" spans="1:9" ht="12.75" hidden="1" customHeight="1" x14ac:dyDescent="0.35">
      <c r="A131" s="148" t="s">
        <v>228</v>
      </c>
      <c r="B131" s="148"/>
      <c r="C131" s="147" t="s">
        <v>227</v>
      </c>
      <c r="D131" s="147"/>
      <c r="E131" s="148"/>
      <c r="F131" s="148"/>
      <c r="G131" s="88" t="s">
        <v>227</v>
      </c>
      <c r="H131" s="88"/>
      <c r="I131" s="76">
        <v>0</v>
      </c>
    </row>
    <row r="132" spans="1:9" ht="12.75" hidden="1" customHeight="1" x14ac:dyDescent="0.35">
      <c r="A132" s="148" t="s">
        <v>229</v>
      </c>
      <c r="B132" s="148"/>
      <c r="C132" s="147" t="s">
        <v>227</v>
      </c>
      <c r="D132" s="147"/>
      <c r="E132" s="148"/>
      <c r="F132" s="148"/>
      <c r="G132" s="88" t="s">
        <v>227</v>
      </c>
      <c r="H132" s="88"/>
      <c r="I132" s="76">
        <v>0</v>
      </c>
    </row>
    <row r="133" spans="1:9" ht="12.75" hidden="1" customHeight="1" x14ac:dyDescent="0.35">
      <c r="A133" s="148" t="s">
        <v>230</v>
      </c>
      <c r="B133" s="148"/>
      <c r="C133" s="147" t="s">
        <v>227</v>
      </c>
      <c r="D133" s="147"/>
      <c r="E133" s="148"/>
      <c r="F133" s="148"/>
      <c r="G133" s="88" t="s">
        <v>227</v>
      </c>
      <c r="H133" s="88"/>
      <c r="I133" s="76">
        <v>0</v>
      </c>
    </row>
    <row r="134" spans="1:9" ht="12.75" hidden="1" customHeight="1" x14ac:dyDescent="0.35">
      <c r="A134" s="149"/>
      <c r="B134" s="149"/>
      <c r="C134" s="148"/>
      <c r="D134" s="148"/>
      <c r="E134" s="148"/>
      <c r="F134" s="148"/>
      <c r="G134" s="98"/>
      <c r="H134" s="98"/>
      <c r="I134" s="76"/>
    </row>
    <row r="135" spans="1:9" ht="12.75" hidden="1" customHeight="1" x14ac:dyDescent="0.35">
      <c r="A135" s="149"/>
      <c r="B135" s="149"/>
      <c r="C135" s="148"/>
      <c r="D135" s="148"/>
      <c r="E135" s="148"/>
      <c r="F135" s="148"/>
      <c r="G135" s="88"/>
      <c r="H135" s="88"/>
      <c r="I135" s="76"/>
    </row>
    <row r="136" spans="1:9" ht="13.5" hidden="1" customHeight="1" x14ac:dyDescent="0.35">
      <c r="A136" s="149" t="s">
        <v>231</v>
      </c>
      <c r="B136" s="149"/>
      <c r="C136" s="149"/>
      <c r="D136" s="149"/>
      <c r="E136" s="149"/>
      <c r="F136" s="149"/>
      <c r="G136" s="149"/>
      <c r="H136" s="149"/>
      <c r="I136" s="84">
        <f>SUM(I134:I135)</f>
        <v>0</v>
      </c>
    </row>
    <row r="137" spans="1:9" ht="13.5" hidden="1" customHeight="1" x14ac:dyDescent="0.35">
      <c r="A137" s="88"/>
      <c r="B137" s="88"/>
      <c r="C137" s="88"/>
      <c r="D137" s="88"/>
      <c r="E137" s="88"/>
      <c r="F137" s="88"/>
      <c r="G137" s="88"/>
      <c r="H137" s="88"/>
      <c r="I137" s="88"/>
    </row>
    <row r="138" spans="1:9" ht="12.75" hidden="1" customHeight="1" x14ac:dyDescent="0.35">
      <c r="A138" s="66" t="s">
        <v>232</v>
      </c>
      <c r="B138" s="148" t="s">
        <v>233</v>
      </c>
      <c r="C138" s="148"/>
      <c r="D138" s="148"/>
      <c r="E138" s="148"/>
      <c r="F138" s="148"/>
      <c r="G138" s="148"/>
      <c r="H138" s="72"/>
      <c r="I138" s="72"/>
    </row>
    <row r="139" spans="1:9" ht="13.5" hidden="1" customHeight="1" x14ac:dyDescent="0.35">
      <c r="A139" s="149" t="s">
        <v>234</v>
      </c>
      <c r="B139" s="149"/>
      <c r="C139" s="149"/>
      <c r="D139" s="149"/>
      <c r="E139" s="149"/>
      <c r="F139" s="149"/>
      <c r="G139" s="149"/>
      <c r="H139" s="149"/>
      <c r="I139" s="149"/>
    </row>
    <row r="140" spans="1:9" ht="13.5" hidden="1" customHeight="1" x14ac:dyDescent="0.35">
      <c r="A140" s="66"/>
      <c r="B140" s="180" t="s">
        <v>235</v>
      </c>
      <c r="C140" s="180"/>
      <c r="D140" s="180"/>
      <c r="E140" s="180"/>
      <c r="F140" s="180"/>
      <c r="G140" s="180"/>
      <c r="H140" s="180"/>
      <c r="I140" s="72" t="s">
        <v>102</v>
      </c>
    </row>
    <row r="141" spans="1:9" ht="13.5" hidden="1" customHeight="1" x14ac:dyDescent="0.35">
      <c r="A141" s="66" t="s">
        <v>21</v>
      </c>
      <c r="B141" s="147" t="s">
        <v>236</v>
      </c>
      <c r="C141" s="147"/>
      <c r="D141" s="147"/>
      <c r="E141" s="147"/>
      <c r="F141" s="147"/>
      <c r="G141" s="147"/>
      <c r="H141" s="147"/>
      <c r="I141" s="76">
        <f>I111</f>
        <v>33.367753609925479</v>
      </c>
    </row>
    <row r="142" spans="1:9" ht="12.75" hidden="1" customHeight="1" x14ac:dyDescent="0.35">
      <c r="A142" s="66" t="s">
        <v>23</v>
      </c>
      <c r="B142" s="147" t="s">
        <v>237</v>
      </c>
      <c r="C142" s="147"/>
      <c r="D142" s="147"/>
      <c r="E142" s="147"/>
      <c r="F142" s="147"/>
      <c r="G142" s="147"/>
      <c r="H142" s="147"/>
      <c r="I142" s="76" t="e">
        <f>#REF!</f>
        <v>#REF!</v>
      </c>
    </row>
    <row r="143" spans="1:9" ht="12.75" hidden="1" customHeight="1" x14ac:dyDescent="0.35">
      <c r="A143" s="66" t="s">
        <v>39</v>
      </c>
      <c r="B143" s="147" t="s">
        <v>238</v>
      </c>
      <c r="C143" s="147"/>
      <c r="D143" s="147"/>
      <c r="E143" s="147"/>
      <c r="F143" s="147"/>
      <c r="G143" s="147"/>
      <c r="H143" s="147"/>
      <c r="I143" s="76">
        <f>I114</f>
        <v>967.74830045137014</v>
      </c>
    </row>
    <row r="144" spans="1:9" ht="13.5" hidden="1" customHeight="1" x14ac:dyDescent="0.35">
      <c r="A144" s="148" t="s">
        <v>239</v>
      </c>
      <c r="B144" s="148"/>
      <c r="C144" s="148"/>
      <c r="D144" s="148"/>
      <c r="E144" s="148"/>
      <c r="F144" s="148"/>
      <c r="G144" s="148"/>
      <c r="H144" s="148"/>
      <c r="I144" s="84" t="e">
        <f>SUM(I141:I143)</f>
        <v>#REF!</v>
      </c>
    </row>
    <row r="145" spans="1:9" ht="13.5" hidden="1" customHeight="1" x14ac:dyDescent="0.35">
      <c r="A145" s="66" t="s">
        <v>240</v>
      </c>
      <c r="B145" s="88" t="s">
        <v>241</v>
      </c>
      <c r="C145" s="88"/>
      <c r="D145" s="88"/>
      <c r="E145" s="88"/>
      <c r="F145" s="88"/>
      <c r="G145" s="88"/>
      <c r="H145" s="88"/>
      <c r="I145" s="88"/>
    </row>
    <row r="146" spans="1:9" ht="12.75" hidden="1" customHeight="1" x14ac:dyDescent="0.35">
      <c r="A146" s="88"/>
      <c r="B146" s="88"/>
      <c r="C146" s="88"/>
      <c r="D146" s="88"/>
      <c r="E146" s="88"/>
      <c r="F146" s="88"/>
      <c r="G146" s="88"/>
      <c r="H146" s="88"/>
      <c r="I146" s="88"/>
    </row>
    <row r="147" spans="1:9" ht="12.75" hidden="1" customHeight="1" x14ac:dyDescent="0.35">
      <c r="A147" s="88"/>
      <c r="B147" s="88"/>
      <c r="C147" s="88"/>
      <c r="D147" s="88"/>
      <c r="E147" s="88"/>
      <c r="F147" s="88"/>
      <c r="G147" s="88"/>
      <c r="H147" s="88"/>
      <c r="I147" s="88"/>
    </row>
    <row r="148" spans="1:9" ht="12.75" hidden="1" customHeight="1" x14ac:dyDescent="0.35">
      <c r="A148" s="98"/>
      <c r="B148" s="98"/>
      <c r="C148" s="88"/>
      <c r="D148" s="88"/>
      <c r="E148" s="88"/>
      <c r="F148" s="88"/>
      <c r="G148" s="88"/>
      <c r="H148" s="88"/>
      <c r="I148" s="88"/>
    </row>
    <row r="149" spans="1:9" ht="15.5" x14ac:dyDescent="0.35">
      <c r="A149" s="172" t="s">
        <v>242</v>
      </c>
      <c r="B149" s="173"/>
      <c r="C149" s="173"/>
      <c r="D149" s="173"/>
      <c r="E149" s="173"/>
      <c r="F149" s="173"/>
      <c r="G149" s="173"/>
      <c r="H149" s="174"/>
      <c r="I149" s="72">
        <v>2</v>
      </c>
    </row>
    <row r="150" spans="1:9" ht="15.5" x14ac:dyDescent="0.35">
      <c r="A150" s="172" t="s">
        <v>243</v>
      </c>
      <c r="B150" s="173"/>
      <c r="C150" s="173"/>
      <c r="D150" s="173"/>
      <c r="E150" s="173"/>
      <c r="F150" s="173"/>
      <c r="G150" s="173"/>
      <c r="H150" s="174"/>
      <c r="I150" s="78">
        <f>I126*I149</f>
        <v>20534.002221492599</v>
      </c>
    </row>
    <row r="151" spans="1:9" ht="15.5" x14ac:dyDescent="0.35">
      <c r="A151" s="172" t="s">
        <v>244</v>
      </c>
      <c r="B151" s="173"/>
      <c r="C151" s="173"/>
      <c r="D151" s="173"/>
      <c r="E151" s="173"/>
      <c r="F151" s="173"/>
      <c r="G151" s="173"/>
      <c r="H151" s="174"/>
      <c r="I151" s="78">
        <f>I150*12</f>
        <v>246408.02665791119</v>
      </c>
    </row>
    <row r="152" spans="1:9" x14ac:dyDescent="0.25">
      <c r="A152" s="6"/>
    </row>
    <row r="153" spans="1:9" x14ac:dyDescent="0.25">
      <c r="I153" s="15"/>
    </row>
  </sheetData>
  <mergeCells count="168">
    <mergeCell ref="A150:H150"/>
    <mergeCell ref="A151:H151"/>
    <mergeCell ref="A126:H126"/>
    <mergeCell ref="B140:H140"/>
    <mergeCell ref="B141:H141"/>
    <mergeCell ref="B142:H142"/>
    <mergeCell ref="B143:H143"/>
    <mergeCell ref="A144:H144"/>
    <mergeCell ref="A149:H149"/>
    <mergeCell ref="A135:B135"/>
    <mergeCell ref="C135:D135"/>
    <mergeCell ref="E135:F135"/>
    <mergeCell ref="A136:H136"/>
    <mergeCell ref="B138:G138"/>
    <mergeCell ref="A139:I139"/>
    <mergeCell ref="A133:B133"/>
    <mergeCell ref="C133:D133"/>
    <mergeCell ref="E133:F133"/>
    <mergeCell ref="A134:B134"/>
    <mergeCell ref="C134:D134"/>
    <mergeCell ref="E134:F134"/>
    <mergeCell ref="A131:B131"/>
    <mergeCell ref="C131:D131"/>
    <mergeCell ref="E131:F131"/>
    <mergeCell ref="A132:B132"/>
    <mergeCell ref="C132:D132"/>
    <mergeCell ref="E132:F132"/>
    <mergeCell ref="A129:B129"/>
    <mergeCell ref="C129:D129"/>
    <mergeCell ref="E129:F129"/>
    <mergeCell ref="A130:B130"/>
    <mergeCell ref="C130:D130"/>
    <mergeCell ref="E130:F130"/>
    <mergeCell ref="B121:H121"/>
    <mergeCell ref="B122:H122"/>
    <mergeCell ref="B123:H123"/>
    <mergeCell ref="B124:H124"/>
    <mergeCell ref="A125:H125"/>
    <mergeCell ref="B115:I115"/>
    <mergeCell ref="A116:I116"/>
    <mergeCell ref="A117:H117"/>
    <mergeCell ref="B118:H118"/>
    <mergeCell ref="B119:H119"/>
    <mergeCell ref="B120:H120"/>
    <mergeCell ref="B109:G109"/>
    <mergeCell ref="B111:G111"/>
    <mergeCell ref="B112:G112"/>
    <mergeCell ref="B113:G113"/>
    <mergeCell ref="A114:G114"/>
    <mergeCell ref="B110:I110"/>
    <mergeCell ref="B103:G103"/>
    <mergeCell ref="A104:G104"/>
    <mergeCell ref="A105:I105"/>
    <mergeCell ref="A106:I106"/>
    <mergeCell ref="B107:G107"/>
    <mergeCell ref="B108:G108"/>
    <mergeCell ref="A97:I97"/>
    <mergeCell ref="A98:I98"/>
    <mergeCell ref="B99:G99"/>
    <mergeCell ref="B100:G100"/>
    <mergeCell ref="B101:G101"/>
    <mergeCell ref="B102:G102"/>
    <mergeCell ref="A91:I91"/>
    <mergeCell ref="A92:I92"/>
    <mergeCell ref="A93:H93"/>
    <mergeCell ref="B94:H94"/>
    <mergeCell ref="B95:H95"/>
    <mergeCell ref="A96:H96"/>
    <mergeCell ref="B85:G85"/>
    <mergeCell ref="A86:G86"/>
    <mergeCell ref="A87:I87"/>
    <mergeCell ref="A88:G88"/>
    <mergeCell ref="B89:G89"/>
    <mergeCell ref="A90:G90"/>
    <mergeCell ref="B79:G79"/>
    <mergeCell ref="B80:G80"/>
    <mergeCell ref="B81:G81"/>
    <mergeCell ref="B82:G82"/>
    <mergeCell ref="B83:G83"/>
    <mergeCell ref="B84:G84"/>
    <mergeCell ref="B73:G73"/>
    <mergeCell ref="B74:G74"/>
    <mergeCell ref="A75:G75"/>
    <mergeCell ref="A76:I76"/>
    <mergeCell ref="A77:I77"/>
    <mergeCell ref="A78:G78"/>
    <mergeCell ref="K67:L67"/>
    <mergeCell ref="B68:G68"/>
    <mergeCell ref="B69:G69"/>
    <mergeCell ref="B70:G70"/>
    <mergeCell ref="B71:G71"/>
    <mergeCell ref="B72:G72"/>
    <mergeCell ref="K72:L72"/>
    <mergeCell ref="B62:H62"/>
    <mergeCell ref="B63:H63"/>
    <mergeCell ref="B64:H64"/>
    <mergeCell ref="A65:H65"/>
    <mergeCell ref="A66:I66"/>
    <mergeCell ref="A67:I67"/>
    <mergeCell ref="A58:H58"/>
    <mergeCell ref="N58:O58"/>
    <mergeCell ref="A59:I59"/>
    <mergeCell ref="A60:I60"/>
    <mergeCell ref="K60:O60"/>
    <mergeCell ref="A61:H61"/>
    <mergeCell ref="B54:G54"/>
    <mergeCell ref="B55:G55"/>
    <mergeCell ref="B56:G56"/>
    <mergeCell ref="K56:O56"/>
    <mergeCell ref="Q56:T56"/>
    <mergeCell ref="B57:G57"/>
    <mergeCell ref="N57:O57"/>
    <mergeCell ref="B50:G50"/>
    <mergeCell ref="A51:G51"/>
    <mergeCell ref="A52:I52"/>
    <mergeCell ref="A53:G53"/>
    <mergeCell ref="K53:O53"/>
    <mergeCell ref="Q53:T53"/>
    <mergeCell ref="B44:G44"/>
    <mergeCell ref="B45:G45"/>
    <mergeCell ref="B46:G46"/>
    <mergeCell ref="B47:G47"/>
    <mergeCell ref="B48:G48"/>
    <mergeCell ref="B49:G49"/>
    <mergeCell ref="B38:G38"/>
    <mergeCell ref="B39:G39"/>
    <mergeCell ref="A40:G40"/>
    <mergeCell ref="A41:I41"/>
    <mergeCell ref="A42:G42"/>
    <mergeCell ref="B43:G43"/>
    <mergeCell ref="B25:G25"/>
    <mergeCell ref="B26:G26"/>
    <mergeCell ref="B27:G27"/>
    <mergeCell ref="A34:H34"/>
    <mergeCell ref="A36:I36"/>
    <mergeCell ref="A37:G37"/>
    <mergeCell ref="A19:I19"/>
    <mergeCell ref="A20:I20"/>
    <mergeCell ref="B21:G21"/>
    <mergeCell ref="B22:G22"/>
    <mergeCell ref="B23:G23"/>
    <mergeCell ref="B24:G24"/>
    <mergeCell ref="A28:H28"/>
    <mergeCell ref="B30:G30"/>
    <mergeCell ref="B31:G31"/>
    <mergeCell ref="B32:G32"/>
    <mergeCell ref="A33:H33"/>
    <mergeCell ref="B29:G29"/>
    <mergeCell ref="B16:H16"/>
    <mergeCell ref="B17:H17"/>
    <mergeCell ref="B18:H18"/>
    <mergeCell ref="B7:H7"/>
    <mergeCell ref="A9:I9"/>
    <mergeCell ref="A10:B10"/>
    <mergeCell ref="C10:D10"/>
    <mergeCell ref="E10:I10"/>
    <mergeCell ref="A11:B11"/>
    <mergeCell ref="C11:D11"/>
    <mergeCell ref="E11:I11"/>
    <mergeCell ref="A1:I1"/>
    <mergeCell ref="A2:I2"/>
    <mergeCell ref="A3:I3"/>
    <mergeCell ref="B4:H4"/>
    <mergeCell ref="B5:H5"/>
    <mergeCell ref="B6:H6"/>
    <mergeCell ref="A13:I13"/>
    <mergeCell ref="B14:H14"/>
    <mergeCell ref="B15:H1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</sheetPr>
  <dimension ref="A1:T155"/>
  <sheetViews>
    <sheetView showGridLines="0" tabSelected="1" topLeftCell="A115" zoomScaleNormal="100" workbookViewId="0">
      <selection activeCell="I151" sqref="I151"/>
    </sheetView>
  </sheetViews>
  <sheetFormatPr defaultRowHeight="12.5" x14ac:dyDescent="0.25"/>
  <cols>
    <col min="1" max="1" width="10" bestFit="1" customWidth="1"/>
    <col min="5" max="5" width="10.81640625" bestFit="1" customWidth="1"/>
    <col min="7" max="7" width="26.26953125" customWidth="1"/>
    <col min="8" max="8" width="8.81640625" customWidth="1"/>
    <col min="9" max="9" width="21.453125" customWidth="1"/>
    <col min="10" max="10" width="0.26953125" customWidth="1"/>
    <col min="11" max="11" width="23.1796875" hidden="1" customWidth="1"/>
    <col min="12" max="12" width="7.54296875" hidden="1" customWidth="1"/>
    <col min="13" max="13" width="10" hidden="1" customWidth="1"/>
    <col min="14" max="14" width="46.81640625" hidden="1" customWidth="1"/>
    <col min="15" max="15" width="0.54296875" customWidth="1"/>
    <col min="16" max="16" width="10.54296875" hidden="1" customWidth="1"/>
    <col min="17" max="18" width="0.453125" customWidth="1"/>
    <col min="19" max="19" width="0.1796875" customWidth="1"/>
    <col min="20" max="20" width="10.54296875" hidden="1" customWidth="1"/>
    <col min="21" max="21" width="1.1796875" customWidth="1"/>
  </cols>
  <sheetData>
    <row r="1" spans="1:9" ht="15.5" x14ac:dyDescent="0.25">
      <c r="A1" s="143" t="s">
        <v>245</v>
      </c>
      <c r="B1" s="143"/>
      <c r="C1" s="143"/>
      <c r="D1" s="143"/>
      <c r="E1" s="143"/>
      <c r="F1" s="143"/>
      <c r="G1" s="143"/>
      <c r="H1" s="143"/>
      <c r="I1" s="143"/>
    </row>
    <row r="2" spans="1:9" ht="15.75" customHeight="1" x14ac:dyDescent="0.25">
      <c r="A2" s="143" t="s">
        <v>77</v>
      </c>
      <c r="B2" s="143"/>
      <c r="C2" s="143"/>
      <c r="D2" s="143"/>
      <c r="E2" s="143"/>
      <c r="F2" s="143"/>
      <c r="G2" s="143"/>
      <c r="H2" s="143"/>
      <c r="I2" s="143"/>
    </row>
    <row r="3" spans="1:9" ht="15.5" x14ac:dyDescent="0.25">
      <c r="A3" s="133" t="s">
        <v>78</v>
      </c>
      <c r="B3" s="133"/>
      <c r="C3" s="133"/>
      <c r="D3" s="133"/>
      <c r="E3" s="133"/>
      <c r="F3" s="133"/>
      <c r="G3" s="133"/>
      <c r="H3" s="133"/>
      <c r="I3" s="133"/>
    </row>
    <row r="4" spans="1:9" ht="15.5" x14ac:dyDescent="0.35">
      <c r="A4" s="66" t="s">
        <v>21</v>
      </c>
      <c r="B4" s="147" t="s">
        <v>79</v>
      </c>
      <c r="C4" s="147"/>
      <c r="D4" s="147"/>
      <c r="E4" s="147"/>
      <c r="F4" s="147"/>
      <c r="G4" s="147"/>
      <c r="H4" s="147"/>
      <c r="I4" s="67" t="s">
        <v>80</v>
      </c>
    </row>
    <row r="5" spans="1:9" ht="15.5" x14ac:dyDescent="0.35">
      <c r="A5" s="66" t="s">
        <v>23</v>
      </c>
      <c r="B5" s="147" t="s">
        <v>81</v>
      </c>
      <c r="C5" s="147"/>
      <c r="D5" s="147"/>
      <c r="E5" s="147"/>
      <c r="F5" s="147"/>
      <c r="G5" s="147"/>
      <c r="H5" s="147"/>
      <c r="I5" s="66" t="s">
        <v>82</v>
      </c>
    </row>
    <row r="6" spans="1:9" ht="15.5" x14ac:dyDescent="0.35">
      <c r="A6" s="66" t="s">
        <v>39</v>
      </c>
      <c r="B6" s="147" t="s">
        <v>83</v>
      </c>
      <c r="C6" s="147"/>
      <c r="D6" s="147"/>
      <c r="E6" s="147"/>
      <c r="F6" s="147"/>
      <c r="G6" s="147"/>
      <c r="H6" s="147"/>
      <c r="I6" s="66">
        <v>2023</v>
      </c>
    </row>
    <row r="7" spans="1:9" ht="15.5" x14ac:dyDescent="0.35">
      <c r="A7" s="66" t="s">
        <v>41</v>
      </c>
      <c r="B7" s="147" t="s">
        <v>84</v>
      </c>
      <c r="C7" s="147"/>
      <c r="D7" s="147"/>
      <c r="E7" s="147"/>
      <c r="F7" s="147"/>
      <c r="G7" s="147"/>
      <c r="H7" s="147"/>
      <c r="I7" s="66">
        <v>12</v>
      </c>
    </row>
    <row r="8" spans="1:9" ht="15.5" x14ac:dyDescent="0.35">
      <c r="A8" s="71"/>
      <c r="B8" s="94"/>
      <c r="C8" s="94"/>
      <c r="D8" s="94"/>
      <c r="E8" s="94"/>
      <c r="F8" s="94"/>
      <c r="G8" s="94"/>
      <c r="H8" s="71"/>
      <c r="I8" s="71"/>
    </row>
    <row r="9" spans="1:9" ht="15.5" x14ac:dyDescent="0.25">
      <c r="A9" s="133" t="s">
        <v>85</v>
      </c>
      <c r="B9" s="133"/>
      <c r="C9" s="133"/>
      <c r="D9" s="133"/>
      <c r="E9" s="133"/>
      <c r="F9" s="133"/>
      <c r="G9" s="133"/>
      <c r="H9" s="133"/>
      <c r="I9" s="133"/>
    </row>
    <row r="10" spans="1:9" ht="15.5" x14ac:dyDescent="0.35">
      <c r="A10" s="148" t="s">
        <v>86</v>
      </c>
      <c r="B10" s="148"/>
      <c r="C10" s="148" t="s">
        <v>87</v>
      </c>
      <c r="D10" s="148"/>
      <c r="E10" s="148" t="s">
        <v>88</v>
      </c>
      <c r="F10" s="148"/>
      <c r="G10" s="148"/>
      <c r="H10" s="148"/>
      <c r="I10" s="148"/>
    </row>
    <row r="11" spans="1:9" ht="15.5" x14ac:dyDescent="0.35">
      <c r="A11" s="148" t="s">
        <v>246</v>
      </c>
      <c r="B11" s="148"/>
      <c r="C11" s="148" t="s">
        <v>90</v>
      </c>
      <c r="D11" s="148"/>
      <c r="E11" s="148"/>
      <c r="F11" s="148"/>
      <c r="G11" s="148"/>
      <c r="H11" s="148"/>
      <c r="I11" s="148"/>
    </row>
    <row r="12" spans="1:9" ht="15.5" x14ac:dyDescent="0.35">
      <c r="A12" s="71"/>
      <c r="B12" s="94"/>
      <c r="C12" s="94"/>
      <c r="D12" s="94"/>
      <c r="E12" s="94"/>
      <c r="F12" s="94"/>
      <c r="G12" s="94"/>
      <c r="H12" s="71"/>
      <c r="I12" s="71"/>
    </row>
    <row r="13" spans="1:9" ht="15.5" x14ac:dyDescent="0.25">
      <c r="A13" s="133" t="s">
        <v>91</v>
      </c>
      <c r="B13" s="133"/>
      <c r="C13" s="133"/>
      <c r="D13" s="133"/>
      <c r="E13" s="133"/>
      <c r="F13" s="133"/>
      <c r="G13" s="133"/>
      <c r="H13" s="133"/>
      <c r="I13" s="133"/>
    </row>
    <row r="14" spans="1:9" ht="15.5" x14ac:dyDescent="0.35">
      <c r="A14" s="66">
        <v>1</v>
      </c>
      <c r="B14" s="147" t="s">
        <v>92</v>
      </c>
      <c r="C14" s="147"/>
      <c r="D14" s="147"/>
      <c r="E14" s="147"/>
      <c r="F14" s="147"/>
      <c r="G14" s="147"/>
      <c r="H14" s="147"/>
      <c r="I14" s="66" t="s">
        <v>247</v>
      </c>
    </row>
    <row r="15" spans="1:9" ht="15.5" x14ac:dyDescent="0.35">
      <c r="A15" s="66">
        <v>2</v>
      </c>
      <c r="B15" s="147" t="s">
        <v>93</v>
      </c>
      <c r="C15" s="147"/>
      <c r="D15" s="147"/>
      <c r="E15" s="147"/>
      <c r="F15" s="147"/>
      <c r="G15" s="147"/>
      <c r="H15" s="147"/>
      <c r="I15" s="66"/>
    </row>
    <row r="16" spans="1:9" ht="15.5" x14ac:dyDescent="0.35">
      <c r="A16" s="66">
        <v>3</v>
      </c>
      <c r="B16" s="147" t="s">
        <v>94</v>
      </c>
      <c r="C16" s="147"/>
      <c r="D16" s="147"/>
      <c r="E16" s="147"/>
      <c r="F16" s="147"/>
      <c r="G16" s="147"/>
      <c r="H16" s="147"/>
      <c r="I16" s="99">
        <v>1374.81</v>
      </c>
    </row>
    <row r="17" spans="1:11" ht="15.5" x14ac:dyDescent="0.35">
      <c r="A17" s="66">
        <v>4</v>
      </c>
      <c r="B17" s="147" t="s">
        <v>95</v>
      </c>
      <c r="C17" s="147"/>
      <c r="D17" s="147"/>
      <c r="E17" s="147"/>
      <c r="F17" s="147"/>
      <c r="G17" s="147"/>
      <c r="H17" s="147"/>
      <c r="I17" s="66" t="s">
        <v>96</v>
      </c>
    </row>
    <row r="18" spans="1:11" ht="15.5" x14ac:dyDescent="0.35">
      <c r="A18" s="66">
        <v>5</v>
      </c>
      <c r="B18" s="147" t="s">
        <v>97</v>
      </c>
      <c r="C18" s="147"/>
      <c r="D18" s="147"/>
      <c r="E18" s="147"/>
      <c r="F18" s="147"/>
      <c r="G18" s="147"/>
      <c r="H18" s="147"/>
      <c r="I18" s="67">
        <v>44958</v>
      </c>
    </row>
    <row r="19" spans="1:11" ht="15.5" x14ac:dyDescent="0.35">
      <c r="A19" s="150"/>
      <c r="B19" s="150"/>
      <c r="C19" s="150"/>
      <c r="D19" s="150"/>
      <c r="E19" s="150"/>
      <c r="F19" s="150"/>
      <c r="G19" s="150"/>
      <c r="H19" s="150"/>
      <c r="I19" s="150"/>
    </row>
    <row r="20" spans="1:11" ht="15.5" x14ac:dyDescent="0.3">
      <c r="A20" s="133" t="s">
        <v>98</v>
      </c>
      <c r="B20" s="133"/>
      <c r="C20" s="133"/>
      <c r="D20" s="133"/>
      <c r="E20" s="133"/>
      <c r="F20" s="133"/>
      <c r="G20" s="133"/>
      <c r="H20" s="133"/>
      <c r="I20" s="133"/>
      <c r="K20" s="37" t="s">
        <v>248</v>
      </c>
    </row>
    <row r="21" spans="1:11" ht="16" x14ac:dyDescent="0.4">
      <c r="A21" s="72">
        <v>1</v>
      </c>
      <c r="B21" s="149" t="s">
        <v>100</v>
      </c>
      <c r="C21" s="149"/>
      <c r="D21" s="149"/>
      <c r="E21" s="149"/>
      <c r="F21" s="149"/>
      <c r="G21" s="149"/>
      <c r="H21" s="72" t="s">
        <v>101</v>
      </c>
      <c r="I21" s="72" t="s">
        <v>102</v>
      </c>
      <c r="K21" s="35" t="s">
        <v>249</v>
      </c>
    </row>
    <row r="22" spans="1:11" ht="16" x14ac:dyDescent="0.4">
      <c r="A22" s="72" t="s">
        <v>21</v>
      </c>
      <c r="B22" s="147" t="s">
        <v>103</v>
      </c>
      <c r="C22" s="147"/>
      <c r="D22" s="147"/>
      <c r="E22" s="147"/>
      <c r="F22" s="147"/>
      <c r="G22" s="147"/>
      <c r="H22" s="73">
        <v>1</v>
      </c>
      <c r="I22" s="74">
        <v>1374.81</v>
      </c>
      <c r="K22" s="35" t="s">
        <v>250</v>
      </c>
    </row>
    <row r="23" spans="1:11" ht="16" x14ac:dyDescent="0.4">
      <c r="A23" s="72" t="s">
        <v>23</v>
      </c>
      <c r="B23" s="147" t="s">
        <v>104</v>
      </c>
      <c r="C23" s="147"/>
      <c r="D23" s="147"/>
      <c r="E23" s="147"/>
      <c r="F23" s="147"/>
      <c r="G23" s="147"/>
      <c r="H23" s="75">
        <v>0.3</v>
      </c>
      <c r="I23" s="76">
        <f>I22*H23</f>
        <v>412.44299999999998</v>
      </c>
      <c r="K23" s="35" t="s">
        <v>251</v>
      </c>
    </row>
    <row r="24" spans="1:11" ht="16" x14ac:dyDescent="0.4">
      <c r="A24" s="72" t="s">
        <v>39</v>
      </c>
      <c r="B24" s="147" t="s">
        <v>105</v>
      </c>
      <c r="C24" s="147"/>
      <c r="D24" s="147"/>
      <c r="E24" s="147"/>
      <c r="F24" s="147"/>
      <c r="G24" s="147"/>
      <c r="H24" s="75">
        <v>0</v>
      </c>
      <c r="I24" s="76">
        <f>I22*H24</f>
        <v>0</v>
      </c>
      <c r="K24" s="35" t="s">
        <v>252</v>
      </c>
    </row>
    <row r="25" spans="1:11" ht="16" x14ac:dyDescent="0.4">
      <c r="A25" s="72" t="s">
        <v>41</v>
      </c>
      <c r="B25" s="147" t="s">
        <v>69</v>
      </c>
      <c r="C25" s="147"/>
      <c r="D25" s="147"/>
      <c r="E25" s="147"/>
      <c r="F25" s="147"/>
      <c r="G25" s="147"/>
      <c r="H25" s="75">
        <v>0.2</v>
      </c>
      <c r="I25" s="76">
        <f>19.903465909*15.2083333333333</f>
        <v>302.69854403270767</v>
      </c>
      <c r="K25" s="35" t="s">
        <v>253</v>
      </c>
    </row>
    <row r="26" spans="1:11" ht="15.5" x14ac:dyDescent="0.35">
      <c r="A26" s="72" t="s">
        <v>43</v>
      </c>
      <c r="B26" s="147" t="s">
        <v>106</v>
      </c>
      <c r="C26" s="147"/>
      <c r="D26" s="147"/>
      <c r="E26" s="147"/>
      <c r="F26" s="147"/>
      <c r="G26" s="147"/>
      <c r="H26" s="77">
        <v>0</v>
      </c>
      <c r="I26" s="76">
        <v>123.49</v>
      </c>
      <c r="J26" s="29"/>
      <c r="K26" s="36"/>
    </row>
    <row r="27" spans="1:11" ht="15.5" x14ac:dyDescent="0.35">
      <c r="A27" s="72" t="s">
        <v>45</v>
      </c>
      <c r="B27" s="147" t="s">
        <v>107</v>
      </c>
      <c r="C27" s="147"/>
      <c r="D27" s="147"/>
      <c r="E27" s="147"/>
      <c r="F27" s="147"/>
      <c r="G27" s="147"/>
      <c r="H27" s="75">
        <v>0</v>
      </c>
      <c r="I27" s="76">
        <v>0</v>
      </c>
      <c r="K27" s="126" t="s">
        <v>254</v>
      </c>
    </row>
    <row r="28" spans="1:11" ht="16" x14ac:dyDescent="0.4">
      <c r="A28" s="149" t="s">
        <v>255</v>
      </c>
      <c r="B28" s="149"/>
      <c r="C28" s="149"/>
      <c r="D28" s="149"/>
      <c r="E28" s="149"/>
      <c r="F28" s="149"/>
      <c r="G28" s="149"/>
      <c r="H28" s="149"/>
      <c r="I28" s="78">
        <f>SUM(I22:I27)</f>
        <v>2213.4415440327075</v>
      </c>
      <c r="J28" s="15"/>
      <c r="K28" s="35" t="s">
        <v>256</v>
      </c>
    </row>
    <row r="29" spans="1:11" ht="16" x14ac:dyDescent="0.4">
      <c r="A29" s="72" t="s">
        <v>109</v>
      </c>
      <c r="B29" s="149" t="s">
        <v>110</v>
      </c>
      <c r="C29" s="149"/>
      <c r="D29" s="149"/>
      <c r="E29" s="149"/>
      <c r="F29" s="149"/>
      <c r="G29" s="149"/>
      <c r="H29" s="72" t="s">
        <v>101</v>
      </c>
      <c r="I29" s="72" t="s">
        <v>102</v>
      </c>
      <c r="J29" s="15"/>
      <c r="K29" s="35"/>
    </row>
    <row r="30" spans="1:11" ht="16" x14ac:dyDescent="0.4">
      <c r="A30" s="72" t="s">
        <v>21</v>
      </c>
      <c r="B30" s="147" t="s">
        <v>111</v>
      </c>
      <c r="C30" s="147"/>
      <c r="D30" s="147"/>
      <c r="E30" s="147"/>
      <c r="F30" s="147"/>
      <c r="G30" s="147"/>
      <c r="H30" s="75">
        <v>0.18229999999999999</v>
      </c>
      <c r="I30" s="76">
        <v>250.63</v>
      </c>
      <c r="J30" s="15"/>
      <c r="K30" s="35"/>
    </row>
    <row r="31" spans="1:11" ht="16" x14ac:dyDescent="0.4">
      <c r="A31" s="72" t="s">
        <v>23</v>
      </c>
      <c r="B31" s="147" t="s">
        <v>112</v>
      </c>
      <c r="C31" s="147"/>
      <c r="D31" s="147"/>
      <c r="E31" s="147"/>
      <c r="F31" s="147"/>
      <c r="G31" s="147"/>
      <c r="H31" s="75"/>
      <c r="I31" s="76">
        <v>6.09</v>
      </c>
      <c r="J31" s="15"/>
      <c r="K31" s="35"/>
    </row>
    <row r="32" spans="1:11" ht="16" x14ac:dyDescent="0.4">
      <c r="A32" s="72" t="s">
        <v>39</v>
      </c>
      <c r="B32" s="147" t="s">
        <v>257</v>
      </c>
      <c r="C32" s="147"/>
      <c r="D32" s="147"/>
      <c r="E32" s="147"/>
      <c r="F32" s="147"/>
      <c r="G32" s="147"/>
      <c r="H32" s="75"/>
      <c r="I32" s="76">
        <v>50.98</v>
      </c>
      <c r="J32" s="15"/>
      <c r="K32" s="35"/>
    </row>
    <row r="33" spans="1:12" ht="16" x14ac:dyDescent="0.4">
      <c r="A33" s="72" t="s">
        <v>41</v>
      </c>
      <c r="B33" s="147" t="s">
        <v>113</v>
      </c>
      <c r="C33" s="147"/>
      <c r="D33" s="147"/>
      <c r="E33" s="147"/>
      <c r="F33" s="147"/>
      <c r="G33" s="147"/>
      <c r="H33" s="75"/>
      <c r="I33" s="76">
        <v>185.39</v>
      </c>
      <c r="J33" s="15"/>
      <c r="K33" s="35"/>
    </row>
    <row r="34" spans="1:12" ht="16" x14ac:dyDescent="0.4">
      <c r="A34" s="149" t="s">
        <v>114</v>
      </c>
      <c r="B34" s="149"/>
      <c r="C34" s="149"/>
      <c r="D34" s="149"/>
      <c r="E34" s="149"/>
      <c r="F34" s="149"/>
      <c r="G34" s="149"/>
      <c r="H34" s="149"/>
      <c r="I34" s="78">
        <v>493.09</v>
      </c>
      <c r="J34" s="15"/>
      <c r="K34" s="35"/>
    </row>
    <row r="35" spans="1:12" ht="16" x14ac:dyDescent="0.4">
      <c r="A35" s="149" t="s">
        <v>115</v>
      </c>
      <c r="B35" s="149"/>
      <c r="C35" s="149"/>
      <c r="D35" s="149"/>
      <c r="E35" s="149"/>
      <c r="F35" s="149"/>
      <c r="G35" s="149"/>
      <c r="H35" s="149"/>
      <c r="I35" s="78">
        <v>2583.04</v>
      </c>
      <c r="K35" s="35" t="s">
        <v>258</v>
      </c>
    </row>
    <row r="36" spans="1:12" ht="15.5" x14ac:dyDescent="0.4">
      <c r="A36" s="133" t="s">
        <v>116</v>
      </c>
      <c r="B36" s="133"/>
      <c r="C36" s="133"/>
      <c r="D36" s="133"/>
      <c r="E36" s="133"/>
      <c r="F36" s="133"/>
      <c r="G36" s="133"/>
      <c r="H36" s="133"/>
      <c r="I36" s="133"/>
      <c r="K36" s="35" t="s">
        <v>259</v>
      </c>
    </row>
    <row r="37" spans="1:12" ht="16" x14ac:dyDescent="0.4">
      <c r="A37" s="149" t="s">
        <v>117</v>
      </c>
      <c r="B37" s="149"/>
      <c r="C37" s="149"/>
      <c r="D37" s="149"/>
      <c r="E37" s="149"/>
      <c r="F37" s="149"/>
      <c r="G37" s="149"/>
      <c r="H37" s="72" t="s">
        <v>101</v>
      </c>
      <c r="I37" s="72" t="s">
        <v>102</v>
      </c>
      <c r="K37" s="35" t="s">
        <v>260</v>
      </c>
    </row>
    <row r="38" spans="1:12" ht="16" x14ac:dyDescent="0.4">
      <c r="A38" s="72" t="s">
        <v>21</v>
      </c>
      <c r="B38" s="147" t="s">
        <v>118</v>
      </c>
      <c r="C38" s="147"/>
      <c r="D38" s="147"/>
      <c r="E38" s="147"/>
      <c r="F38" s="147"/>
      <c r="G38" s="147"/>
      <c r="H38" s="81">
        <v>8.3299999999999999E-2</v>
      </c>
      <c r="I38" s="76">
        <f>I28/12</f>
        <v>184.45346200272562</v>
      </c>
      <c r="K38" s="35" t="s">
        <v>261</v>
      </c>
    </row>
    <row r="39" spans="1:12" ht="16" x14ac:dyDescent="0.4">
      <c r="A39" s="72" t="s">
        <v>23</v>
      </c>
      <c r="B39" s="147" t="s">
        <v>119</v>
      </c>
      <c r="C39" s="147"/>
      <c r="D39" s="147"/>
      <c r="E39" s="147"/>
      <c r="F39" s="147"/>
      <c r="G39" s="147"/>
      <c r="H39" s="82"/>
      <c r="I39" s="76">
        <f>(I28/12)+ (I28/3)/12</f>
        <v>245.93794933696748</v>
      </c>
      <c r="K39" s="35"/>
    </row>
    <row r="40" spans="1:12" ht="16" x14ac:dyDescent="0.4">
      <c r="A40" s="149" t="s">
        <v>120</v>
      </c>
      <c r="B40" s="149"/>
      <c r="C40" s="149"/>
      <c r="D40" s="149"/>
      <c r="E40" s="149"/>
      <c r="F40" s="149"/>
      <c r="G40" s="149"/>
      <c r="H40" s="83"/>
      <c r="I40" s="84">
        <f>SUM(I38:I39)</f>
        <v>430.39141133969309</v>
      </c>
      <c r="K40" s="127" t="s">
        <v>262</v>
      </c>
    </row>
    <row r="41" spans="1:12" ht="15.5" x14ac:dyDescent="0.35">
      <c r="A41" s="151"/>
      <c r="B41" s="152"/>
      <c r="C41" s="152"/>
      <c r="D41" s="152"/>
      <c r="E41" s="152"/>
      <c r="F41" s="152"/>
      <c r="G41" s="152"/>
      <c r="H41" s="152"/>
      <c r="I41" s="152"/>
    </row>
    <row r="42" spans="1:12" ht="15.5" x14ac:dyDescent="0.35">
      <c r="A42" s="149" t="s">
        <v>121</v>
      </c>
      <c r="B42" s="149"/>
      <c r="C42" s="149"/>
      <c r="D42" s="149"/>
      <c r="E42" s="149"/>
      <c r="F42" s="149"/>
      <c r="G42" s="149"/>
      <c r="H42" s="72" t="s">
        <v>101</v>
      </c>
      <c r="I42" s="72" t="s">
        <v>102</v>
      </c>
    </row>
    <row r="43" spans="1:12" ht="15.5" x14ac:dyDescent="0.35">
      <c r="A43" s="72" t="s">
        <v>21</v>
      </c>
      <c r="B43" s="147" t="s">
        <v>122</v>
      </c>
      <c r="C43" s="147"/>
      <c r="D43" s="147"/>
      <c r="E43" s="147"/>
      <c r="F43" s="147"/>
      <c r="G43" s="147"/>
      <c r="H43" s="85">
        <v>0.2</v>
      </c>
      <c r="I43" s="76">
        <f>(I28+I40)*H43</f>
        <v>528.76659107448017</v>
      </c>
      <c r="K43" s="11"/>
      <c r="L43" s="9"/>
    </row>
    <row r="44" spans="1:12" ht="15.5" x14ac:dyDescent="0.35">
      <c r="A44" s="72" t="s">
        <v>23</v>
      </c>
      <c r="B44" s="147" t="s">
        <v>123</v>
      </c>
      <c r="C44" s="147"/>
      <c r="D44" s="147"/>
      <c r="E44" s="147"/>
      <c r="F44" s="147"/>
      <c r="G44" s="147"/>
      <c r="H44" s="85">
        <v>2.5000000000000001E-2</v>
      </c>
      <c r="I44" s="76">
        <f>(I28+I40)*H44</f>
        <v>66.095823884310022</v>
      </c>
      <c r="K44" s="12"/>
      <c r="L44" s="9"/>
    </row>
    <row r="45" spans="1:12" ht="15.5" x14ac:dyDescent="0.35">
      <c r="A45" s="72" t="s">
        <v>39</v>
      </c>
      <c r="B45" s="147" t="s">
        <v>124</v>
      </c>
      <c r="C45" s="147"/>
      <c r="D45" s="147"/>
      <c r="E45" s="147"/>
      <c r="F45" s="147"/>
      <c r="G45" s="147"/>
      <c r="H45" s="85">
        <v>0.03</v>
      </c>
      <c r="I45" s="76">
        <f>(I28+I40)*H45</f>
        <v>79.314988661172023</v>
      </c>
      <c r="K45" s="11"/>
    </row>
    <row r="46" spans="1:12" ht="15.5" x14ac:dyDescent="0.35">
      <c r="A46" s="72" t="s">
        <v>41</v>
      </c>
      <c r="B46" s="147" t="s">
        <v>125</v>
      </c>
      <c r="C46" s="147"/>
      <c r="D46" s="147"/>
      <c r="E46" s="147"/>
      <c r="F46" s="147"/>
      <c r="G46" s="147"/>
      <c r="H46" s="85">
        <v>1.4999999999999999E-2</v>
      </c>
      <c r="I46" s="76">
        <f>(I28+I40)*H46</f>
        <v>39.657494330586012</v>
      </c>
      <c r="K46" s="11"/>
    </row>
    <row r="47" spans="1:12" ht="15.5" x14ac:dyDescent="0.35">
      <c r="A47" s="72" t="s">
        <v>43</v>
      </c>
      <c r="B47" s="147" t="s">
        <v>126</v>
      </c>
      <c r="C47" s="147"/>
      <c r="D47" s="147"/>
      <c r="E47" s="147"/>
      <c r="F47" s="147"/>
      <c r="G47" s="147"/>
      <c r="H47" s="85">
        <v>0.01</v>
      </c>
      <c r="I47" s="76">
        <f>(I28+I40)*H47</f>
        <v>26.438329553724007</v>
      </c>
    </row>
    <row r="48" spans="1:12" ht="15.5" x14ac:dyDescent="0.35">
      <c r="A48" s="72" t="s">
        <v>45</v>
      </c>
      <c r="B48" s="147" t="s">
        <v>127</v>
      </c>
      <c r="C48" s="147"/>
      <c r="D48" s="147"/>
      <c r="E48" s="147"/>
      <c r="F48" s="147"/>
      <c r="G48" s="147"/>
      <c r="H48" s="85">
        <v>6.0000000000000001E-3</v>
      </c>
      <c r="I48" s="76">
        <f>(I28+I40)*H48</f>
        <v>15.862997732234405</v>
      </c>
    </row>
    <row r="49" spans="1:20" ht="15.5" x14ac:dyDescent="0.35">
      <c r="A49" s="72" t="s">
        <v>47</v>
      </c>
      <c r="B49" s="147" t="s">
        <v>128</v>
      </c>
      <c r="C49" s="147"/>
      <c r="D49" s="147"/>
      <c r="E49" s="147"/>
      <c r="F49" s="147"/>
      <c r="G49" s="147"/>
      <c r="H49" s="85">
        <v>2E-3</v>
      </c>
      <c r="I49" s="76">
        <f>(I28+I40)*H49</f>
        <v>5.287665910744801</v>
      </c>
    </row>
    <row r="50" spans="1:20" ht="15.5" x14ac:dyDescent="0.35">
      <c r="A50" s="72" t="s">
        <v>49</v>
      </c>
      <c r="B50" s="147" t="s">
        <v>129</v>
      </c>
      <c r="C50" s="147"/>
      <c r="D50" s="147"/>
      <c r="E50" s="147"/>
      <c r="F50" s="147"/>
      <c r="G50" s="147"/>
      <c r="H50" s="85">
        <v>0.08</v>
      </c>
      <c r="I50" s="76">
        <f>(I28+I40)*H50</f>
        <v>211.50663642979205</v>
      </c>
    </row>
    <row r="51" spans="1:20" ht="15.5" x14ac:dyDescent="0.35">
      <c r="A51" s="149" t="s">
        <v>130</v>
      </c>
      <c r="B51" s="149"/>
      <c r="C51" s="149"/>
      <c r="D51" s="149"/>
      <c r="E51" s="149"/>
      <c r="F51" s="149"/>
      <c r="G51" s="149"/>
      <c r="H51" s="86">
        <f>SUM(H43:H50)</f>
        <v>0.36800000000000005</v>
      </c>
      <c r="I51" s="78">
        <f>SUM(I43:I50)</f>
        <v>972.93052757704334</v>
      </c>
    </row>
    <row r="52" spans="1:20" ht="16" thickBot="1" x14ac:dyDescent="0.4">
      <c r="A52" s="162"/>
      <c r="B52" s="162"/>
      <c r="C52" s="162"/>
      <c r="D52" s="162"/>
      <c r="E52" s="162"/>
      <c r="F52" s="162"/>
      <c r="G52" s="162"/>
      <c r="H52" s="162"/>
      <c r="I52" s="163"/>
      <c r="K52" s="6"/>
    </row>
    <row r="53" spans="1:20" ht="16" thickBot="1" x14ac:dyDescent="0.4">
      <c r="A53" s="149" t="s">
        <v>131</v>
      </c>
      <c r="B53" s="149"/>
      <c r="C53" s="149"/>
      <c r="D53" s="149"/>
      <c r="E53" s="149"/>
      <c r="F53" s="149"/>
      <c r="G53" s="149"/>
      <c r="H53" s="83"/>
      <c r="I53" s="72" t="s">
        <v>102</v>
      </c>
      <c r="K53" s="157" t="s">
        <v>132</v>
      </c>
      <c r="L53" s="158"/>
      <c r="M53" s="158"/>
      <c r="N53" s="158"/>
      <c r="O53" s="159"/>
      <c r="Q53" s="157" t="s">
        <v>133</v>
      </c>
      <c r="R53" s="158"/>
      <c r="S53" s="158"/>
      <c r="T53" s="159"/>
    </row>
    <row r="54" spans="1:20" ht="14.25" customHeight="1" x14ac:dyDescent="0.35">
      <c r="A54" s="72" t="s">
        <v>21</v>
      </c>
      <c r="B54" s="153" t="s">
        <v>134</v>
      </c>
      <c r="C54" s="153"/>
      <c r="D54" s="153"/>
      <c r="E54" s="153"/>
      <c r="F54" s="153"/>
      <c r="G54" s="153"/>
      <c r="H54" s="66" t="s">
        <v>80</v>
      </c>
      <c r="I54" s="89">
        <f>O55-N58</f>
        <v>69.594400000000007</v>
      </c>
      <c r="J54" s="18"/>
      <c r="K54" s="21" t="s">
        <v>135</v>
      </c>
      <c r="L54" s="22" t="s">
        <v>136</v>
      </c>
      <c r="M54" s="23" t="s">
        <v>137</v>
      </c>
      <c r="N54" s="23" t="s">
        <v>138</v>
      </c>
      <c r="O54" s="24" t="s">
        <v>139</v>
      </c>
      <c r="Q54" s="21" t="s">
        <v>140</v>
      </c>
      <c r="R54" s="22" t="s">
        <v>141</v>
      </c>
      <c r="S54" s="23" t="s">
        <v>138</v>
      </c>
      <c r="T54" s="24" t="s">
        <v>139</v>
      </c>
    </row>
    <row r="55" spans="1:20" ht="16" thickBot="1" x14ac:dyDescent="0.4">
      <c r="A55" s="72" t="s">
        <v>23</v>
      </c>
      <c r="B55" s="154" t="s">
        <v>142</v>
      </c>
      <c r="C55" s="155"/>
      <c r="D55" s="155"/>
      <c r="E55" s="155"/>
      <c r="F55" s="155"/>
      <c r="G55" s="156"/>
      <c r="H55" s="66" t="s">
        <v>80</v>
      </c>
      <c r="I55" s="89">
        <f>T55</f>
        <v>243.33279999999999</v>
      </c>
      <c r="K55" s="19" t="s">
        <v>247</v>
      </c>
      <c r="L55" s="20">
        <v>5</v>
      </c>
      <c r="M55" s="20">
        <v>2</v>
      </c>
      <c r="N55" s="20">
        <v>15.208299999999999</v>
      </c>
      <c r="O55" s="25">
        <f>L55*M55*N55</f>
        <v>152.083</v>
      </c>
      <c r="Q55" s="19" t="s">
        <v>247</v>
      </c>
      <c r="R55" s="20">
        <v>16</v>
      </c>
      <c r="S55" s="20">
        <v>15.208299999999999</v>
      </c>
      <c r="T55" s="25">
        <f>R55*S55</f>
        <v>243.33279999999999</v>
      </c>
    </row>
    <row r="56" spans="1:20" ht="16.5" customHeight="1" thickBot="1" x14ac:dyDescent="0.4">
      <c r="A56" s="72" t="s">
        <v>39</v>
      </c>
      <c r="B56" s="153" t="s">
        <v>143</v>
      </c>
      <c r="C56" s="153"/>
      <c r="D56" s="153"/>
      <c r="E56" s="153"/>
      <c r="F56" s="153"/>
      <c r="G56" s="153"/>
      <c r="H56" s="66" t="s">
        <v>80</v>
      </c>
      <c r="I56" s="89">
        <v>198.07</v>
      </c>
      <c r="K56" s="157" t="s">
        <v>144</v>
      </c>
      <c r="L56" s="158"/>
      <c r="M56" s="158"/>
      <c r="N56" s="158"/>
      <c r="O56" s="159"/>
      <c r="Q56" s="157" t="s">
        <v>145</v>
      </c>
      <c r="R56" s="158"/>
      <c r="S56" s="158"/>
      <c r="T56" s="159"/>
    </row>
    <row r="57" spans="1:20" ht="15" customHeight="1" x14ac:dyDescent="0.35">
      <c r="A57" s="72" t="s">
        <v>41</v>
      </c>
      <c r="B57" s="153" t="s">
        <v>263</v>
      </c>
      <c r="C57" s="153"/>
      <c r="D57" s="153"/>
      <c r="E57" s="153"/>
      <c r="F57" s="153"/>
      <c r="G57" s="153"/>
      <c r="H57" s="66" t="s">
        <v>80</v>
      </c>
      <c r="I57" s="89">
        <v>11.41</v>
      </c>
      <c r="K57" s="21" t="s">
        <v>147</v>
      </c>
      <c r="L57" s="22" t="s">
        <v>148</v>
      </c>
      <c r="M57" s="23" t="s">
        <v>149</v>
      </c>
      <c r="N57" s="160" t="s">
        <v>150</v>
      </c>
      <c r="O57" s="161"/>
      <c r="Q57" s="21" t="s">
        <v>140</v>
      </c>
      <c r="R57" s="22" t="s">
        <v>148</v>
      </c>
      <c r="S57" s="23" t="s">
        <v>149</v>
      </c>
      <c r="T57" s="24" t="s">
        <v>139</v>
      </c>
    </row>
    <row r="58" spans="1:20" ht="16" thickBot="1" x14ac:dyDescent="0.4">
      <c r="A58" s="149" t="s">
        <v>151</v>
      </c>
      <c r="B58" s="149"/>
      <c r="C58" s="149"/>
      <c r="D58" s="149"/>
      <c r="E58" s="149"/>
      <c r="F58" s="149"/>
      <c r="G58" s="149"/>
      <c r="H58" s="149"/>
      <c r="I58" s="78">
        <f>SUM(I54:I57)</f>
        <v>522.40719999999999</v>
      </c>
      <c r="K58" s="19" t="s">
        <v>247</v>
      </c>
      <c r="L58" s="27">
        <f>I22</f>
        <v>1374.81</v>
      </c>
      <c r="M58" s="26">
        <v>0.06</v>
      </c>
      <c r="N58" s="169">
        <f>L58*M58</f>
        <v>82.488599999999991</v>
      </c>
      <c r="O58" s="170"/>
      <c r="Q58" s="19" t="s">
        <v>247</v>
      </c>
      <c r="R58" s="27">
        <f>T55</f>
        <v>243.33279999999999</v>
      </c>
      <c r="S58" s="26">
        <v>0.15</v>
      </c>
      <c r="T58" s="25">
        <f>R58*S58</f>
        <v>36.499919999999996</v>
      </c>
    </row>
    <row r="59" spans="1:20" ht="15.5" x14ac:dyDescent="0.35">
      <c r="A59" s="162"/>
      <c r="B59" s="162"/>
      <c r="C59" s="162"/>
      <c r="D59" s="162"/>
      <c r="E59" s="162"/>
      <c r="F59" s="162"/>
      <c r="G59" s="162"/>
      <c r="H59" s="162"/>
      <c r="I59" s="163"/>
    </row>
    <row r="60" spans="1:20" ht="15.5" x14ac:dyDescent="0.3">
      <c r="A60" s="133" t="s">
        <v>152</v>
      </c>
      <c r="B60" s="133"/>
      <c r="C60" s="133"/>
      <c r="D60" s="133"/>
      <c r="E60" s="133"/>
      <c r="F60" s="133"/>
      <c r="G60" s="133"/>
      <c r="H60" s="133"/>
      <c r="I60" s="133"/>
      <c r="K60" s="171"/>
      <c r="L60" s="171"/>
      <c r="M60" s="171"/>
      <c r="N60" s="171"/>
      <c r="O60" s="171"/>
    </row>
    <row r="61" spans="1:20" ht="15.5" x14ac:dyDescent="0.35">
      <c r="A61" s="172" t="s">
        <v>153</v>
      </c>
      <c r="B61" s="173"/>
      <c r="C61" s="173"/>
      <c r="D61" s="173"/>
      <c r="E61" s="173"/>
      <c r="F61" s="173"/>
      <c r="G61" s="173"/>
      <c r="H61" s="174"/>
      <c r="I61" s="72" t="s">
        <v>102</v>
      </c>
      <c r="K61" s="28"/>
      <c r="L61" s="2"/>
      <c r="M61" s="28"/>
      <c r="N61" s="28"/>
      <c r="O61" s="28"/>
    </row>
    <row r="62" spans="1:20" ht="15.5" x14ac:dyDescent="0.35">
      <c r="A62" s="72" t="s">
        <v>154</v>
      </c>
      <c r="B62" s="164" t="s">
        <v>155</v>
      </c>
      <c r="C62" s="165"/>
      <c r="D62" s="165"/>
      <c r="E62" s="165"/>
      <c r="F62" s="165"/>
      <c r="G62" s="165"/>
      <c r="H62" s="166"/>
      <c r="I62" s="76">
        <f>I40</f>
        <v>430.39141133969309</v>
      </c>
      <c r="O62" s="15"/>
    </row>
    <row r="63" spans="1:20" ht="15.5" x14ac:dyDescent="0.35">
      <c r="A63" s="72" t="s">
        <v>156</v>
      </c>
      <c r="B63" s="148" t="s">
        <v>157</v>
      </c>
      <c r="C63" s="148"/>
      <c r="D63" s="148"/>
      <c r="E63" s="148"/>
      <c r="F63" s="148"/>
      <c r="G63" s="148"/>
      <c r="H63" s="148"/>
      <c r="I63" s="74">
        <f>I51</f>
        <v>972.93052757704334</v>
      </c>
    </row>
    <row r="64" spans="1:20" ht="15.5" x14ac:dyDescent="0.35">
      <c r="A64" s="72" t="s">
        <v>158</v>
      </c>
      <c r="B64" s="148" t="s">
        <v>159</v>
      </c>
      <c r="C64" s="148"/>
      <c r="D64" s="148"/>
      <c r="E64" s="148"/>
      <c r="F64" s="148"/>
      <c r="G64" s="148"/>
      <c r="H64" s="148"/>
      <c r="I64" s="74">
        <f>I58</f>
        <v>522.40719999999999</v>
      </c>
    </row>
    <row r="65" spans="1:15" ht="15.5" x14ac:dyDescent="0.35">
      <c r="A65" s="149" t="s">
        <v>160</v>
      </c>
      <c r="B65" s="149"/>
      <c r="C65" s="149"/>
      <c r="D65" s="149"/>
      <c r="E65" s="149"/>
      <c r="F65" s="149"/>
      <c r="G65" s="149"/>
      <c r="H65" s="149"/>
      <c r="I65" s="78">
        <f>SUM(I62:I64)</f>
        <v>1925.7291389167362</v>
      </c>
    </row>
    <row r="66" spans="1:15" ht="15.5" x14ac:dyDescent="0.35">
      <c r="A66" s="167"/>
      <c r="B66" s="168"/>
      <c r="C66" s="168"/>
      <c r="D66" s="168"/>
      <c r="E66" s="168"/>
      <c r="F66" s="168"/>
      <c r="G66" s="168"/>
      <c r="H66" s="168"/>
      <c r="I66" s="168"/>
    </row>
    <row r="67" spans="1:15" ht="15.5" x14ac:dyDescent="0.3">
      <c r="A67" s="133" t="s">
        <v>161</v>
      </c>
      <c r="B67" s="133"/>
      <c r="C67" s="133"/>
      <c r="D67" s="133"/>
      <c r="E67" s="133"/>
      <c r="F67" s="133"/>
      <c r="G67" s="133"/>
      <c r="H67" s="133"/>
      <c r="I67" s="133"/>
      <c r="K67" s="175" t="s">
        <v>162</v>
      </c>
      <c r="L67" s="176"/>
      <c r="M67" s="2" t="s">
        <v>163</v>
      </c>
      <c r="N67" s="2"/>
    </row>
    <row r="68" spans="1:15" ht="15.5" x14ac:dyDescent="0.35">
      <c r="A68" s="72">
        <v>3</v>
      </c>
      <c r="B68" s="149" t="s">
        <v>164</v>
      </c>
      <c r="C68" s="149"/>
      <c r="D68" s="149"/>
      <c r="E68" s="149"/>
      <c r="F68" s="149"/>
      <c r="G68" s="149"/>
      <c r="H68" s="72" t="s">
        <v>101</v>
      </c>
      <c r="I68" s="72" t="s">
        <v>102</v>
      </c>
      <c r="K68" s="7" t="s">
        <v>165</v>
      </c>
      <c r="L68" s="7" t="s">
        <v>149</v>
      </c>
      <c r="M68" s="5" t="s">
        <v>166</v>
      </c>
    </row>
    <row r="69" spans="1:15" ht="15.5" x14ac:dyDescent="0.35">
      <c r="A69" s="72" t="s">
        <v>21</v>
      </c>
      <c r="B69" s="147" t="s">
        <v>30</v>
      </c>
      <c r="C69" s="147"/>
      <c r="D69" s="147"/>
      <c r="E69" s="147"/>
      <c r="F69" s="147"/>
      <c r="G69" s="147"/>
      <c r="H69" s="81"/>
      <c r="I69" s="76">
        <f>((I28)/12)*37.01%</f>
        <v>68.266226287208752</v>
      </c>
      <c r="K69" s="10" t="s">
        <v>167</v>
      </c>
      <c r="L69" s="1" t="s">
        <v>168</v>
      </c>
      <c r="M69" s="5" t="s">
        <v>169</v>
      </c>
      <c r="N69" s="5"/>
    </row>
    <row r="70" spans="1:15" ht="15.5" x14ac:dyDescent="0.35">
      <c r="A70" s="72" t="s">
        <v>23</v>
      </c>
      <c r="B70" s="147" t="s">
        <v>170</v>
      </c>
      <c r="C70" s="147"/>
      <c r="D70" s="147"/>
      <c r="E70" s="147"/>
      <c r="F70" s="147"/>
      <c r="G70" s="147"/>
      <c r="H70" s="90"/>
      <c r="I70" s="76">
        <f>I69*8%</f>
        <v>5.4612981029767003</v>
      </c>
      <c r="K70" s="10" t="s">
        <v>171</v>
      </c>
      <c r="L70" s="8" t="s">
        <v>172</v>
      </c>
      <c r="M70" s="15">
        <f>((I28+I62+I64+I50)/12)*37.01%</f>
        <v>104.17534063716597</v>
      </c>
      <c r="O70" s="15"/>
    </row>
    <row r="71" spans="1:15" ht="15.5" x14ac:dyDescent="0.35">
      <c r="A71" s="72" t="s">
        <v>39</v>
      </c>
      <c r="B71" s="147" t="s">
        <v>173</v>
      </c>
      <c r="C71" s="147"/>
      <c r="D71" s="147"/>
      <c r="E71" s="147"/>
      <c r="F71" s="147"/>
      <c r="G71" s="147"/>
      <c r="H71" s="91"/>
      <c r="I71" s="76">
        <f>(I50*40%)*37.01%</f>
        <v>31.311442457066416</v>
      </c>
      <c r="K71" s="10" t="s">
        <v>174</v>
      </c>
      <c r="L71" s="1">
        <v>0.2382</v>
      </c>
      <c r="M71" s="5" t="s">
        <v>175</v>
      </c>
      <c r="N71" s="5"/>
    </row>
    <row r="72" spans="1:15" ht="15" customHeight="1" x14ac:dyDescent="0.35">
      <c r="A72" s="92" t="s">
        <v>41</v>
      </c>
      <c r="B72" s="177" t="s">
        <v>176</v>
      </c>
      <c r="C72" s="177"/>
      <c r="D72" s="177"/>
      <c r="E72" s="177"/>
      <c r="F72" s="177"/>
      <c r="G72" s="177"/>
      <c r="H72" s="81"/>
      <c r="I72" s="76">
        <f>(I28/30)/12*7*37.01%</f>
        <v>15.928786133682044</v>
      </c>
      <c r="K72" s="178" t="s">
        <v>177</v>
      </c>
      <c r="L72" s="179"/>
      <c r="M72" s="15">
        <f>I50*40%</f>
        <v>84.60265457191683</v>
      </c>
      <c r="N72" s="15">
        <f>44.91*37.01%</f>
        <v>16.621191</v>
      </c>
    </row>
    <row r="73" spans="1:15" ht="15.5" x14ac:dyDescent="0.35">
      <c r="A73" s="72" t="s">
        <v>43</v>
      </c>
      <c r="B73" s="147" t="s">
        <v>178</v>
      </c>
      <c r="C73" s="147"/>
      <c r="D73" s="147"/>
      <c r="E73" s="147"/>
      <c r="F73" s="147"/>
      <c r="G73" s="147"/>
      <c r="H73" s="82"/>
      <c r="I73" s="76">
        <f>(I72*H51)</f>
        <v>5.8617932971949926</v>
      </c>
      <c r="L73" s="18"/>
      <c r="M73" s="2" t="s">
        <v>179</v>
      </c>
      <c r="N73" s="2"/>
    </row>
    <row r="74" spans="1:15" ht="15.5" x14ac:dyDescent="0.35">
      <c r="A74" s="72" t="s">
        <v>45</v>
      </c>
      <c r="B74" s="147" t="s">
        <v>180</v>
      </c>
      <c r="C74" s="147"/>
      <c r="D74" s="147"/>
      <c r="E74" s="147"/>
      <c r="F74" s="147"/>
      <c r="G74" s="147"/>
      <c r="H74" s="91"/>
      <c r="I74" s="76">
        <f>(I50*40%)*37.01%</f>
        <v>31.311442457066416</v>
      </c>
      <c r="M74" s="5" t="s">
        <v>166</v>
      </c>
    </row>
    <row r="75" spans="1:15" ht="15.5" x14ac:dyDescent="0.35">
      <c r="A75" s="149" t="s">
        <v>181</v>
      </c>
      <c r="B75" s="149"/>
      <c r="C75" s="149"/>
      <c r="D75" s="149"/>
      <c r="E75" s="149"/>
      <c r="F75" s="149"/>
      <c r="G75" s="149"/>
      <c r="H75" s="83"/>
      <c r="I75" s="84">
        <f>SUM(I69:I74)</f>
        <v>158.14098873519532</v>
      </c>
      <c r="M75" s="5" t="s">
        <v>182</v>
      </c>
      <c r="N75" s="5"/>
    </row>
    <row r="76" spans="1:15" ht="15.5" x14ac:dyDescent="0.35">
      <c r="A76" s="172"/>
      <c r="B76" s="173"/>
      <c r="C76" s="173"/>
      <c r="D76" s="173"/>
      <c r="E76" s="173"/>
      <c r="F76" s="173"/>
      <c r="G76" s="173"/>
      <c r="H76" s="173"/>
      <c r="I76" s="173"/>
      <c r="K76">
        <v>76.510000000000005</v>
      </c>
      <c r="M76" s="15">
        <f>(I28+I65)/12</f>
        <v>344.93089024578694</v>
      </c>
      <c r="N76">
        <f>M76*37.01%</f>
        <v>127.65892247996574</v>
      </c>
    </row>
    <row r="77" spans="1:15" ht="15.5" x14ac:dyDescent="0.3">
      <c r="A77" s="133" t="s">
        <v>183</v>
      </c>
      <c r="B77" s="133"/>
      <c r="C77" s="133"/>
      <c r="D77" s="133"/>
      <c r="E77" s="133"/>
      <c r="F77" s="133"/>
      <c r="G77" s="133"/>
      <c r="H77" s="133"/>
      <c r="I77" s="133"/>
      <c r="M77" s="5" t="s">
        <v>175</v>
      </c>
      <c r="N77" s="5"/>
    </row>
    <row r="78" spans="1:15" ht="15.5" x14ac:dyDescent="0.35">
      <c r="A78" s="149" t="s">
        <v>184</v>
      </c>
      <c r="B78" s="149"/>
      <c r="C78" s="149"/>
      <c r="D78" s="149"/>
      <c r="E78" s="149"/>
      <c r="F78" s="149"/>
      <c r="G78" s="149"/>
      <c r="H78" s="72" t="s">
        <v>101</v>
      </c>
      <c r="I78" s="72" t="s">
        <v>102</v>
      </c>
      <c r="M78" s="15">
        <f>I50*40%</f>
        <v>84.60265457191683</v>
      </c>
      <c r="N78" s="15">
        <f>M78*37.01%</f>
        <v>31.311442457066416</v>
      </c>
    </row>
    <row r="79" spans="1:15" ht="33.75" customHeight="1" x14ac:dyDescent="0.35">
      <c r="A79" s="72" t="s">
        <v>21</v>
      </c>
      <c r="B79" s="191" t="s">
        <v>185</v>
      </c>
      <c r="C79" s="191"/>
      <c r="D79" s="191"/>
      <c r="E79" s="191"/>
      <c r="F79" s="191"/>
      <c r="G79" s="191"/>
      <c r="H79" s="81"/>
      <c r="I79" s="76">
        <v>0</v>
      </c>
    </row>
    <row r="80" spans="1:15" ht="15.5" x14ac:dyDescent="0.35">
      <c r="A80" s="72" t="s">
        <v>23</v>
      </c>
      <c r="B80" s="147" t="s">
        <v>186</v>
      </c>
      <c r="C80" s="147"/>
      <c r="D80" s="147"/>
      <c r="E80" s="147"/>
      <c r="F80" s="147"/>
      <c r="G80" s="147"/>
      <c r="H80" s="81"/>
      <c r="I80" s="76">
        <f>(I28/30)/12*1</f>
        <v>6.1484487334241882</v>
      </c>
      <c r="K80" s="15"/>
    </row>
    <row r="81" spans="1:14" ht="15.5" x14ac:dyDescent="0.35">
      <c r="A81" s="72" t="s">
        <v>39</v>
      </c>
      <c r="B81" s="147" t="s">
        <v>187</v>
      </c>
      <c r="C81" s="147"/>
      <c r="D81" s="147"/>
      <c r="E81" s="147"/>
      <c r="F81" s="147"/>
      <c r="G81" s="147"/>
      <c r="H81" s="81"/>
      <c r="I81" s="76">
        <f>((I28/30)/12*20)*0.05</f>
        <v>6.1484487334241891</v>
      </c>
    </row>
    <row r="82" spans="1:14" ht="20" x14ac:dyDescent="0.35">
      <c r="A82" s="72" t="s">
        <v>41</v>
      </c>
      <c r="B82" s="147" t="s">
        <v>188</v>
      </c>
      <c r="C82" s="147"/>
      <c r="D82" s="147"/>
      <c r="E82" s="147"/>
      <c r="F82" s="147"/>
      <c r="G82" s="147"/>
      <c r="H82" s="81"/>
      <c r="I82" s="76">
        <f>(I28/30)/12*15*0.0922</f>
        <v>8.5033045983256521</v>
      </c>
      <c r="K82" s="31"/>
    </row>
    <row r="83" spans="1:14" ht="17.5" x14ac:dyDescent="0.35">
      <c r="A83" s="72" t="s">
        <v>43</v>
      </c>
      <c r="B83" s="147" t="s">
        <v>189</v>
      </c>
      <c r="C83" s="147"/>
      <c r="D83" s="147"/>
      <c r="E83" s="147"/>
      <c r="F83" s="147"/>
      <c r="G83" s="147"/>
      <c r="H83" s="81"/>
      <c r="I83" s="76">
        <v>2.91</v>
      </c>
      <c r="K83" s="30"/>
      <c r="N83" s="33"/>
    </row>
    <row r="84" spans="1:14" ht="17.5" x14ac:dyDescent="0.35">
      <c r="A84" s="72" t="s">
        <v>45</v>
      </c>
      <c r="B84" s="147" t="s">
        <v>107</v>
      </c>
      <c r="C84" s="147"/>
      <c r="D84" s="147"/>
      <c r="E84" s="147"/>
      <c r="F84" s="147"/>
      <c r="G84" s="147"/>
      <c r="H84" s="81"/>
      <c r="I84" s="76">
        <v>0</v>
      </c>
      <c r="K84" s="32"/>
    </row>
    <row r="85" spans="1:14" ht="20" x14ac:dyDescent="0.35">
      <c r="A85" s="72" t="s">
        <v>47</v>
      </c>
      <c r="B85" s="180" t="s">
        <v>190</v>
      </c>
      <c r="C85" s="180"/>
      <c r="D85" s="180"/>
      <c r="E85" s="180"/>
      <c r="F85" s="180"/>
      <c r="G85" s="180"/>
      <c r="H85" s="81"/>
      <c r="I85" s="76">
        <f>(I79+I80+I81+I82+I83+I84)*H51</f>
        <v>8.7253543599840437</v>
      </c>
      <c r="K85" s="31"/>
      <c r="N85" s="34"/>
    </row>
    <row r="86" spans="1:14" ht="17.5" x14ac:dyDescent="0.35">
      <c r="A86" s="149" t="s">
        <v>191</v>
      </c>
      <c r="B86" s="149"/>
      <c r="C86" s="149"/>
      <c r="D86" s="149"/>
      <c r="E86" s="149"/>
      <c r="F86" s="149"/>
      <c r="G86" s="149"/>
      <c r="H86" s="83"/>
      <c r="I86" s="84">
        <f>SUM(I79:I85)</f>
        <v>32.435556425158076</v>
      </c>
      <c r="N86" s="33"/>
    </row>
    <row r="87" spans="1:14" ht="15.5" x14ac:dyDescent="0.35">
      <c r="A87" s="181"/>
      <c r="B87" s="182"/>
      <c r="C87" s="182"/>
      <c r="D87" s="182"/>
      <c r="E87" s="182"/>
      <c r="F87" s="182"/>
      <c r="G87" s="182"/>
      <c r="H87" s="182"/>
      <c r="I87" s="182"/>
      <c r="K87" s="15"/>
    </row>
    <row r="88" spans="1:14" ht="15.5" x14ac:dyDescent="0.35">
      <c r="A88" s="149" t="s">
        <v>192</v>
      </c>
      <c r="B88" s="149"/>
      <c r="C88" s="149"/>
      <c r="D88" s="149"/>
      <c r="E88" s="149"/>
      <c r="F88" s="149"/>
      <c r="G88" s="149"/>
      <c r="H88" s="72" t="s">
        <v>101</v>
      </c>
      <c r="I88" s="72" t="s">
        <v>102</v>
      </c>
    </row>
    <row r="89" spans="1:14" ht="15.5" x14ac:dyDescent="0.35">
      <c r="A89" s="72" t="s">
        <v>21</v>
      </c>
      <c r="B89" s="147" t="s">
        <v>193</v>
      </c>
      <c r="C89" s="147"/>
      <c r="D89" s="147"/>
      <c r="E89" s="147"/>
      <c r="F89" s="147"/>
      <c r="G89" s="147"/>
      <c r="H89" s="81"/>
      <c r="I89" s="76">
        <v>0</v>
      </c>
    </row>
    <row r="90" spans="1:14" ht="15.5" x14ac:dyDescent="0.35">
      <c r="A90" s="149" t="s">
        <v>194</v>
      </c>
      <c r="B90" s="149"/>
      <c r="C90" s="149"/>
      <c r="D90" s="149"/>
      <c r="E90" s="149"/>
      <c r="F90" s="149"/>
      <c r="G90" s="149"/>
      <c r="H90" s="83"/>
      <c r="I90" s="84">
        <f>SUM(I89)</f>
        <v>0</v>
      </c>
    </row>
    <row r="91" spans="1:14" ht="15.5" x14ac:dyDescent="0.35">
      <c r="A91" s="184"/>
      <c r="B91" s="185"/>
      <c r="C91" s="185"/>
      <c r="D91" s="185"/>
      <c r="E91" s="185"/>
      <c r="F91" s="185"/>
      <c r="G91" s="185"/>
      <c r="H91" s="185"/>
      <c r="I91" s="185"/>
    </row>
    <row r="92" spans="1:14" ht="15.5" x14ac:dyDescent="0.25">
      <c r="A92" s="133" t="s">
        <v>195</v>
      </c>
      <c r="B92" s="133"/>
      <c r="C92" s="133"/>
      <c r="D92" s="133"/>
      <c r="E92" s="133"/>
      <c r="F92" s="133"/>
      <c r="G92" s="133"/>
      <c r="H92" s="133"/>
      <c r="I92" s="133"/>
    </row>
    <row r="93" spans="1:14" ht="15.5" x14ac:dyDescent="0.35">
      <c r="A93" s="149" t="s">
        <v>35</v>
      </c>
      <c r="B93" s="149"/>
      <c r="C93" s="149"/>
      <c r="D93" s="149"/>
      <c r="E93" s="149"/>
      <c r="F93" s="149"/>
      <c r="G93" s="149"/>
      <c r="H93" s="149"/>
      <c r="I93" s="72" t="s">
        <v>102</v>
      </c>
    </row>
    <row r="94" spans="1:14" ht="15.5" x14ac:dyDescent="0.35">
      <c r="A94" s="72" t="s">
        <v>196</v>
      </c>
      <c r="B94" s="148" t="s">
        <v>197</v>
      </c>
      <c r="C94" s="148"/>
      <c r="D94" s="148"/>
      <c r="E94" s="148"/>
      <c r="F94" s="148"/>
      <c r="G94" s="148"/>
      <c r="H94" s="148"/>
      <c r="I94" s="76">
        <f>SUM(I86)</f>
        <v>32.435556425158076</v>
      </c>
    </row>
    <row r="95" spans="1:14" ht="15.5" x14ac:dyDescent="0.35">
      <c r="A95" s="72" t="s">
        <v>198</v>
      </c>
      <c r="B95" s="148" t="s">
        <v>199</v>
      </c>
      <c r="C95" s="148"/>
      <c r="D95" s="148"/>
      <c r="E95" s="148"/>
      <c r="F95" s="148"/>
      <c r="G95" s="148"/>
      <c r="H95" s="148"/>
      <c r="I95" s="76">
        <f>I90</f>
        <v>0</v>
      </c>
    </row>
    <row r="96" spans="1:14" ht="15.5" x14ac:dyDescent="0.35">
      <c r="A96" s="149" t="s">
        <v>200</v>
      </c>
      <c r="B96" s="149"/>
      <c r="C96" s="149"/>
      <c r="D96" s="149"/>
      <c r="E96" s="149"/>
      <c r="F96" s="149"/>
      <c r="G96" s="149"/>
      <c r="H96" s="149"/>
      <c r="I96" s="84">
        <f>SUM(I94:I95)</f>
        <v>32.435556425158076</v>
      </c>
    </row>
    <row r="97" spans="1:11" ht="15.5" x14ac:dyDescent="0.35">
      <c r="A97" s="167"/>
      <c r="B97" s="168"/>
      <c r="C97" s="168"/>
      <c r="D97" s="168"/>
      <c r="E97" s="168"/>
      <c r="F97" s="168"/>
      <c r="G97" s="168"/>
      <c r="H97" s="168"/>
      <c r="I97" s="168"/>
    </row>
    <row r="98" spans="1:11" ht="15.5" x14ac:dyDescent="0.25">
      <c r="A98" s="133" t="s">
        <v>201</v>
      </c>
      <c r="B98" s="133"/>
      <c r="C98" s="133"/>
      <c r="D98" s="133"/>
      <c r="E98" s="133"/>
      <c r="F98" s="133"/>
      <c r="G98" s="133"/>
      <c r="H98" s="133"/>
      <c r="I98" s="133"/>
    </row>
    <row r="99" spans="1:11" ht="15.5" x14ac:dyDescent="0.35">
      <c r="A99" s="72">
        <v>5</v>
      </c>
      <c r="B99" s="149" t="s">
        <v>202</v>
      </c>
      <c r="C99" s="149"/>
      <c r="D99" s="149"/>
      <c r="E99" s="149"/>
      <c r="F99" s="149"/>
      <c r="G99" s="149"/>
      <c r="H99" s="72"/>
      <c r="I99" s="72" t="s">
        <v>102</v>
      </c>
    </row>
    <row r="100" spans="1:11" ht="15.5" x14ac:dyDescent="0.35">
      <c r="A100" s="72" t="s">
        <v>21</v>
      </c>
      <c r="B100" s="153" t="s">
        <v>203</v>
      </c>
      <c r="C100" s="153"/>
      <c r="D100" s="153"/>
      <c r="E100" s="153"/>
      <c r="F100" s="153"/>
      <c r="G100" s="153"/>
      <c r="H100" s="66" t="s">
        <v>80</v>
      </c>
      <c r="I100" s="76">
        <f>'MATERIAIS, EQUIPAMENTOS UNIFORM'!E25</f>
        <v>53.333333333333336</v>
      </c>
    </row>
    <row r="101" spans="1:11" ht="15.5" x14ac:dyDescent="0.35">
      <c r="A101" s="72" t="s">
        <v>23</v>
      </c>
      <c r="B101" s="153" t="s">
        <v>204</v>
      </c>
      <c r="C101" s="153"/>
      <c r="D101" s="153"/>
      <c r="E101" s="153"/>
      <c r="F101" s="153"/>
      <c r="G101" s="153"/>
      <c r="H101" s="66" t="s">
        <v>80</v>
      </c>
      <c r="I101" s="74">
        <f>'MATERIAIS, EQUIPAMENTOS UNIFORM'!E51</f>
        <v>40.99916666666666</v>
      </c>
    </row>
    <row r="102" spans="1:11" ht="15.5" x14ac:dyDescent="0.35">
      <c r="A102" s="87" t="s">
        <v>39</v>
      </c>
      <c r="B102" s="153" t="s">
        <v>205</v>
      </c>
      <c r="C102" s="153"/>
      <c r="D102" s="153"/>
      <c r="E102" s="153"/>
      <c r="F102" s="153"/>
      <c r="G102" s="153"/>
      <c r="H102" s="66" t="s">
        <v>80</v>
      </c>
      <c r="I102" s="74">
        <f>+'MATERIAIS, EQUIPAMENTOS UNIFORM'!E56+'MATERIAIS, EQUIPAMENTOS UNIFORM'!E61+'MATERIAIS, EQUIPAMENTOS UNIFORM'!E67</f>
        <v>41.736458333333331</v>
      </c>
    </row>
    <row r="103" spans="1:11" ht="15.5" x14ac:dyDescent="0.35">
      <c r="A103" s="87" t="s">
        <v>41</v>
      </c>
      <c r="B103" s="153" t="s">
        <v>107</v>
      </c>
      <c r="C103" s="153"/>
      <c r="D103" s="153"/>
      <c r="E103" s="153"/>
      <c r="F103" s="153"/>
      <c r="G103" s="153"/>
      <c r="H103" s="66" t="s">
        <v>80</v>
      </c>
      <c r="I103" s="74">
        <v>0</v>
      </c>
    </row>
    <row r="104" spans="1:11" ht="15.5" x14ac:dyDescent="0.35">
      <c r="A104" s="149" t="s">
        <v>206</v>
      </c>
      <c r="B104" s="149"/>
      <c r="C104" s="149"/>
      <c r="D104" s="149"/>
      <c r="E104" s="149"/>
      <c r="F104" s="149"/>
      <c r="G104" s="149"/>
      <c r="H104" s="83" t="s">
        <v>80</v>
      </c>
      <c r="I104" s="78">
        <f>SUM(I100:I103)</f>
        <v>136.06895833333334</v>
      </c>
    </row>
    <row r="105" spans="1:11" ht="15.5" x14ac:dyDescent="0.35">
      <c r="A105" s="167"/>
      <c r="B105" s="168"/>
      <c r="C105" s="168"/>
      <c r="D105" s="168"/>
      <c r="E105" s="168"/>
      <c r="F105" s="168"/>
      <c r="G105" s="168"/>
      <c r="H105" s="168"/>
      <c r="I105" s="168"/>
    </row>
    <row r="106" spans="1:11" ht="15.5" x14ac:dyDescent="0.25">
      <c r="A106" s="133" t="s">
        <v>207</v>
      </c>
      <c r="B106" s="133"/>
      <c r="C106" s="133"/>
      <c r="D106" s="133"/>
      <c r="E106" s="133"/>
      <c r="F106" s="133"/>
      <c r="G106" s="133"/>
      <c r="H106" s="133"/>
      <c r="I106" s="133"/>
    </row>
    <row r="107" spans="1:11" ht="15.5" x14ac:dyDescent="0.35">
      <c r="A107" s="72">
        <v>6</v>
      </c>
      <c r="B107" s="149" t="s">
        <v>208</v>
      </c>
      <c r="C107" s="149"/>
      <c r="D107" s="149"/>
      <c r="E107" s="149"/>
      <c r="F107" s="149"/>
      <c r="G107" s="149"/>
      <c r="H107" s="72" t="s">
        <v>101</v>
      </c>
      <c r="I107" s="72" t="s">
        <v>102</v>
      </c>
    </row>
    <row r="108" spans="1:11" ht="15.5" x14ac:dyDescent="0.35">
      <c r="A108" s="72" t="s">
        <v>21</v>
      </c>
      <c r="B108" s="147" t="s">
        <v>60</v>
      </c>
      <c r="C108" s="147"/>
      <c r="D108" s="147"/>
      <c r="E108" s="147"/>
      <c r="F108" s="147"/>
      <c r="G108" s="147"/>
      <c r="H108" s="73">
        <v>5.8700000000000002E-2</v>
      </c>
      <c r="I108" s="76">
        <f>I124*H108</f>
        <v>283.83883950949183</v>
      </c>
      <c r="K108" s="16">
        <f>(I28+I65+I75+I96+I104+I108+I109)/0.9135</f>
        <v>5554.1365860516171</v>
      </c>
    </row>
    <row r="109" spans="1:11" ht="15.5" x14ac:dyDescent="0.35">
      <c r="A109" s="72" t="s">
        <v>23</v>
      </c>
      <c r="B109" s="147" t="s">
        <v>61</v>
      </c>
      <c r="C109" s="147"/>
      <c r="D109" s="147"/>
      <c r="E109" s="147"/>
      <c r="F109" s="147"/>
      <c r="G109" s="147"/>
      <c r="H109" s="73">
        <v>6.3299999999999995E-2</v>
      </c>
      <c r="I109" s="76">
        <f>(I124+I108)*H109</f>
        <v>324.04874540553055</v>
      </c>
    </row>
    <row r="110" spans="1:11" ht="15.5" x14ac:dyDescent="0.35">
      <c r="A110" s="72" t="s">
        <v>39</v>
      </c>
      <c r="B110" s="186" t="s">
        <v>209</v>
      </c>
      <c r="C110" s="187"/>
      <c r="D110" s="187"/>
      <c r="E110" s="187"/>
      <c r="F110" s="187"/>
      <c r="G110" s="187"/>
      <c r="H110" s="187"/>
      <c r="I110" s="188"/>
    </row>
    <row r="111" spans="1:11" ht="15.5" x14ac:dyDescent="0.35">
      <c r="A111" s="72" t="s">
        <v>210</v>
      </c>
      <c r="B111" s="147" t="s">
        <v>62</v>
      </c>
      <c r="C111" s="147"/>
      <c r="D111" s="147"/>
      <c r="E111" s="147"/>
      <c r="F111" s="147"/>
      <c r="G111" s="147"/>
      <c r="H111" s="93">
        <v>6.4999999999999997E-3</v>
      </c>
      <c r="I111" s="76">
        <f>K108*H111</f>
        <v>36.101887809335508</v>
      </c>
    </row>
    <row r="112" spans="1:11" ht="15.5" x14ac:dyDescent="0.35">
      <c r="A112" s="72" t="s">
        <v>211</v>
      </c>
      <c r="B112" s="147" t="s">
        <v>63</v>
      </c>
      <c r="C112" s="147"/>
      <c r="D112" s="147"/>
      <c r="E112" s="147"/>
      <c r="F112" s="147"/>
      <c r="G112" s="147"/>
      <c r="H112" s="93">
        <v>0.03</v>
      </c>
      <c r="I112" s="76">
        <f>K108*H112</f>
        <v>166.62409758154851</v>
      </c>
    </row>
    <row r="113" spans="1:11" ht="15.5" x14ac:dyDescent="0.35">
      <c r="A113" s="72" t="s">
        <v>212</v>
      </c>
      <c r="B113" s="147" t="s">
        <v>213</v>
      </c>
      <c r="C113" s="147"/>
      <c r="D113" s="147"/>
      <c r="E113" s="147"/>
      <c r="F113" s="147"/>
      <c r="G113" s="147"/>
      <c r="H113" s="93">
        <v>0.05</v>
      </c>
      <c r="I113" s="76">
        <f>K108*H113</f>
        <v>277.70682930258084</v>
      </c>
    </row>
    <row r="114" spans="1:11" ht="15.5" x14ac:dyDescent="0.35">
      <c r="A114" s="149" t="s">
        <v>214</v>
      </c>
      <c r="B114" s="149"/>
      <c r="C114" s="149"/>
      <c r="D114" s="149"/>
      <c r="E114" s="149"/>
      <c r="F114" s="149"/>
      <c r="G114" s="149"/>
      <c r="H114" s="93"/>
      <c r="I114" s="78">
        <f>SUM(I108:I113)</f>
        <v>1088.3203996084874</v>
      </c>
    </row>
    <row r="115" spans="1:11" ht="15.5" x14ac:dyDescent="0.35">
      <c r="A115" s="71"/>
      <c r="B115" s="189"/>
      <c r="C115" s="189"/>
      <c r="D115" s="189"/>
      <c r="E115" s="189"/>
      <c r="F115" s="189"/>
      <c r="G115" s="189"/>
      <c r="H115" s="189"/>
      <c r="I115" s="189"/>
    </row>
    <row r="116" spans="1:11" ht="15.5" x14ac:dyDescent="0.35">
      <c r="A116" s="71"/>
      <c r="B116" s="71"/>
      <c r="C116" s="71"/>
      <c r="D116" s="71"/>
      <c r="E116" s="71"/>
      <c r="F116" s="71"/>
      <c r="G116" s="71"/>
      <c r="H116" s="71"/>
      <c r="I116" s="100"/>
    </row>
    <row r="117" spans="1:11" ht="15.5" x14ac:dyDescent="0.25">
      <c r="A117" s="133" t="s">
        <v>215</v>
      </c>
      <c r="B117" s="133"/>
      <c r="C117" s="133"/>
      <c r="D117" s="133"/>
      <c r="E117" s="133"/>
      <c r="F117" s="133"/>
      <c r="G117" s="133"/>
      <c r="H117" s="133"/>
      <c r="I117" s="133"/>
    </row>
    <row r="118" spans="1:11" ht="15.5" x14ac:dyDescent="0.35">
      <c r="A118" s="149" t="s">
        <v>216</v>
      </c>
      <c r="B118" s="149"/>
      <c r="C118" s="149"/>
      <c r="D118" s="149"/>
      <c r="E118" s="149"/>
      <c r="F118" s="149"/>
      <c r="G118" s="149"/>
      <c r="H118" s="149"/>
      <c r="I118" s="72" t="s">
        <v>102</v>
      </c>
      <c r="K118" s="4"/>
    </row>
    <row r="119" spans="1:11" ht="15.5" x14ac:dyDescent="0.35">
      <c r="A119" s="66" t="s">
        <v>21</v>
      </c>
      <c r="B119" s="147" t="str">
        <f>A20</f>
        <v>MÓDULO 1 - COMPOSIÇÃO DA REMUNERAÇÃO</v>
      </c>
      <c r="C119" s="147"/>
      <c r="D119" s="147"/>
      <c r="E119" s="147"/>
      <c r="F119" s="147"/>
      <c r="G119" s="147"/>
      <c r="H119" s="147"/>
      <c r="I119" s="74">
        <f>I35</f>
        <v>2583.04</v>
      </c>
    </row>
    <row r="120" spans="1:11" ht="15.5" x14ac:dyDescent="0.35">
      <c r="A120" s="66" t="s">
        <v>23</v>
      </c>
      <c r="B120" s="147" t="str">
        <f>A36</f>
        <v>MÓDULO 2 – ENCARGOS E BENEFÍCIOS ANUAIS, MENSAIS E DIÁRIOS</v>
      </c>
      <c r="C120" s="147"/>
      <c r="D120" s="147"/>
      <c r="E120" s="147"/>
      <c r="F120" s="147"/>
      <c r="G120" s="147"/>
      <c r="H120" s="147"/>
      <c r="I120" s="74">
        <f>I65</f>
        <v>1925.7291389167362</v>
      </c>
    </row>
    <row r="121" spans="1:11" ht="15.5" x14ac:dyDescent="0.35">
      <c r="A121" s="66" t="s">
        <v>39</v>
      </c>
      <c r="B121" s="147" t="str">
        <f>A67</f>
        <v>MÓDULO 3 – PROVISÃO PARA RESCISÃO</v>
      </c>
      <c r="C121" s="147"/>
      <c r="D121" s="147"/>
      <c r="E121" s="147"/>
      <c r="F121" s="147"/>
      <c r="G121" s="147"/>
      <c r="H121" s="147"/>
      <c r="I121" s="74">
        <f>I75</f>
        <v>158.14098873519532</v>
      </c>
    </row>
    <row r="122" spans="1:11" ht="15.5" x14ac:dyDescent="0.35">
      <c r="A122" s="66" t="s">
        <v>41</v>
      </c>
      <c r="B122" s="147" t="str">
        <f>A77</f>
        <v>MÓDULO 4 – CUSTO DE REPOSIÇÃO DO PROFISSIONAL AUSENTE</v>
      </c>
      <c r="C122" s="147"/>
      <c r="D122" s="147"/>
      <c r="E122" s="147"/>
      <c r="F122" s="147"/>
      <c r="G122" s="147"/>
      <c r="H122" s="147"/>
      <c r="I122" s="74">
        <f>I96</f>
        <v>32.435556425158076</v>
      </c>
      <c r="K122" s="4"/>
    </row>
    <row r="123" spans="1:11" ht="15.5" x14ac:dyDescent="0.35">
      <c r="A123" s="66" t="s">
        <v>43</v>
      </c>
      <c r="B123" s="147" t="str">
        <f>A98</f>
        <v>MÓDULO 5 – INSUMOS DIVERSOS</v>
      </c>
      <c r="C123" s="147"/>
      <c r="D123" s="147"/>
      <c r="E123" s="147"/>
      <c r="F123" s="147"/>
      <c r="G123" s="147"/>
      <c r="H123" s="147"/>
      <c r="I123" s="74">
        <f>I104</f>
        <v>136.06895833333334</v>
      </c>
      <c r="K123" s="4"/>
    </row>
    <row r="124" spans="1:11" ht="15.5" x14ac:dyDescent="0.35">
      <c r="A124" s="72"/>
      <c r="B124" s="149" t="s">
        <v>217</v>
      </c>
      <c r="C124" s="149"/>
      <c r="D124" s="149"/>
      <c r="E124" s="149"/>
      <c r="F124" s="149"/>
      <c r="G124" s="149"/>
      <c r="H124" s="149"/>
      <c r="I124" s="78">
        <f>SUM(I119:I123)</f>
        <v>4835.4146424104229</v>
      </c>
    </row>
    <row r="125" spans="1:11" ht="15.5" x14ac:dyDescent="0.35">
      <c r="A125" s="66" t="s">
        <v>45</v>
      </c>
      <c r="B125" s="147" t="str">
        <f>A106</f>
        <v>MÓDULO 6 – CUSTOS INDIRETOS, TRIBUTOS E LUCRO</v>
      </c>
      <c r="C125" s="147"/>
      <c r="D125" s="147"/>
      <c r="E125" s="147"/>
      <c r="F125" s="147"/>
      <c r="G125" s="147"/>
      <c r="H125" s="147"/>
      <c r="I125" s="74">
        <f>I114</f>
        <v>1088.3203996084874</v>
      </c>
      <c r="K125" s="3"/>
    </row>
    <row r="126" spans="1:11" ht="15.5" x14ac:dyDescent="0.35">
      <c r="A126" s="149" t="s">
        <v>218</v>
      </c>
      <c r="B126" s="149"/>
      <c r="C126" s="149"/>
      <c r="D126" s="149"/>
      <c r="E126" s="149"/>
      <c r="F126" s="149"/>
      <c r="G126" s="149"/>
      <c r="H126" s="149"/>
      <c r="I126" s="78">
        <f>I124+I125</f>
        <v>5923.7350420189105</v>
      </c>
    </row>
    <row r="127" spans="1:11" ht="15.5" x14ac:dyDescent="0.35">
      <c r="A127" s="149" t="s">
        <v>264</v>
      </c>
      <c r="B127" s="149"/>
      <c r="C127" s="149"/>
      <c r="D127" s="149"/>
      <c r="E127" s="149"/>
      <c r="F127" s="149"/>
      <c r="G127" s="149"/>
      <c r="H127" s="149"/>
      <c r="I127" s="78">
        <f>I126*2</f>
        <v>11847.470084037821</v>
      </c>
    </row>
    <row r="128" spans="1:11" ht="15.5" x14ac:dyDescent="0.35">
      <c r="A128" s="95"/>
      <c r="B128" s="95"/>
      <c r="C128" s="95"/>
      <c r="D128" s="95"/>
      <c r="E128" s="95"/>
      <c r="F128" s="95"/>
      <c r="G128" s="95"/>
      <c r="H128" s="95"/>
      <c r="I128" s="96"/>
    </row>
    <row r="129" spans="1:9" ht="15.5" x14ac:dyDescent="0.25">
      <c r="A129" s="133" t="s">
        <v>220</v>
      </c>
      <c r="B129" s="133"/>
      <c r="C129" s="133"/>
      <c r="D129" s="133"/>
      <c r="E129" s="133"/>
      <c r="F129" s="133"/>
      <c r="G129" s="133"/>
      <c r="H129" s="133"/>
      <c r="I129" s="133"/>
    </row>
    <row r="130" spans="1:9" ht="13.5" hidden="1" customHeight="1" x14ac:dyDescent="0.35">
      <c r="A130" s="190" t="s">
        <v>221</v>
      </c>
      <c r="B130" s="190"/>
      <c r="C130" s="190" t="s">
        <v>222</v>
      </c>
      <c r="D130" s="190"/>
      <c r="E130" s="190" t="s">
        <v>223</v>
      </c>
      <c r="F130" s="190"/>
      <c r="G130" s="97" t="s">
        <v>224</v>
      </c>
      <c r="H130" s="97" t="s">
        <v>225</v>
      </c>
      <c r="I130" s="72" t="s">
        <v>102</v>
      </c>
    </row>
    <row r="131" spans="1:9" ht="40.5" hidden="1" customHeight="1" x14ac:dyDescent="0.35">
      <c r="A131" s="148" t="s">
        <v>226</v>
      </c>
      <c r="B131" s="148"/>
      <c r="C131" s="147" t="s">
        <v>227</v>
      </c>
      <c r="D131" s="147"/>
      <c r="E131" s="148"/>
      <c r="F131" s="148"/>
      <c r="G131" s="88" t="s">
        <v>227</v>
      </c>
      <c r="H131" s="88"/>
      <c r="I131" s="76">
        <v>0</v>
      </c>
    </row>
    <row r="132" spans="1:9" ht="12.75" hidden="1" customHeight="1" x14ac:dyDescent="0.35">
      <c r="A132" s="148" t="s">
        <v>228</v>
      </c>
      <c r="B132" s="148"/>
      <c r="C132" s="147" t="s">
        <v>227</v>
      </c>
      <c r="D132" s="147"/>
      <c r="E132" s="148"/>
      <c r="F132" s="148"/>
      <c r="G132" s="88" t="s">
        <v>227</v>
      </c>
      <c r="H132" s="88"/>
      <c r="I132" s="76">
        <v>0</v>
      </c>
    </row>
    <row r="133" spans="1:9" ht="12.75" hidden="1" customHeight="1" x14ac:dyDescent="0.35">
      <c r="A133" s="148" t="s">
        <v>229</v>
      </c>
      <c r="B133" s="148"/>
      <c r="C133" s="147" t="s">
        <v>227</v>
      </c>
      <c r="D133" s="147"/>
      <c r="E133" s="148"/>
      <c r="F133" s="148"/>
      <c r="G133" s="88" t="s">
        <v>227</v>
      </c>
      <c r="H133" s="88"/>
      <c r="I133" s="76">
        <v>0</v>
      </c>
    </row>
    <row r="134" spans="1:9" ht="12.75" hidden="1" customHeight="1" x14ac:dyDescent="0.35">
      <c r="A134" s="148" t="s">
        <v>230</v>
      </c>
      <c r="B134" s="148"/>
      <c r="C134" s="147" t="s">
        <v>227</v>
      </c>
      <c r="D134" s="147"/>
      <c r="E134" s="148"/>
      <c r="F134" s="148"/>
      <c r="G134" s="88" t="s">
        <v>227</v>
      </c>
      <c r="H134" s="88"/>
      <c r="I134" s="76">
        <v>0</v>
      </c>
    </row>
    <row r="135" spans="1:9" ht="12.75" hidden="1" customHeight="1" x14ac:dyDescent="0.35">
      <c r="A135" s="149"/>
      <c r="B135" s="149"/>
      <c r="C135" s="148"/>
      <c r="D135" s="148"/>
      <c r="E135" s="148"/>
      <c r="F135" s="148"/>
      <c r="G135" s="98"/>
      <c r="H135" s="98"/>
      <c r="I135" s="76"/>
    </row>
    <row r="136" spans="1:9" ht="12.75" hidden="1" customHeight="1" x14ac:dyDescent="0.35">
      <c r="A136" s="149"/>
      <c r="B136" s="149"/>
      <c r="C136" s="148"/>
      <c r="D136" s="148"/>
      <c r="E136" s="148"/>
      <c r="F136" s="148"/>
      <c r="G136" s="88"/>
      <c r="H136" s="88"/>
      <c r="I136" s="76"/>
    </row>
    <row r="137" spans="1:9" ht="13.5" hidden="1" customHeight="1" x14ac:dyDescent="0.35">
      <c r="A137" s="149" t="s">
        <v>231</v>
      </c>
      <c r="B137" s="149"/>
      <c r="C137" s="149"/>
      <c r="D137" s="149"/>
      <c r="E137" s="149"/>
      <c r="F137" s="149"/>
      <c r="G137" s="149"/>
      <c r="H137" s="149"/>
      <c r="I137" s="84">
        <f>SUM(I135:I136)</f>
        <v>0</v>
      </c>
    </row>
    <row r="138" spans="1:9" ht="13.5" hidden="1" customHeight="1" x14ac:dyDescent="0.35">
      <c r="A138" s="88"/>
      <c r="B138" s="88"/>
      <c r="C138" s="88"/>
      <c r="D138" s="88"/>
      <c r="E138" s="88"/>
      <c r="F138" s="88"/>
      <c r="G138" s="88"/>
      <c r="H138" s="88"/>
      <c r="I138" s="88"/>
    </row>
    <row r="139" spans="1:9" ht="12.75" hidden="1" customHeight="1" x14ac:dyDescent="0.35">
      <c r="A139" s="66" t="s">
        <v>232</v>
      </c>
      <c r="B139" s="148" t="s">
        <v>233</v>
      </c>
      <c r="C139" s="148"/>
      <c r="D139" s="148"/>
      <c r="E139" s="148"/>
      <c r="F139" s="148"/>
      <c r="G139" s="148"/>
      <c r="H139" s="72"/>
      <c r="I139" s="72"/>
    </row>
    <row r="140" spans="1:9" ht="13.5" hidden="1" customHeight="1" x14ac:dyDescent="0.35">
      <c r="A140" s="149" t="s">
        <v>234</v>
      </c>
      <c r="B140" s="149"/>
      <c r="C140" s="149"/>
      <c r="D140" s="149"/>
      <c r="E140" s="149"/>
      <c r="F140" s="149"/>
      <c r="G140" s="149"/>
      <c r="H140" s="149"/>
      <c r="I140" s="149"/>
    </row>
    <row r="141" spans="1:9" ht="13.5" hidden="1" customHeight="1" x14ac:dyDescent="0.35">
      <c r="A141" s="66"/>
      <c r="B141" s="180" t="s">
        <v>235</v>
      </c>
      <c r="C141" s="180"/>
      <c r="D141" s="180"/>
      <c r="E141" s="180"/>
      <c r="F141" s="180"/>
      <c r="G141" s="180"/>
      <c r="H141" s="180"/>
      <c r="I141" s="72" t="s">
        <v>102</v>
      </c>
    </row>
    <row r="142" spans="1:9" ht="13.5" hidden="1" customHeight="1" x14ac:dyDescent="0.35">
      <c r="A142" s="66" t="s">
        <v>21</v>
      </c>
      <c r="B142" s="147" t="s">
        <v>236</v>
      </c>
      <c r="C142" s="147"/>
      <c r="D142" s="147"/>
      <c r="E142" s="147"/>
      <c r="F142" s="147"/>
      <c r="G142" s="147"/>
      <c r="H142" s="147"/>
      <c r="I142" s="76">
        <f>I111</f>
        <v>36.101887809335508</v>
      </c>
    </row>
    <row r="143" spans="1:9" ht="12.75" hidden="1" customHeight="1" x14ac:dyDescent="0.35">
      <c r="A143" s="66" t="s">
        <v>23</v>
      </c>
      <c r="B143" s="147" t="s">
        <v>237</v>
      </c>
      <c r="C143" s="147"/>
      <c r="D143" s="147"/>
      <c r="E143" s="147"/>
      <c r="F143" s="147"/>
      <c r="G143" s="147"/>
      <c r="H143" s="147"/>
      <c r="I143" s="76" t="e">
        <f>#REF!</f>
        <v>#REF!</v>
      </c>
    </row>
    <row r="144" spans="1:9" ht="12.75" hidden="1" customHeight="1" x14ac:dyDescent="0.35">
      <c r="A144" s="66" t="s">
        <v>39</v>
      </c>
      <c r="B144" s="147" t="s">
        <v>238</v>
      </c>
      <c r="C144" s="147"/>
      <c r="D144" s="147"/>
      <c r="E144" s="147"/>
      <c r="F144" s="147"/>
      <c r="G144" s="147"/>
      <c r="H144" s="147"/>
      <c r="I144" s="76">
        <f>I114</f>
        <v>1088.3203996084874</v>
      </c>
    </row>
    <row r="145" spans="1:9" ht="13.5" hidden="1" customHeight="1" x14ac:dyDescent="0.35">
      <c r="A145" s="148" t="s">
        <v>239</v>
      </c>
      <c r="B145" s="148"/>
      <c r="C145" s="148"/>
      <c r="D145" s="148"/>
      <c r="E145" s="148"/>
      <c r="F145" s="148"/>
      <c r="G145" s="148"/>
      <c r="H145" s="148"/>
      <c r="I145" s="84" t="e">
        <f>SUM(I142:I144)</f>
        <v>#REF!</v>
      </c>
    </row>
    <row r="146" spans="1:9" ht="13.5" hidden="1" customHeight="1" x14ac:dyDescent="0.35">
      <c r="A146" s="66" t="s">
        <v>240</v>
      </c>
      <c r="B146" s="88" t="s">
        <v>241</v>
      </c>
      <c r="C146" s="88"/>
      <c r="D146" s="88"/>
      <c r="E146" s="88"/>
      <c r="F146" s="88"/>
      <c r="G146" s="88"/>
      <c r="H146" s="88"/>
      <c r="I146" s="88"/>
    </row>
    <row r="147" spans="1:9" ht="12.75" hidden="1" customHeight="1" x14ac:dyDescent="0.35">
      <c r="A147" s="88"/>
      <c r="B147" s="88"/>
      <c r="C147" s="88"/>
      <c r="D147" s="88"/>
      <c r="E147" s="88"/>
      <c r="F147" s="88"/>
      <c r="G147" s="88"/>
      <c r="H147" s="88"/>
      <c r="I147" s="88"/>
    </row>
    <row r="148" spans="1:9" ht="12.75" hidden="1" customHeight="1" x14ac:dyDescent="0.35">
      <c r="A148" s="88"/>
      <c r="B148" s="88"/>
      <c r="C148" s="88"/>
      <c r="D148" s="88"/>
      <c r="E148" s="88"/>
      <c r="F148" s="88"/>
      <c r="G148" s="88"/>
      <c r="H148" s="88"/>
      <c r="I148" s="88"/>
    </row>
    <row r="149" spans="1:9" ht="12.75" hidden="1" customHeight="1" x14ac:dyDescent="0.35">
      <c r="A149" s="98"/>
      <c r="B149" s="98"/>
      <c r="C149" s="88"/>
      <c r="D149" s="88"/>
      <c r="E149" s="88"/>
      <c r="F149" s="88"/>
      <c r="G149" s="88"/>
      <c r="H149" s="88"/>
      <c r="I149" s="88"/>
    </row>
    <row r="150" spans="1:9" ht="12.75" customHeight="1" x14ac:dyDescent="0.35">
      <c r="A150" s="172" t="s">
        <v>242</v>
      </c>
      <c r="B150" s="173"/>
      <c r="C150" s="173"/>
      <c r="D150" s="173"/>
      <c r="E150" s="173"/>
      <c r="F150" s="173"/>
      <c r="G150" s="173"/>
      <c r="H150" s="174"/>
      <c r="I150" s="72">
        <v>2</v>
      </c>
    </row>
    <row r="151" spans="1:9" ht="12.75" customHeight="1" x14ac:dyDescent="0.35">
      <c r="A151" s="172" t="s">
        <v>243</v>
      </c>
      <c r="B151" s="173"/>
      <c r="C151" s="173"/>
      <c r="D151" s="173"/>
      <c r="E151" s="173"/>
      <c r="F151" s="173"/>
      <c r="G151" s="173"/>
      <c r="H151" s="174"/>
      <c r="I151" s="78">
        <f>I127*I150</f>
        <v>23694.940168075642</v>
      </c>
    </row>
    <row r="152" spans="1:9" ht="15.5" x14ac:dyDescent="0.35">
      <c r="A152" s="172" t="s">
        <v>244</v>
      </c>
      <c r="B152" s="173"/>
      <c r="C152" s="173"/>
      <c r="D152" s="173"/>
      <c r="E152" s="173"/>
      <c r="F152" s="173"/>
      <c r="G152" s="173"/>
      <c r="H152" s="174"/>
      <c r="I152" s="78">
        <f>I151*12</f>
        <v>284339.2820169077</v>
      </c>
    </row>
    <row r="153" spans="1:9" ht="13" x14ac:dyDescent="0.3">
      <c r="A153" s="4"/>
      <c r="B153" s="5"/>
      <c r="E153" s="6"/>
      <c r="I153" s="17"/>
    </row>
    <row r="154" spans="1:9" x14ac:dyDescent="0.25">
      <c r="A154" s="6"/>
      <c r="I154" s="15"/>
    </row>
    <row r="155" spans="1:9" x14ac:dyDescent="0.25">
      <c r="A155" s="6"/>
    </row>
  </sheetData>
  <mergeCells count="170">
    <mergeCell ref="A150:H150"/>
    <mergeCell ref="A151:H151"/>
    <mergeCell ref="E133:F133"/>
    <mergeCell ref="E134:F134"/>
    <mergeCell ref="A135:B135"/>
    <mergeCell ref="A136:B136"/>
    <mergeCell ref="E135:F135"/>
    <mergeCell ref="B141:H141"/>
    <mergeCell ref="A145:H145"/>
    <mergeCell ref="B143:H143"/>
    <mergeCell ref="B144:H144"/>
    <mergeCell ref="C135:D135"/>
    <mergeCell ref="C136:D136"/>
    <mergeCell ref="E136:F136"/>
    <mergeCell ref="C133:D133"/>
    <mergeCell ref="E10:I10"/>
    <mergeCell ref="A13:I13"/>
    <mergeCell ref="B14:H14"/>
    <mergeCell ref="A19:I19"/>
    <mergeCell ref="B142:H142"/>
    <mergeCell ref="B29:G29"/>
    <mergeCell ref="B30:G30"/>
    <mergeCell ref="B31:G31"/>
    <mergeCell ref="B32:G32"/>
    <mergeCell ref="A34:H34"/>
    <mergeCell ref="A35:H35"/>
    <mergeCell ref="B33:G33"/>
    <mergeCell ref="B54:G54"/>
    <mergeCell ref="B112:G112"/>
    <mergeCell ref="A96:H96"/>
    <mergeCell ref="A77:I77"/>
    <mergeCell ref="A67:I67"/>
    <mergeCell ref="B69:G69"/>
    <mergeCell ref="B70:G70"/>
    <mergeCell ref="B113:G113"/>
    <mergeCell ref="B55:G55"/>
    <mergeCell ref="B56:G56"/>
    <mergeCell ref="B57:G57"/>
    <mergeCell ref="B102:G102"/>
    <mergeCell ref="A152:H152"/>
    <mergeCell ref="A1:I1"/>
    <mergeCell ref="A20:I20"/>
    <mergeCell ref="A2:I2"/>
    <mergeCell ref="A11:B11"/>
    <mergeCell ref="C11:D11"/>
    <mergeCell ref="E11:I11"/>
    <mergeCell ref="B5:H5"/>
    <mergeCell ref="B6:H6"/>
    <mergeCell ref="B7:H7"/>
    <mergeCell ref="B15:H15"/>
    <mergeCell ref="B16:H16"/>
    <mergeCell ref="B17:H17"/>
    <mergeCell ref="B18:H18"/>
    <mergeCell ref="A3:I3"/>
    <mergeCell ref="B4:H4"/>
    <mergeCell ref="A9:I9"/>
    <mergeCell ref="A10:B10"/>
    <mergeCell ref="C10:D10"/>
    <mergeCell ref="A78:G78"/>
    <mergeCell ref="B79:G79"/>
    <mergeCell ref="A86:G86"/>
    <mergeCell ref="A87:I87"/>
    <mergeCell ref="A88:G88"/>
    <mergeCell ref="B81:G81"/>
    <mergeCell ref="B63:H63"/>
    <mergeCell ref="B64:H64"/>
    <mergeCell ref="B83:G83"/>
    <mergeCell ref="B84:G84"/>
    <mergeCell ref="B100:G100"/>
    <mergeCell ref="A98:I98"/>
    <mergeCell ref="B95:H95"/>
    <mergeCell ref="B94:H94"/>
    <mergeCell ref="B89:G89"/>
    <mergeCell ref="A90:G90"/>
    <mergeCell ref="A91:I91"/>
    <mergeCell ref="A93:H93"/>
    <mergeCell ref="B80:G80"/>
    <mergeCell ref="B85:G85"/>
    <mergeCell ref="B21:G21"/>
    <mergeCell ref="A28:H28"/>
    <mergeCell ref="A36:I36"/>
    <mergeCell ref="B22:G22"/>
    <mergeCell ref="B23:G23"/>
    <mergeCell ref="B27:G27"/>
    <mergeCell ref="B26:G26"/>
    <mergeCell ref="B24:G24"/>
    <mergeCell ref="B25:G25"/>
    <mergeCell ref="A37:G37"/>
    <mergeCell ref="B38:G38"/>
    <mergeCell ref="A40:G40"/>
    <mergeCell ref="A41:I41"/>
    <mergeCell ref="A42:G42"/>
    <mergeCell ref="B43:G43"/>
    <mergeCell ref="A51:G51"/>
    <mergeCell ref="A52:I52"/>
    <mergeCell ref="A53:G53"/>
    <mergeCell ref="B46:G46"/>
    <mergeCell ref="B49:G49"/>
    <mergeCell ref="B45:G45"/>
    <mergeCell ref="B39:G39"/>
    <mergeCell ref="B44:G44"/>
    <mergeCell ref="B47:G47"/>
    <mergeCell ref="B48:G48"/>
    <mergeCell ref="B50:G50"/>
    <mergeCell ref="A126:H126"/>
    <mergeCell ref="B124:H124"/>
    <mergeCell ref="B125:H125"/>
    <mergeCell ref="B120:H120"/>
    <mergeCell ref="B121:H121"/>
    <mergeCell ref="B122:H122"/>
    <mergeCell ref="B123:H123"/>
    <mergeCell ref="B99:G99"/>
    <mergeCell ref="A104:G104"/>
    <mergeCell ref="A105:I105"/>
    <mergeCell ref="A106:I106"/>
    <mergeCell ref="B108:G108"/>
    <mergeCell ref="B109:G109"/>
    <mergeCell ref="B103:G103"/>
    <mergeCell ref="B101:G101"/>
    <mergeCell ref="A127:H127"/>
    <mergeCell ref="B110:I110"/>
    <mergeCell ref="A129:I129"/>
    <mergeCell ref="K67:L67"/>
    <mergeCell ref="K72:L72"/>
    <mergeCell ref="K53:O53"/>
    <mergeCell ref="K56:O56"/>
    <mergeCell ref="N57:O57"/>
    <mergeCell ref="N58:O58"/>
    <mergeCell ref="K60:O60"/>
    <mergeCell ref="B107:G107"/>
    <mergeCell ref="A114:G114"/>
    <mergeCell ref="B115:I115"/>
    <mergeCell ref="A117:I117"/>
    <mergeCell ref="A118:H118"/>
    <mergeCell ref="B111:G111"/>
    <mergeCell ref="B119:H119"/>
    <mergeCell ref="B82:G82"/>
    <mergeCell ref="A92:I92"/>
    <mergeCell ref="A97:I97"/>
    <mergeCell ref="B71:G71"/>
    <mergeCell ref="B72:G72"/>
    <mergeCell ref="B73:G73"/>
    <mergeCell ref="B74:G74"/>
    <mergeCell ref="Q53:T53"/>
    <mergeCell ref="Q56:T56"/>
    <mergeCell ref="B62:H62"/>
    <mergeCell ref="A65:H65"/>
    <mergeCell ref="A66:I66"/>
    <mergeCell ref="B68:G68"/>
    <mergeCell ref="A75:G75"/>
    <mergeCell ref="A76:I76"/>
    <mergeCell ref="A60:I60"/>
    <mergeCell ref="A58:H58"/>
    <mergeCell ref="A59:I59"/>
    <mergeCell ref="A61:H61"/>
    <mergeCell ref="A130:B130"/>
    <mergeCell ref="C130:D130"/>
    <mergeCell ref="E130:F130"/>
    <mergeCell ref="A137:H137"/>
    <mergeCell ref="B139:G139"/>
    <mergeCell ref="A140:I140"/>
    <mergeCell ref="C134:D134"/>
    <mergeCell ref="A133:B133"/>
    <mergeCell ref="A134:B134"/>
    <mergeCell ref="E131:F131"/>
    <mergeCell ref="E132:F132"/>
    <mergeCell ref="A132:B132"/>
    <mergeCell ref="A131:B131"/>
    <mergeCell ref="C131:D131"/>
    <mergeCell ref="C132:D132"/>
  </mergeCells>
  <phoneticPr fontId="4" type="noConversion"/>
  <pageMargins left="0.66" right="0.19685039370078741" top="0.59055118110236227" bottom="0.39370078740157483" header="0.18" footer="0.15748031496062992"/>
  <pageSetup paperSize="9" scale="80" firstPageNumber="0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369E3-251C-483A-916B-533F4DF89B95}">
  <sheetPr>
    <tabColor theme="8" tint="0.59999389629810485"/>
  </sheetPr>
  <dimension ref="A1:T153"/>
  <sheetViews>
    <sheetView showGridLines="0" topLeftCell="A117" workbookViewId="0">
      <selection activeCell="I149" sqref="I149"/>
    </sheetView>
  </sheetViews>
  <sheetFormatPr defaultRowHeight="12.5" x14ac:dyDescent="0.25"/>
  <cols>
    <col min="1" max="1" width="10" bestFit="1" customWidth="1"/>
    <col min="5" max="5" width="10.81640625" bestFit="1" customWidth="1"/>
    <col min="7" max="7" width="26.26953125" customWidth="1"/>
    <col min="8" max="8" width="8.81640625" customWidth="1"/>
    <col min="9" max="9" width="21.453125" customWidth="1"/>
    <col min="10" max="10" width="30.453125" customWidth="1"/>
    <col min="11" max="11" width="32.7265625" hidden="1" customWidth="1"/>
    <col min="12" max="12" width="22.81640625" customWidth="1"/>
    <col min="13" max="13" width="26.7265625" customWidth="1"/>
    <col min="14" max="14" width="35.54296875" customWidth="1"/>
    <col min="15" max="15" width="10.26953125" bestFit="1" customWidth="1"/>
    <col min="16" max="16" width="12.90625" customWidth="1"/>
    <col min="17" max="17" width="24.26953125" customWidth="1"/>
    <col min="18" max="18" width="38.81640625" customWidth="1"/>
    <col min="19" max="19" width="37.7265625" customWidth="1"/>
    <col min="20" max="20" width="22.81640625" customWidth="1"/>
  </cols>
  <sheetData>
    <row r="1" spans="1:9" ht="18" customHeight="1" x14ac:dyDescent="0.25">
      <c r="A1" s="143" t="s">
        <v>76</v>
      </c>
      <c r="B1" s="143"/>
      <c r="C1" s="143"/>
      <c r="D1" s="143"/>
      <c r="E1" s="143"/>
      <c r="F1" s="143"/>
      <c r="G1" s="143"/>
      <c r="H1" s="143"/>
      <c r="I1" s="143"/>
    </row>
    <row r="2" spans="1:9" ht="17.25" customHeight="1" x14ac:dyDescent="0.25">
      <c r="A2" s="143" t="s">
        <v>77</v>
      </c>
      <c r="B2" s="143"/>
      <c r="C2" s="143"/>
      <c r="D2" s="143"/>
      <c r="E2" s="143"/>
      <c r="F2" s="143"/>
      <c r="G2" s="143"/>
      <c r="H2" s="143"/>
      <c r="I2" s="143"/>
    </row>
    <row r="3" spans="1:9" ht="16.5" customHeight="1" x14ac:dyDescent="0.25">
      <c r="A3" s="133" t="s">
        <v>78</v>
      </c>
      <c r="B3" s="133"/>
      <c r="C3" s="133"/>
      <c r="D3" s="133"/>
      <c r="E3" s="133"/>
      <c r="F3" s="133"/>
      <c r="G3" s="133"/>
      <c r="H3" s="133"/>
      <c r="I3" s="133"/>
    </row>
    <row r="4" spans="1:9" ht="15.5" x14ac:dyDescent="0.35">
      <c r="A4" s="66" t="s">
        <v>21</v>
      </c>
      <c r="B4" s="144" t="s">
        <v>79</v>
      </c>
      <c r="C4" s="145"/>
      <c r="D4" s="145"/>
      <c r="E4" s="145"/>
      <c r="F4" s="145"/>
      <c r="G4" s="145"/>
      <c r="H4" s="146"/>
      <c r="I4" s="67" t="s">
        <v>80</v>
      </c>
    </row>
    <row r="5" spans="1:9" ht="15.5" x14ac:dyDescent="0.35">
      <c r="A5" s="66" t="s">
        <v>23</v>
      </c>
      <c r="B5" s="144" t="s">
        <v>81</v>
      </c>
      <c r="C5" s="145"/>
      <c r="D5" s="145"/>
      <c r="E5" s="145"/>
      <c r="F5" s="145"/>
      <c r="G5" s="145"/>
      <c r="H5" s="146"/>
      <c r="I5" s="66" t="s">
        <v>82</v>
      </c>
    </row>
    <row r="6" spans="1:9" ht="15.5" x14ac:dyDescent="0.35">
      <c r="A6" s="66" t="s">
        <v>39</v>
      </c>
      <c r="B6" s="144" t="s">
        <v>83</v>
      </c>
      <c r="C6" s="145"/>
      <c r="D6" s="145"/>
      <c r="E6" s="145"/>
      <c r="F6" s="145"/>
      <c r="G6" s="145"/>
      <c r="H6" s="146"/>
      <c r="I6" s="66">
        <v>2023</v>
      </c>
    </row>
    <row r="7" spans="1:9" ht="15.5" x14ac:dyDescent="0.35">
      <c r="A7" s="66" t="s">
        <v>41</v>
      </c>
      <c r="B7" s="144" t="s">
        <v>84</v>
      </c>
      <c r="C7" s="145"/>
      <c r="D7" s="145"/>
      <c r="E7" s="145"/>
      <c r="F7" s="145"/>
      <c r="G7" s="145"/>
      <c r="H7" s="146"/>
      <c r="I7" s="66">
        <v>12</v>
      </c>
    </row>
    <row r="8" spans="1:9" ht="15.5" x14ac:dyDescent="0.35">
      <c r="A8" s="68"/>
      <c r="B8" s="69"/>
      <c r="C8" s="69"/>
      <c r="D8" s="69"/>
      <c r="E8" s="69"/>
      <c r="F8" s="69"/>
      <c r="G8" s="69"/>
      <c r="H8" s="68"/>
      <c r="I8" s="68"/>
    </row>
    <row r="9" spans="1:9" ht="15.5" x14ac:dyDescent="0.25">
      <c r="A9" s="133" t="s">
        <v>85</v>
      </c>
      <c r="B9" s="133"/>
      <c r="C9" s="133"/>
      <c r="D9" s="133"/>
      <c r="E9" s="133"/>
      <c r="F9" s="133"/>
      <c r="G9" s="133"/>
      <c r="H9" s="133"/>
      <c r="I9" s="133"/>
    </row>
    <row r="10" spans="1:9" ht="15.5" x14ac:dyDescent="0.35">
      <c r="A10" s="148" t="s">
        <v>86</v>
      </c>
      <c r="B10" s="148"/>
      <c r="C10" s="148" t="s">
        <v>87</v>
      </c>
      <c r="D10" s="148"/>
      <c r="E10" s="148" t="s">
        <v>88</v>
      </c>
      <c r="F10" s="148"/>
      <c r="G10" s="148"/>
      <c r="H10" s="148"/>
      <c r="I10" s="148"/>
    </row>
    <row r="11" spans="1:9" ht="15.5" x14ac:dyDescent="0.35">
      <c r="A11" s="148" t="s">
        <v>89</v>
      </c>
      <c r="B11" s="148"/>
      <c r="C11" s="148" t="s">
        <v>90</v>
      </c>
      <c r="D11" s="148"/>
      <c r="E11" s="148">
        <v>5</v>
      </c>
      <c r="F11" s="148"/>
      <c r="G11" s="148"/>
      <c r="H11" s="148"/>
      <c r="I11" s="148"/>
    </row>
    <row r="12" spans="1:9" ht="15.5" x14ac:dyDescent="0.35">
      <c r="A12" s="68"/>
      <c r="B12" s="69"/>
      <c r="C12" s="69"/>
      <c r="D12" s="69"/>
      <c r="E12" s="69"/>
      <c r="F12" s="69"/>
      <c r="G12" s="69"/>
      <c r="H12" s="68"/>
      <c r="I12" s="68"/>
    </row>
    <row r="13" spans="1:9" ht="15.5" x14ac:dyDescent="0.25">
      <c r="A13" s="133" t="s">
        <v>91</v>
      </c>
      <c r="B13" s="133"/>
      <c r="C13" s="133"/>
      <c r="D13" s="133"/>
      <c r="E13" s="133"/>
      <c r="F13" s="133"/>
      <c r="G13" s="133"/>
      <c r="H13" s="133"/>
      <c r="I13" s="133"/>
    </row>
    <row r="14" spans="1:9" ht="15.5" x14ac:dyDescent="0.35">
      <c r="A14" s="66">
        <v>1</v>
      </c>
      <c r="B14" s="147" t="s">
        <v>92</v>
      </c>
      <c r="C14" s="147"/>
      <c r="D14" s="147"/>
      <c r="E14" s="147"/>
      <c r="F14" s="147"/>
      <c r="G14" s="147"/>
      <c r="H14" s="147"/>
      <c r="I14" s="66" t="s">
        <v>89</v>
      </c>
    </row>
    <row r="15" spans="1:9" ht="15.5" x14ac:dyDescent="0.35">
      <c r="A15" s="66">
        <v>2</v>
      </c>
      <c r="B15" s="147" t="s">
        <v>93</v>
      </c>
      <c r="C15" s="147"/>
      <c r="D15" s="147"/>
      <c r="E15" s="147"/>
      <c r="F15" s="147"/>
      <c r="G15" s="147"/>
      <c r="H15" s="147"/>
      <c r="I15" s="66"/>
    </row>
    <row r="16" spans="1:9" ht="15.5" x14ac:dyDescent="0.35">
      <c r="A16" s="66">
        <v>3</v>
      </c>
      <c r="B16" s="147" t="s">
        <v>94</v>
      </c>
      <c r="C16" s="147"/>
      <c r="D16" s="147"/>
      <c r="E16" s="147"/>
      <c r="F16" s="147"/>
      <c r="G16" s="147"/>
      <c r="H16" s="147"/>
      <c r="I16" s="70">
        <v>1374.81</v>
      </c>
    </row>
    <row r="17" spans="1:10" ht="15.5" x14ac:dyDescent="0.35">
      <c r="A17" s="66">
        <v>4</v>
      </c>
      <c r="B17" s="147" t="s">
        <v>95</v>
      </c>
      <c r="C17" s="147"/>
      <c r="D17" s="147"/>
      <c r="E17" s="147"/>
      <c r="F17" s="147"/>
      <c r="G17" s="147"/>
      <c r="H17" s="147"/>
      <c r="I17" s="66" t="s">
        <v>96</v>
      </c>
    </row>
    <row r="18" spans="1:10" ht="15.5" x14ac:dyDescent="0.35">
      <c r="A18" s="66">
        <v>5</v>
      </c>
      <c r="B18" s="147" t="s">
        <v>97</v>
      </c>
      <c r="C18" s="147"/>
      <c r="D18" s="147"/>
      <c r="E18" s="147"/>
      <c r="F18" s="147"/>
      <c r="G18" s="147"/>
      <c r="H18" s="147"/>
      <c r="I18" s="67">
        <v>44958</v>
      </c>
    </row>
    <row r="19" spans="1:10" ht="15.5" x14ac:dyDescent="0.35">
      <c r="A19" s="150"/>
      <c r="B19" s="150"/>
      <c r="C19" s="150"/>
      <c r="D19" s="150"/>
      <c r="E19" s="150"/>
      <c r="F19" s="150"/>
      <c r="G19" s="150"/>
      <c r="H19" s="150"/>
      <c r="I19" s="150"/>
    </row>
    <row r="20" spans="1:10" ht="15.5" x14ac:dyDescent="0.25">
      <c r="A20" s="133" t="s">
        <v>98</v>
      </c>
      <c r="B20" s="133"/>
      <c r="C20" s="133"/>
      <c r="D20" s="133"/>
      <c r="E20" s="133"/>
      <c r="F20" s="133"/>
      <c r="G20" s="133"/>
      <c r="H20" s="133"/>
      <c r="I20" s="133"/>
    </row>
    <row r="21" spans="1:10" ht="15.5" x14ac:dyDescent="0.35">
      <c r="A21" s="72" t="s">
        <v>99</v>
      </c>
      <c r="B21" s="149" t="s">
        <v>100</v>
      </c>
      <c r="C21" s="149"/>
      <c r="D21" s="149"/>
      <c r="E21" s="149"/>
      <c r="F21" s="149"/>
      <c r="G21" s="149"/>
      <c r="H21" s="72" t="s">
        <v>101</v>
      </c>
      <c r="I21" s="72" t="s">
        <v>102</v>
      </c>
    </row>
    <row r="22" spans="1:10" ht="15.5" x14ac:dyDescent="0.35">
      <c r="A22" s="72" t="s">
        <v>21</v>
      </c>
      <c r="B22" s="147" t="s">
        <v>103</v>
      </c>
      <c r="C22" s="147"/>
      <c r="D22" s="147"/>
      <c r="E22" s="147"/>
      <c r="F22" s="147"/>
      <c r="G22" s="147"/>
      <c r="H22" s="73">
        <v>1</v>
      </c>
      <c r="I22" s="74">
        <v>1374.81</v>
      </c>
    </row>
    <row r="23" spans="1:10" ht="15.5" x14ac:dyDescent="0.35">
      <c r="A23" s="72" t="s">
        <v>23</v>
      </c>
      <c r="B23" s="147" t="s">
        <v>104</v>
      </c>
      <c r="C23" s="147"/>
      <c r="D23" s="147"/>
      <c r="E23" s="147"/>
      <c r="F23" s="147"/>
      <c r="G23" s="147"/>
      <c r="H23" s="75">
        <v>0.3</v>
      </c>
      <c r="I23" s="76">
        <f>I22*H23</f>
        <v>412.44299999999998</v>
      </c>
    </row>
    <row r="24" spans="1:10" ht="15.5" x14ac:dyDescent="0.35">
      <c r="A24" s="72" t="s">
        <v>39</v>
      </c>
      <c r="B24" s="147" t="s">
        <v>105</v>
      </c>
      <c r="C24" s="147"/>
      <c r="D24" s="147"/>
      <c r="E24" s="147"/>
      <c r="F24" s="147"/>
      <c r="G24" s="147"/>
      <c r="H24" s="75">
        <v>0</v>
      </c>
      <c r="I24" s="76">
        <f>I22*H24</f>
        <v>0</v>
      </c>
    </row>
    <row r="25" spans="1:10" ht="15.5" x14ac:dyDescent="0.35">
      <c r="A25" s="72" t="s">
        <v>41</v>
      </c>
      <c r="B25" s="147" t="s">
        <v>69</v>
      </c>
      <c r="C25" s="147"/>
      <c r="D25" s="147"/>
      <c r="E25" s="147"/>
      <c r="F25" s="147"/>
      <c r="G25" s="147"/>
      <c r="H25" s="75">
        <v>0</v>
      </c>
      <c r="I25" s="76">
        <v>0</v>
      </c>
    </row>
    <row r="26" spans="1:10" ht="15.5" x14ac:dyDescent="0.35">
      <c r="A26" s="72" t="s">
        <v>43</v>
      </c>
      <c r="B26" s="147" t="s">
        <v>106</v>
      </c>
      <c r="C26" s="147"/>
      <c r="D26" s="147"/>
      <c r="E26" s="147"/>
      <c r="F26" s="147"/>
      <c r="G26" s="147"/>
      <c r="H26" s="77">
        <v>0</v>
      </c>
      <c r="I26" s="76">
        <v>0</v>
      </c>
      <c r="J26" s="29"/>
    </row>
    <row r="27" spans="1:10" ht="15.5" x14ac:dyDescent="0.35">
      <c r="A27" s="72" t="s">
        <v>45</v>
      </c>
      <c r="B27" s="147" t="s">
        <v>107</v>
      </c>
      <c r="C27" s="147"/>
      <c r="D27" s="147"/>
      <c r="E27" s="147"/>
      <c r="F27" s="147"/>
      <c r="G27" s="147"/>
      <c r="H27" s="75">
        <v>0</v>
      </c>
      <c r="I27" s="76">
        <v>0</v>
      </c>
    </row>
    <row r="28" spans="1:10" ht="15.5" x14ac:dyDescent="0.35">
      <c r="A28" s="149" t="s">
        <v>108</v>
      </c>
      <c r="B28" s="149"/>
      <c r="C28" s="149"/>
      <c r="D28" s="149"/>
      <c r="E28" s="149"/>
      <c r="F28" s="149"/>
      <c r="G28" s="149"/>
      <c r="H28" s="149"/>
      <c r="I28" s="78">
        <f>SUM(I22:I27)</f>
        <v>1787.2529999999999</v>
      </c>
    </row>
    <row r="29" spans="1:10" ht="15.5" x14ac:dyDescent="0.35">
      <c r="A29" s="72" t="s">
        <v>109</v>
      </c>
      <c r="B29" s="149" t="s">
        <v>110</v>
      </c>
      <c r="C29" s="149"/>
      <c r="D29" s="149"/>
      <c r="E29" s="149"/>
      <c r="F29" s="149"/>
      <c r="G29" s="149"/>
      <c r="H29" s="72" t="s">
        <v>101</v>
      </c>
      <c r="I29" s="72" t="s">
        <v>102</v>
      </c>
    </row>
    <row r="30" spans="1:10" ht="15.5" x14ac:dyDescent="0.35">
      <c r="A30" s="72" t="s">
        <v>21</v>
      </c>
      <c r="B30" s="147" t="s">
        <v>111</v>
      </c>
      <c r="C30" s="147"/>
      <c r="D30" s="147"/>
      <c r="E30" s="147"/>
      <c r="F30" s="147"/>
      <c r="G30" s="147"/>
      <c r="H30" s="75">
        <v>0.18229999999999999</v>
      </c>
      <c r="I30" s="76">
        <v>250.63</v>
      </c>
    </row>
    <row r="31" spans="1:10" ht="15.5" x14ac:dyDescent="0.35">
      <c r="A31" s="72" t="s">
        <v>23</v>
      </c>
      <c r="B31" s="147" t="s">
        <v>112</v>
      </c>
      <c r="C31" s="147"/>
      <c r="D31" s="147"/>
      <c r="E31" s="147"/>
      <c r="F31" s="147"/>
      <c r="G31" s="147"/>
      <c r="H31" s="75"/>
      <c r="I31" s="76">
        <v>6.09</v>
      </c>
    </row>
    <row r="32" spans="1:10" ht="15.5" x14ac:dyDescent="0.35">
      <c r="A32" s="72" t="s">
        <v>41</v>
      </c>
      <c r="B32" s="147" t="s">
        <v>113</v>
      </c>
      <c r="C32" s="147"/>
      <c r="D32" s="147"/>
      <c r="E32" s="147"/>
      <c r="F32" s="147"/>
      <c r="G32" s="147"/>
      <c r="H32" s="75"/>
      <c r="I32" s="76">
        <v>185.39</v>
      </c>
    </row>
    <row r="33" spans="1:12" ht="15.5" x14ac:dyDescent="0.35">
      <c r="A33" s="149" t="s">
        <v>114</v>
      </c>
      <c r="B33" s="149"/>
      <c r="C33" s="149"/>
      <c r="D33" s="149"/>
      <c r="E33" s="149"/>
      <c r="F33" s="149"/>
      <c r="G33" s="149"/>
      <c r="H33" s="149"/>
      <c r="I33" s="78">
        <v>442.11</v>
      </c>
    </row>
    <row r="34" spans="1:12" ht="15.5" x14ac:dyDescent="0.35">
      <c r="A34" s="149" t="s">
        <v>115</v>
      </c>
      <c r="B34" s="149"/>
      <c r="C34" s="149"/>
      <c r="D34" s="149"/>
      <c r="E34" s="149"/>
      <c r="F34" s="149"/>
      <c r="G34" s="149"/>
      <c r="H34" s="149"/>
      <c r="I34" s="78">
        <v>2229.36</v>
      </c>
      <c r="J34" s="15"/>
    </row>
    <row r="35" spans="1:12" ht="15.5" x14ac:dyDescent="0.35">
      <c r="A35" s="79"/>
      <c r="B35" s="79"/>
      <c r="C35" s="79"/>
      <c r="D35" s="79"/>
      <c r="E35" s="79"/>
      <c r="F35" s="79"/>
      <c r="G35" s="79"/>
      <c r="H35" s="79"/>
      <c r="I35" s="80"/>
    </row>
    <row r="36" spans="1:12" ht="15.5" x14ac:dyDescent="0.25">
      <c r="A36" s="133" t="s">
        <v>116</v>
      </c>
      <c r="B36" s="133"/>
      <c r="C36" s="133"/>
      <c r="D36" s="133"/>
      <c r="E36" s="133"/>
      <c r="F36" s="133"/>
      <c r="G36" s="133"/>
      <c r="H36" s="133"/>
      <c r="I36" s="133"/>
    </row>
    <row r="37" spans="1:12" ht="15.5" x14ac:dyDescent="0.35">
      <c r="A37" s="149" t="s">
        <v>117</v>
      </c>
      <c r="B37" s="149"/>
      <c r="C37" s="149"/>
      <c r="D37" s="149"/>
      <c r="E37" s="149"/>
      <c r="F37" s="149"/>
      <c r="G37" s="149"/>
      <c r="H37" s="72" t="s">
        <v>101</v>
      </c>
      <c r="I37" s="72" t="s">
        <v>102</v>
      </c>
    </row>
    <row r="38" spans="1:12" ht="15.5" x14ac:dyDescent="0.35">
      <c r="A38" s="72" t="s">
        <v>21</v>
      </c>
      <c r="B38" s="147" t="s">
        <v>118</v>
      </c>
      <c r="C38" s="147"/>
      <c r="D38" s="147"/>
      <c r="E38" s="147"/>
      <c r="F38" s="147"/>
      <c r="G38" s="147"/>
      <c r="H38" s="81">
        <v>8.3299999999999999E-2</v>
      </c>
      <c r="I38" s="76">
        <f>I28/12</f>
        <v>148.93774999999999</v>
      </c>
    </row>
    <row r="39" spans="1:12" ht="15.5" x14ac:dyDescent="0.35">
      <c r="A39" s="72" t="s">
        <v>23</v>
      </c>
      <c r="B39" s="147" t="s">
        <v>119</v>
      </c>
      <c r="C39" s="147"/>
      <c r="D39" s="147"/>
      <c r="E39" s="147"/>
      <c r="F39" s="147"/>
      <c r="G39" s="147"/>
      <c r="H39" s="82"/>
      <c r="I39" s="76">
        <f>(I28/12)+ (I28/3)/12</f>
        <v>198.58366666666666</v>
      </c>
    </row>
    <row r="40" spans="1:12" ht="15.5" x14ac:dyDescent="0.35">
      <c r="A40" s="149" t="s">
        <v>120</v>
      </c>
      <c r="B40" s="149"/>
      <c r="C40" s="149"/>
      <c r="D40" s="149"/>
      <c r="E40" s="149"/>
      <c r="F40" s="149"/>
      <c r="G40" s="149"/>
      <c r="H40" s="83"/>
      <c r="I40" s="84">
        <f>SUM(I38:I39)</f>
        <v>347.52141666666665</v>
      </c>
    </row>
    <row r="41" spans="1:12" ht="15.5" x14ac:dyDescent="0.35">
      <c r="A41" s="151"/>
      <c r="B41" s="152"/>
      <c r="C41" s="152"/>
      <c r="D41" s="152"/>
      <c r="E41" s="152"/>
      <c r="F41" s="152"/>
      <c r="G41" s="152"/>
      <c r="H41" s="152"/>
      <c r="I41" s="152"/>
    </row>
    <row r="42" spans="1:12" ht="15.75" customHeight="1" x14ac:dyDescent="0.35">
      <c r="A42" s="149" t="s">
        <v>121</v>
      </c>
      <c r="B42" s="149"/>
      <c r="C42" s="149"/>
      <c r="D42" s="149"/>
      <c r="E42" s="149"/>
      <c r="F42" s="149"/>
      <c r="G42" s="149"/>
      <c r="H42" s="72" t="s">
        <v>101</v>
      </c>
      <c r="I42" s="72" t="s">
        <v>102</v>
      </c>
    </row>
    <row r="43" spans="1:12" ht="15.5" x14ac:dyDescent="0.35">
      <c r="A43" s="72" t="s">
        <v>21</v>
      </c>
      <c r="B43" s="147" t="s">
        <v>122</v>
      </c>
      <c r="C43" s="147"/>
      <c r="D43" s="147"/>
      <c r="E43" s="147"/>
      <c r="F43" s="147"/>
      <c r="G43" s="147"/>
      <c r="H43" s="85">
        <v>0.2</v>
      </c>
      <c r="I43" s="76">
        <f>(I28+I40)*H43</f>
        <v>426.95488333333333</v>
      </c>
      <c r="K43" s="11"/>
      <c r="L43" s="9"/>
    </row>
    <row r="44" spans="1:12" ht="15.5" x14ac:dyDescent="0.35">
      <c r="A44" s="72" t="s">
        <v>23</v>
      </c>
      <c r="B44" s="147" t="s">
        <v>123</v>
      </c>
      <c r="C44" s="147"/>
      <c r="D44" s="147"/>
      <c r="E44" s="147"/>
      <c r="F44" s="147"/>
      <c r="G44" s="147"/>
      <c r="H44" s="85">
        <v>2.5000000000000001E-2</v>
      </c>
      <c r="I44" s="76">
        <f>(I28+I40)*H44</f>
        <v>53.369360416666666</v>
      </c>
      <c r="K44" s="12"/>
      <c r="L44" s="9"/>
    </row>
    <row r="45" spans="1:12" ht="15.5" x14ac:dyDescent="0.35">
      <c r="A45" s="72" t="s">
        <v>39</v>
      </c>
      <c r="B45" s="147" t="s">
        <v>124</v>
      </c>
      <c r="C45" s="147"/>
      <c r="D45" s="147"/>
      <c r="E45" s="147"/>
      <c r="F45" s="147"/>
      <c r="G45" s="147"/>
      <c r="H45" s="85">
        <v>0.03</v>
      </c>
      <c r="I45" s="76">
        <f>(I28+I40)*H45</f>
        <v>64.043232500000002</v>
      </c>
      <c r="K45" s="11"/>
    </row>
    <row r="46" spans="1:12" ht="15.5" x14ac:dyDescent="0.35">
      <c r="A46" s="72" t="s">
        <v>41</v>
      </c>
      <c r="B46" s="147" t="s">
        <v>125</v>
      </c>
      <c r="C46" s="147"/>
      <c r="D46" s="147"/>
      <c r="E46" s="147"/>
      <c r="F46" s="147"/>
      <c r="G46" s="147"/>
      <c r="H46" s="85">
        <v>1.4999999999999999E-2</v>
      </c>
      <c r="I46" s="76">
        <f>(I28+I40)*H46</f>
        <v>32.021616250000001</v>
      </c>
      <c r="K46" s="11"/>
    </row>
    <row r="47" spans="1:12" ht="15.5" x14ac:dyDescent="0.35">
      <c r="A47" s="72" t="s">
        <v>43</v>
      </c>
      <c r="B47" s="147" t="s">
        <v>126</v>
      </c>
      <c r="C47" s="147"/>
      <c r="D47" s="147"/>
      <c r="E47" s="147"/>
      <c r="F47" s="147"/>
      <c r="G47" s="147"/>
      <c r="H47" s="85">
        <v>0.01</v>
      </c>
      <c r="I47" s="76">
        <f>(I28+I40)*H47</f>
        <v>21.347744166666669</v>
      </c>
    </row>
    <row r="48" spans="1:12" ht="15.5" x14ac:dyDescent="0.35">
      <c r="A48" s="72" t="s">
        <v>45</v>
      </c>
      <c r="B48" s="147" t="s">
        <v>127</v>
      </c>
      <c r="C48" s="147"/>
      <c r="D48" s="147"/>
      <c r="E48" s="147"/>
      <c r="F48" s="147"/>
      <c r="G48" s="147"/>
      <c r="H48" s="85">
        <v>6.0000000000000001E-3</v>
      </c>
      <c r="I48" s="76">
        <f>(I28+I40)*H48</f>
        <v>12.8086465</v>
      </c>
    </row>
    <row r="49" spans="1:20" ht="15.5" x14ac:dyDescent="0.35">
      <c r="A49" s="72" t="s">
        <v>47</v>
      </c>
      <c r="B49" s="147" t="s">
        <v>128</v>
      </c>
      <c r="C49" s="147"/>
      <c r="D49" s="147"/>
      <c r="E49" s="147"/>
      <c r="F49" s="147"/>
      <c r="G49" s="147"/>
      <c r="H49" s="85">
        <v>2E-3</v>
      </c>
      <c r="I49" s="76">
        <f>(I28+I40)*H49</f>
        <v>4.2695488333333333</v>
      </c>
    </row>
    <row r="50" spans="1:20" ht="15.5" x14ac:dyDescent="0.35">
      <c r="A50" s="72" t="s">
        <v>49</v>
      </c>
      <c r="B50" s="147" t="s">
        <v>129</v>
      </c>
      <c r="C50" s="147"/>
      <c r="D50" s="147"/>
      <c r="E50" s="147"/>
      <c r="F50" s="147"/>
      <c r="G50" s="147"/>
      <c r="H50" s="85">
        <v>0.08</v>
      </c>
      <c r="I50" s="76">
        <f>(I28+I40)*H50</f>
        <v>170.78195333333335</v>
      </c>
    </row>
    <row r="51" spans="1:20" ht="15.5" x14ac:dyDescent="0.35">
      <c r="A51" s="149" t="s">
        <v>130</v>
      </c>
      <c r="B51" s="149"/>
      <c r="C51" s="149"/>
      <c r="D51" s="149"/>
      <c r="E51" s="149"/>
      <c r="F51" s="149"/>
      <c r="G51" s="149"/>
      <c r="H51" s="86">
        <f>SUM(H43:H50)</f>
        <v>0.36800000000000005</v>
      </c>
      <c r="I51" s="78">
        <f>SUM(I43:I50)</f>
        <v>785.59698533333335</v>
      </c>
    </row>
    <row r="52" spans="1:20" ht="16" thickBot="1" x14ac:dyDescent="0.4">
      <c r="A52" s="162"/>
      <c r="B52" s="162"/>
      <c r="C52" s="162"/>
      <c r="D52" s="162"/>
      <c r="E52" s="162"/>
      <c r="F52" s="162"/>
      <c r="G52" s="162"/>
      <c r="H52" s="162"/>
      <c r="I52" s="163"/>
      <c r="K52" s="6"/>
    </row>
    <row r="53" spans="1:20" ht="16" thickBot="1" x14ac:dyDescent="0.4">
      <c r="A53" s="149" t="s">
        <v>131</v>
      </c>
      <c r="B53" s="149"/>
      <c r="C53" s="149"/>
      <c r="D53" s="149"/>
      <c r="E53" s="149"/>
      <c r="F53" s="149"/>
      <c r="G53" s="149"/>
      <c r="H53" s="83"/>
      <c r="I53" s="72" t="s">
        <v>102</v>
      </c>
      <c r="K53" s="157" t="s">
        <v>132</v>
      </c>
      <c r="L53" s="158"/>
      <c r="M53" s="158"/>
      <c r="N53" s="158"/>
      <c r="O53" s="159"/>
      <c r="Q53" s="157" t="s">
        <v>133</v>
      </c>
      <c r="R53" s="158"/>
      <c r="S53" s="158"/>
      <c r="T53" s="159"/>
    </row>
    <row r="54" spans="1:20" ht="14.25" customHeight="1" x14ac:dyDescent="0.35">
      <c r="A54" s="72" t="s">
        <v>21</v>
      </c>
      <c r="B54" s="153" t="s">
        <v>134</v>
      </c>
      <c r="C54" s="153"/>
      <c r="D54" s="153"/>
      <c r="E54" s="153"/>
      <c r="F54" s="153"/>
      <c r="G54" s="153"/>
      <c r="H54" s="66" t="s">
        <v>80</v>
      </c>
      <c r="I54" s="89">
        <f>O55-N58</f>
        <v>69.594400000000007</v>
      </c>
      <c r="J54" s="18"/>
      <c r="K54" s="21" t="s">
        <v>135</v>
      </c>
      <c r="L54" s="22" t="s">
        <v>136</v>
      </c>
      <c r="M54" s="23" t="s">
        <v>137</v>
      </c>
      <c r="N54" s="23" t="s">
        <v>138</v>
      </c>
      <c r="O54" s="24" t="s">
        <v>139</v>
      </c>
      <c r="Q54" s="21" t="s">
        <v>140</v>
      </c>
      <c r="R54" s="22" t="s">
        <v>141</v>
      </c>
      <c r="S54" s="23" t="s">
        <v>138</v>
      </c>
      <c r="T54" s="24" t="s">
        <v>139</v>
      </c>
    </row>
    <row r="55" spans="1:20" ht="16" thickBot="1" x14ac:dyDescent="0.4">
      <c r="A55" s="72" t="s">
        <v>23</v>
      </c>
      <c r="B55" s="154" t="s">
        <v>142</v>
      </c>
      <c r="C55" s="155"/>
      <c r="D55" s="155"/>
      <c r="E55" s="155"/>
      <c r="F55" s="155"/>
      <c r="G55" s="156"/>
      <c r="H55" s="66" t="s">
        <v>80</v>
      </c>
      <c r="I55" s="89">
        <f>T55</f>
        <v>243.33279999999999</v>
      </c>
      <c r="K55" s="19" t="s">
        <v>89</v>
      </c>
      <c r="L55" s="20">
        <v>5</v>
      </c>
      <c r="M55" s="20">
        <v>2</v>
      </c>
      <c r="N55" s="20">
        <v>15.208299999999999</v>
      </c>
      <c r="O55" s="25">
        <f>L55*M55*N55</f>
        <v>152.083</v>
      </c>
      <c r="Q55" s="19" t="s">
        <v>89</v>
      </c>
      <c r="R55" s="20">
        <v>16</v>
      </c>
      <c r="S55" s="20">
        <v>15.208299999999999</v>
      </c>
      <c r="T55" s="25">
        <f>R55*S55</f>
        <v>243.33279999999999</v>
      </c>
    </row>
    <row r="56" spans="1:20" ht="16.5" customHeight="1" thickBot="1" x14ac:dyDescent="0.4">
      <c r="A56" s="72" t="s">
        <v>39</v>
      </c>
      <c r="B56" s="153" t="s">
        <v>143</v>
      </c>
      <c r="C56" s="153"/>
      <c r="D56" s="153"/>
      <c r="E56" s="153"/>
      <c r="F56" s="153"/>
      <c r="G56" s="153"/>
      <c r="H56" s="66" t="s">
        <v>80</v>
      </c>
      <c r="I56" s="89">
        <v>198.07</v>
      </c>
      <c r="K56" s="157" t="s">
        <v>144</v>
      </c>
      <c r="L56" s="158"/>
      <c r="M56" s="158"/>
      <c r="N56" s="158"/>
      <c r="O56" s="159"/>
      <c r="Q56" s="157" t="s">
        <v>145</v>
      </c>
      <c r="R56" s="158"/>
      <c r="S56" s="158"/>
      <c r="T56" s="159"/>
    </row>
    <row r="57" spans="1:20" ht="15" customHeight="1" x14ac:dyDescent="0.35">
      <c r="A57" s="72" t="s">
        <v>41</v>
      </c>
      <c r="B57" s="153" t="s">
        <v>146</v>
      </c>
      <c r="C57" s="153"/>
      <c r="D57" s="153"/>
      <c r="E57" s="153"/>
      <c r="F57" s="153"/>
      <c r="G57" s="153"/>
      <c r="H57" s="66" t="s">
        <v>80</v>
      </c>
      <c r="I57" s="89">
        <v>11.41</v>
      </c>
      <c r="K57" s="21" t="s">
        <v>147</v>
      </c>
      <c r="L57" s="22" t="s">
        <v>148</v>
      </c>
      <c r="M57" s="23" t="s">
        <v>149</v>
      </c>
      <c r="N57" s="160" t="s">
        <v>150</v>
      </c>
      <c r="O57" s="161"/>
      <c r="Q57" s="21" t="s">
        <v>140</v>
      </c>
      <c r="R57" s="22" t="s">
        <v>148</v>
      </c>
      <c r="S57" s="23" t="s">
        <v>149</v>
      </c>
      <c r="T57" s="24" t="s">
        <v>139</v>
      </c>
    </row>
    <row r="58" spans="1:20" ht="16" thickBot="1" x14ac:dyDescent="0.4">
      <c r="A58" s="149" t="s">
        <v>151</v>
      </c>
      <c r="B58" s="149"/>
      <c r="C58" s="149"/>
      <c r="D58" s="149"/>
      <c r="E58" s="149"/>
      <c r="F58" s="149"/>
      <c r="G58" s="149"/>
      <c r="H58" s="149"/>
      <c r="I58" s="78">
        <f>SUM(I54:I57)</f>
        <v>522.40719999999999</v>
      </c>
      <c r="K58" s="19" t="s">
        <v>89</v>
      </c>
      <c r="L58" s="27">
        <f>I22</f>
        <v>1374.81</v>
      </c>
      <c r="M58" s="26">
        <v>0.06</v>
      </c>
      <c r="N58" s="169">
        <f>L58*M58</f>
        <v>82.488599999999991</v>
      </c>
      <c r="O58" s="170"/>
      <c r="Q58" s="19" t="s">
        <v>89</v>
      </c>
      <c r="R58" s="27">
        <f>T55</f>
        <v>243.33279999999999</v>
      </c>
      <c r="S58" s="26">
        <v>0.15</v>
      </c>
      <c r="T58" s="25">
        <f>R58*S58</f>
        <v>36.499919999999996</v>
      </c>
    </row>
    <row r="59" spans="1:20" ht="15.5" x14ac:dyDescent="0.35">
      <c r="A59" s="162"/>
      <c r="B59" s="162"/>
      <c r="C59" s="162"/>
      <c r="D59" s="162"/>
      <c r="E59" s="162"/>
      <c r="F59" s="162"/>
      <c r="G59" s="162"/>
      <c r="H59" s="162"/>
      <c r="I59" s="163"/>
    </row>
    <row r="60" spans="1:20" ht="15.5" x14ac:dyDescent="0.3">
      <c r="A60" s="133" t="s">
        <v>152</v>
      </c>
      <c r="B60" s="133"/>
      <c r="C60" s="133"/>
      <c r="D60" s="133"/>
      <c r="E60" s="133"/>
      <c r="F60" s="133"/>
      <c r="G60" s="133"/>
      <c r="H60" s="133"/>
      <c r="I60" s="133"/>
      <c r="K60" s="171"/>
      <c r="L60" s="171"/>
      <c r="M60" s="171"/>
      <c r="N60" s="171"/>
      <c r="O60" s="171"/>
    </row>
    <row r="61" spans="1:20" ht="15.5" x14ac:dyDescent="0.35">
      <c r="A61" s="172" t="s">
        <v>153</v>
      </c>
      <c r="B61" s="173"/>
      <c r="C61" s="173"/>
      <c r="D61" s="173"/>
      <c r="E61" s="173"/>
      <c r="F61" s="173"/>
      <c r="G61" s="173"/>
      <c r="H61" s="174"/>
      <c r="I61" s="72" t="s">
        <v>102</v>
      </c>
      <c r="K61" s="28"/>
      <c r="L61" s="2"/>
      <c r="M61" s="28"/>
      <c r="N61" s="28"/>
      <c r="O61" s="28"/>
    </row>
    <row r="62" spans="1:20" ht="15.5" x14ac:dyDescent="0.35">
      <c r="A62" s="72" t="s">
        <v>154</v>
      </c>
      <c r="B62" s="164" t="s">
        <v>155</v>
      </c>
      <c r="C62" s="165"/>
      <c r="D62" s="165"/>
      <c r="E62" s="165"/>
      <c r="F62" s="165"/>
      <c r="G62" s="165"/>
      <c r="H62" s="166"/>
      <c r="I62" s="76">
        <f>I40</f>
        <v>347.52141666666665</v>
      </c>
      <c r="O62" s="15"/>
    </row>
    <row r="63" spans="1:20" ht="15.5" x14ac:dyDescent="0.35">
      <c r="A63" s="72" t="s">
        <v>156</v>
      </c>
      <c r="B63" s="148" t="s">
        <v>157</v>
      </c>
      <c r="C63" s="148"/>
      <c r="D63" s="148"/>
      <c r="E63" s="148"/>
      <c r="F63" s="148"/>
      <c r="G63" s="148"/>
      <c r="H63" s="148"/>
      <c r="I63" s="74">
        <f>I51</f>
        <v>785.59698533333335</v>
      </c>
    </row>
    <row r="64" spans="1:20" ht="15.5" x14ac:dyDescent="0.35">
      <c r="A64" s="72" t="s">
        <v>158</v>
      </c>
      <c r="B64" s="148" t="s">
        <v>159</v>
      </c>
      <c r="C64" s="148"/>
      <c r="D64" s="148"/>
      <c r="E64" s="148"/>
      <c r="F64" s="148"/>
      <c r="G64" s="148"/>
      <c r="H64" s="148"/>
      <c r="I64" s="74">
        <f>I58</f>
        <v>522.40719999999999</v>
      </c>
    </row>
    <row r="65" spans="1:15" ht="15.5" x14ac:dyDescent="0.35">
      <c r="A65" s="149" t="s">
        <v>160</v>
      </c>
      <c r="B65" s="149"/>
      <c r="C65" s="149"/>
      <c r="D65" s="149"/>
      <c r="E65" s="149"/>
      <c r="F65" s="149"/>
      <c r="G65" s="149"/>
      <c r="H65" s="149"/>
      <c r="I65" s="78">
        <f>SUM(I62:I64)</f>
        <v>1655.5256020000002</v>
      </c>
    </row>
    <row r="66" spans="1:15" ht="15.5" x14ac:dyDescent="0.35">
      <c r="A66" s="167"/>
      <c r="B66" s="168"/>
      <c r="C66" s="168"/>
      <c r="D66" s="168"/>
      <c r="E66" s="168"/>
      <c r="F66" s="168"/>
      <c r="G66" s="168"/>
      <c r="H66" s="168"/>
      <c r="I66" s="168"/>
    </row>
    <row r="67" spans="1:15" ht="15.5" x14ac:dyDescent="0.3">
      <c r="A67" s="133" t="s">
        <v>161</v>
      </c>
      <c r="B67" s="133"/>
      <c r="C67" s="133"/>
      <c r="D67" s="133"/>
      <c r="E67" s="133"/>
      <c r="F67" s="133"/>
      <c r="G67" s="133"/>
      <c r="H67" s="133"/>
      <c r="I67" s="133"/>
      <c r="K67" s="175" t="s">
        <v>162</v>
      </c>
      <c r="L67" s="176"/>
      <c r="M67" s="2" t="s">
        <v>163</v>
      </c>
      <c r="N67" s="2"/>
    </row>
    <row r="68" spans="1:15" ht="15.5" x14ac:dyDescent="0.35">
      <c r="A68" s="72">
        <v>3</v>
      </c>
      <c r="B68" s="149" t="s">
        <v>164</v>
      </c>
      <c r="C68" s="149"/>
      <c r="D68" s="149"/>
      <c r="E68" s="149"/>
      <c r="F68" s="149"/>
      <c r="G68" s="149"/>
      <c r="H68" s="72" t="s">
        <v>101</v>
      </c>
      <c r="I68" s="72" t="s">
        <v>102</v>
      </c>
      <c r="K68" s="7" t="s">
        <v>165</v>
      </c>
      <c r="L68" s="7" t="s">
        <v>149</v>
      </c>
      <c r="M68" s="5" t="s">
        <v>166</v>
      </c>
    </row>
    <row r="69" spans="1:15" ht="15.5" x14ac:dyDescent="0.35">
      <c r="A69" s="72" t="s">
        <v>21</v>
      </c>
      <c r="B69" s="147" t="s">
        <v>30</v>
      </c>
      <c r="C69" s="147"/>
      <c r="D69" s="147"/>
      <c r="E69" s="147"/>
      <c r="F69" s="147"/>
      <c r="G69" s="147"/>
      <c r="H69" s="81"/>
      <c r="I69" s="76">
        <f>((I28)/12)*37.01%</f>
        <v>55.121861274999993</v>
      </c>
      <c r="K69" s="10" t="s">
        <v>167</v>
      </c>
      <c r="L69" s="1" t="s">
        <v>168</v>
      </c>
      <c r="M69" s="5" t="s">
        <v>169</v>
      </c>
      <c r="N69" s="5"/>
    </row>
    <row r="70" spans="1:15" ht="15.5" x14ac:dyDescent="0.35">
      <c r="A70" s="72" t="s">
        <v>23</v>
      </c>
      <c r="B70" s="147" t="s">
        <v>170</v>
      </c>
      <c r="C70" s="147"/>
      <c r="D70" s="147"/>
      <c r="E70" s="147"/>
      <c r="F70" s="147"/>
      <c r="G70" s="147"/>
      <c r="H70" s="90"/>
      <c r="I70" s="76">
        <f>I69*8%</f>
        <v>4.4097489019999996</v>
      </c>
      <c r="K70" s="10" t="s">
        <v>171</v>
      </c>
      <c r="L70" s="8" t="s">
        <v>172</v>
      </c>
      <c r="M70" s="15">
        <f>((I34+I62+I64+I50)/12)*37.01%</f>
        <v>100.85442649641666</v>
      </c>
      <c r="O70" s="15"/>
    </row>
    <row r="71" spans="1:15" ht="15.5" x14ac:dyDescent="0.35">
      <c r="A71" s="72" t="s">
        <v>39</v>
      </c>
      <c r="B71" s="147" t="s">
        <v>173</v>
      </c>
      <c r="C71" s="147"/>
      <c r="D71" s="147"/>
      <c r="E71" s="147"/>
      <c r="F71" s="147"/>
      <c r="G71" s="147"/>
      <c r="H71" s="91"/>
      <c r="I71" s="76">
        <f>(I50*40%)*37.01%</f>
        <v>25.282560371466673</v>
      </c>
      <c r="K71" s="10" t="s">
        <v>174</v>
      </c>
      <c r="L71" s="1">
        <v>0.2382</v>
      </c>
      <c r="M71" s="5" t="s">
        <v>175</v>
      </c>
      <c r="N71" s="5"/>
    </row>
    <row r="72" spans="1:15" ht="17.25" customHeight="1" x14ac:dyDescent="0.35">
      <c r="A72" s="92" t="s">
        <v>41</v>
      </c>
      <c r="B72" s="177" t="s">
        <v>176</v>
      </c>
      <c r="C72" s="177"/>
      <c r="D72" s="177"/>
      <c r="E72" s="177"/>
      <c r="F72" s="177"/>
      <c r="G72" s="177"/>
      <c r="H72" s="81"/>
      <c r="I72" s="76">
        <f>(I28/30)/12*7*37.01%</f>
        <v>12.861767630833333</v>
      </c>
      <c r="J72">
        <f>(I28/12)*37.01%</f>
        <v>55.121861274999993</v>
      </c>
      <c r="K72" s="178" t="s">
        <v>177</v>
      </c>
      <c r="L72" s="179"/>
      <c r="M72" s="15">
        <f>I50*40%</f>
        <v>68.312781333333348</v>
      </c>
      <c r="N72" s="15">
        <f>44.91*37.01%</f>
        <v>16.621191</v>
      </c>
    </row>
    <row r="73" spans="1:15" ht="15.65" customHeight="1" x14ac:dyDescent="0.35">
      <c r="A73" s="72" t="s">
        <v>43</v>
      </c>
      <c r="B73" s="147" t="s">
        <v>178</v>
      </c>
      <c r="C73" s="147"/>
      <c r="D73" s="147"/>
      <c r="E73" s="147"/>
      <c r="F73" s="147"/>
      <c r="G73" s="147"/>
      <c r="H73" s="82"/>
      <c r="I73" s="76">
        <f>(I72*H51)</f>
        <v>4.7331304881466671</v>
      </c>
      <c r="L73" s="18"/>
      <c r="M73" s="2" t="s">
        <v>179</v>
      </c>
      <c r="N73" s="2"/>
    </row>
    <row r="74" spans="1:15" ht="15.65" customHeight="1" x14ac:dyDescent="0.35">
      <c r="A74" s="72" t="s">
        <v>45</v>
      </c>
      <c r="B74" s="147" t="s">
        <v>180</v>
      </c>
      <c r="C74" s="147"/>
      <c r="D74" s="147"/>
      <c r="E74" s="147"/>
      <c r="F74" s="147"/>
      <c r="G74" s="147"/>
      <c r="H74" s="91"/>
      <c r="I74" s="76">
        <f>(I50*40%)*37.01%</f>
        <v>25.282560371466673</v>
      </c>
      <c r="M74" s="5" t="s">
        <v>166</v>
      </c>
    </row>
    <row r="75" spans="1:15" ht="15.65" customHeight="1" x14ac:dyDescent="0.35">
      <c r="A75" s="149" t="s">
        <v>181</v>
      </c>
      <c r="B75" s="149"/>
      <c r="C75" s="149"/>
      <c r="D75" s="149"/>
      <c r="E75" s="149"/>
      <c r="F75" s="149"/>
      <c r="G75" s="149"/>
      <c r="H75" s="83"/>
      <c r="I75" s="84">
        <f>SUM(I69:I74)</f>
        <v>127.69162903891333</v>
      </c>
      <c r="M75" s="5" t="s">
        <v>182</v>
      </c>
      <c r="N75" s="5"/>
    </row>
    <row r="76" spans="1:15" ht="15.65" customHeight="1" x14ac:dyDescent="0.35">
      <c r="A76" s="172"/>
      <c r="B76" s="173"/>
      <c r="C76" s="173"/>
      <c r="D76" s="173"/>
      <c r="E76" s="173"/>
      <c r="F76" s="173"/>
      <c r="G76" s="173"/>
      <c r="H76" s="173"/>
      <c r="I76" s="173"/>
      <c r="K76">
        <v>76.510000000000005</v>
      </c>
      <c r="M76" s="15">
        <f>(I34+I65)/12</f>
        <v>323.74046683333336</v>
      </c>
      <c r="N76">
        <f>M76*37.01%</f>
        <v>119.81634677501667</v>
      </c>
    </row>
    <row r="77" spans="1:15" ht="15.65" customHeight="1" x14ac:dyDescent="0.3">
      <c r="A77" s="133" t="s">
        <v>183</v>
      </c>
      <c r="B77" s="133"/>
      <c r="C77" s="133"/>
      <c r="D77" s="133"/>
      <c r="E77" s="133"/>
      <c r="F77" s="133"/>
      <c r="G77" s="133"/>
      <c r="H77" s="133"/>
      <c r="I77" s="133"/>
      <c r="M77" s="5" t="s">
        <v>175</v>
      </c>
      <c r="N77" s="5"/>
    </row>
    <row r="78" spans="1:15" ht="15.65" customHeight="1" x14ac:dyDescent="0.35">
      <c r="A78" s="149" t="s">
        <v>184</v>
      </c>
      <c r="B78" s="149"/>
      <c r="C78" s="149"/>
      <c r="D78" s="149"/>
      <c r="E78" s="149"/>
      <c r="F78" s="149"/>
      <c r="G78" s="149"/>
      <c r="H78" s="72" t="s">
        <v>101</v>
      </c>
      <c r="I78" s="72" t="s">
        <v>102</v>
      </c>
      <c r="M78" s="15">
        <f>I50*40%</f>
        <v>68.312781333333348</v>
      </c>
      <c r="N78" s="15">
        <f>M78*37.01%</f>
        <v>25.282560371466673</v>
      </c>
    </row>
    <row r="79" spans="1:15" ht="29.25" customHeight="1" x14ac:dyDescent="0.35">
      <c r="A79" s="72" t="s">
        <v>21</v>
      </c>
      <c r="B79" s="183" t="s">
        <v>185</v>
      </c>
      <c r="C79" s="183"/>
      <c r="D79" s="183"/>
      <c r="E79" s="183"/>
      <c r="F79" s="183"/>
      <c r="G79" s="183"/>
      <c r="H79" s="81"/>
      <c r="I79" s="76">
        <v>0</v>
      </c>
    </row>
    <row r="80" spans="1:15" ht="15.65" customHeight="1" x14ac:dyDescent="0.35">
      <c r="A80" s="72" t="s">
        <v>23</v>
      </c>
      <c r="B80" s="147" t="s">
        <v>186</v>
      </c>
      <c r="C80" s="147"/>
      <c r="D80" s="147"/>
      <c r="E80" s="147"/>
      <c r="F80" s="147"/>
      <c r="G80" s="147"/>
      <c r="H80" s="81"/>
      <c r="I80" s="76">
        <f>(I28/30)/12*1</f>
        <v>4.9645916666666663</v>
      </c>
      <c r="K80" s="15"/>
    </row>
    <row r="81" spans="1:14" ht="15.65" customHeight="1" x14ac:dyDescent="0.35">
      <c r="A81" s="72" t="s">
        <v>39</v>
      </c>
      <c r="B81" s="147" t="s">
        <v>187</v>
      </c>
      <c r="C81" s="147"/>
      <c r="D81" s="147"/>
      <c r="E81" s="147"/>
      <c r="F81" s="147"/>
      <c r="G81" s="147"/>
      <c r="H81" s="81"/>
      <c r="I81" s="76">
        <f>((I28/30)/12*20)*0.05</f>
        <v>4.9645916666666672</v>
      </c>
    </row>
    <row r="82" spans="1:14" ht="15.65" customHeight="1" x14ac:dyDescent="0.35">
      <c r="A82" s="72" t="s">
        <v>41</v>
      </c>
      <c r="B82" s="147" t="s">
        <v>188</v>
      </c>
      <c r="C82" s="147"/>
      <c r="D82" s="147"/>
      <c r="E82" s="147"/>
      <c r="F82" s="147"/>
      <c r="G82" s="147"/>
      <c r="H82" s="81"/>
      <c r="I82" s="76">
        <f>(I28/30)/12*15*0.0922</f>
        <v>6.866030275</v>
      </c>
      <c r="K82" s="31"/>
    </row>
    <row r="83" spans="1:14" ht="17.5" customHeight="1" x14ac:dyDescent="0.35">
      <c r="A83" s="72" t="s">
        <v>43</v>
      </c>
      <c r="B83" s="147" t="s">
        <v>189</v>
      </c>
      <c r="C83" s="147"/>
      <c r="D83" s="147"/>
      <c r="E83" s="147"/>
      <c r="F83" s="147"/>
      <c r="G83" s="147"/>
      <c r="H83" s="81"/>
      <c r="I83" s="76">
        <v>2.41</v>
      </c>
      <c r="K83" s="30"/>
      <c r="N83" s="33"/>
    </row>
    <row r="84" spans="1:14" ht="15.65" customHeight="1" x14ac:dyDescent="0.35">
      <c r="A84" s="72" t="s">
        <v>45</v>
      </c>
      <c r="B84" s="147" t="s">
        <v>107</v>
      </c>
      <c r="C84" s="147"/>
      <c r="D84" s="147"/>
      <c r="E84" s="147"/>
      <c r="F84" s="147"/>
      <c r="G84" s="147"/>
      <c r="H84" s="81"/>
      <c r="I84" s="76">
        <v>0</v>
      </c>
      <c r="K84" s="32"/>
    </row>
    <row r="85" spans="1:14" ht="17.5" customHeight="1" x14ac:dyDescent="0.35">
      <c r="A85" s="72" t="s">
        <v>47</v>
      </c>
      <c r="B85" s="180" t="s">
        <v>190</v>
      </c>
      <c r="C85" s="180"/>
      <c r="D85" s="180"/>
      <c r="E85" s="180"/>
      <c r="F85" s="180"/>
      <c r="G85" s="180"/>
      <c r="H85" s="81"/>
      <c r="I85" s="76">
        <f>(I79+I80+I81+I82+I83+I84)*H51</f>
        <v>7.0675186078666679</v>
      </c>
      <c r="K85" s="31"/>
      <c r="N85" s="34"/>
    </row>
    <row r="86" spans="1:14" ht="17.5" customHeight="1" x14ac:dyDescent="0.35">
      <c r="A86" s="149" t="s">
        <v>191</v>
      </c>
      <c r="B86" s="149"/>
      <c r="C86" s="149"/>
      <c r="D86" s="149"/>
      <c r="E86" s="149"/>
      <c r="F86" s="149"/>
      <c r="G86" s="149"/>
      <c r="H86" s="83"/>
      <c r="I86" s="84">
        <f>SUM(I79:I85)</f>
        <v>26.272732216200001</v>
      </c>
      <c r="N86" s="33"/>
    </row>
    <row r="87" spans="1:14" ht="15.65" customHeight="1" x14ac:dyDescent="0.35">
      <c r="A87" s="181"/>
      <c r="B87" s="182"/>
      <c r="C87" s="182"/>
      <c r="D87" s="182"/>
      <c r="E87" s="182"/>
      <c r="F87" s="182"/>
      <c r="G87" s="182"/>
      <c r="H87" s="182"/>
      <c r="I87" s="182"/>
      <c r="K87" s="15"/>
    </row>
    <row r="88" spans="1:14" ht="15.65" customHeight="1" x14ac:dyDescent="0.35">
      <c r="A88" s="149" t="s">
        <v>192</v>
      </c>
      <c r="B88" s="149"/>
      <c r="C88" s="149"/>
      <c r="D88" s="149"/>
      <c r="E88" s="149"/>
      <c r="F88" s="149"/>
      <c r="G88" s="149"/>
      <c r="H88" s="72" t="s">
        <v>101</v>
      </c>
      <c r="I88" s="72" t="s">
        <v>102</v>
      </c>
    </row>
    <row r="89" spans="1:14" ht="15.5" x14ac:dyDescent="0.35">
      <c r="A89" s="72" t="s">
        <v>21</v>
      </c>
      <c r="B89" s="147" t="s">
        <v>193</v>
      </c>
      <c r="C89" s="147"/>
      <c r="D89" s="147"/>
      <c r="E89" s="147"/>
      <c r="F89" s="147"/>
      <c r="G89" s="147"/>
      <c r="H89" s="81"/>
      <c r="I89" s="76">
        <v>0</v>
      </c>
    </row>
    <row r="90" spans="1:14" ht="15.5" x14ac:dyDescent="0.35">
      <c r="A90" s="149" t="s">
        <v>194</v>
      </c>
      <c r="B90" s="149"/>
      <c r="C90" s="149"/>
      <c r="D90" s="149"/>
      <c r="E90" s="149"/>
      <c r="F90" s="149"/>
      <c r="G90" s="149"/>
      <c r="H90" s="83"/>
      <c r="I90" s="84">
        <f>SUM(I89)</f>
        <v>0</v>
      </c>
    </row>
    <row r="91" spans="1:14" ht="15.5" x14ac:dyDescent="0.35">
      <c r="A91" s="184"/>
      <c r="B91" s="185"/>
      <c r="C91" s="185"/>
      <c r="D91" s="185"/>
      <c r="E91" s="185"/>
      <c r="F91" s="185"/>
      <c r="G91" s="185"/>
      <c r="H91" s="185"/>
      <c r="I91" s="185"/>
    </row>
    <row r="92" spans="1:14" ht="15.5" x14ac:dyDescent="0.25">
      <c r="A92" s="133" t="s">
        <v>195</v>
      </c>
      <c r="B92" s="133"/>
      <c r="C92" s="133"/>
      <c r="D92" s="133"/>
      <c r="E92" s="133"/>
      <c r="F92" s="133"/>
      <c r="G92" s="133"/>
      <c r="H92" s="133"/>
      <c r="I92" s="133"/>
    </row>
    <row r="93" spans="1:14" ht="15.5" x14ac:dyDescent="0.35">
      <c r="A93" s="149" t="s">
        <v>35</v>
      </c>
      <c r="B93" s="149"/>
      <c r="C93" s="149"/>
      <c r="D93" s="149"/>
      <c r="E93" s="149"/>
      <c r="F93" s="149"/>
      <c r="G93" s="149"/>
      <c r="H93" s="149"/>
      <c r="I93" s="72" t="s">
        <v>102</v>
      </c>
    </row>
    <row r="94" spans="1:14" ht="15.5" x14ac:dyDescent="0.35">
      <c r="A94" s="72" t="s">
        <v>196</v>
      </c>
      <c r="B94" s="148" t="s">
        <v>197</v>
      </c>
      <c r="C94" s="148"/>
      <c r="D94" s="148"/>
      <c r="E94" s="148"/>
      <c r="F94" s="148"/>
      <c r="G94" s="148"/>
      <c r="H94" s="148"/>
      <c r="I94" s="76">
        <f>SUM(I86)</f>
        <v>26.272732216200001</v>
      </c>
    </row>
    <row r="95" spans="1:14" ht="15.5" x14ac:dyDescent="0.35">
      <c r="A95" s="72" t="s">
        <v>198</v>
      </c>
      <c r="B95" s="148" t="s">
        <v>199</v>
      </c>
      <c r="C95" s="148"/>
      <c r="D95" s="148"/>
      <c r="E95" s="148"/>
      <c r="F95" s="148"/>
      <c r="G95" s="148"/>
      <c r="H95" s="148"/>
      <c r="I95" s="76">
        <f>I90</f>
        <v>0</v>
      </c>
    </row>
    <row r="96" spans="1:14" ht="15.5" x14ac:dyDescent="0.35">
      <c r="A96" s="149" t="s">
        <v>200</v>
      </c>
      <c r="B96" s="149"/>
      <c r="C96" s="149"/>
      <c r="D96" s="149"/>
      <c r="E96" s="149"/>
      <c r="F96" s="149"/>
      <c r="G96" s="149"/>
      <c r="H96" s="149"/>
      <c r="I96" s="84">
        <f>SUM(I94:I95)</f>
        <v>26.272732216200001</v>
      </c>
    </row>
    <row r="97" spans="1:11" ht="15.5" x14ac:dyDescent="0.35">
      <c r="A97" s="167"/>
      <c r="B97" s="168"/>
      <c r="C97" s="168"/>
      <c r="D97" s="168"/>
      <c r="E97" s="168"/>
      <c r="F97" s="168"/>
      <c r="G97" s="168"/>
      <c r="H97" s="168"/>
      <c r="I97" s="168"/>
    </row>
    <row r="98" spans="1:11" ht="15.5" x14ac:dyDescent="0.25">
      <c r="A98" s="133" t="s">
        <v>201</v>
      </c>
      <c r="B98" s="133"/>
      <c r="C98" s="133"/>
      <c r="D98" s="133"/>
      <c r="E98" s="133"/>
      <c r="F98" s="133"/>
      <c r="G98" s="133"/>
      <c r="H98" s="133"/>
      <c r="I98" s="133"/>
    </row>
    <row r="99" spans="1:11" ht="15.5" x14ac:dyDescent="0.35">
      <c r="A99" s="72">
        <v>5</v>
      </c>
      <c r="B99" s="149" t="s">
        <v>202</v>
      </c>
      <c r="C99" s="149"/>
      <c r="D99" s="149"/>
      <c r="E99" s="149"/>
      <c r="F99" s="149"/>
      <c r="G99" s="149"/>
      <c r="H99" s="72"/>
      <c r="I99" s="72" t="s">
        <v>102</v>
      </c>
    </row>
    <row r="100" spans="1:11" ht="15.5" x14ac:dyDescent="0.35">
      <c r="A100" s="72" t="s">
        <v>21</v>
      </c>
      <c r="B100" s="153" t="s">
        <v>203</v>
      </c>
      <c r="C100" s="153"/>
      <c r="D100" s="153"/>
      <c r="E100" s="153"/>
      <c r="F100" s="153"/>
      <c r="G100" s="153"/>
      <c r="H100" s="66" t="s">
        <v>80</v>
      </c>
      <c r="I100" s="76">
        <f>'MATERIAIS, EQUIPAMENTOS UNIFORM'!E12</f>
        <v>53.333333333333336</v>
      </c>
    </row>
    <row r="101" spans="1:11" ht="15.5" x14ac:dyDescent="0.35">
      <c r="A101" s="72" t="s">
        <v>23</v>
      </c>
      <c r="B101" s="153" t="s">
        <v>204</v>
      </c>
      <c r="C101" s="153"/>
      <c r="D101" s="153"/>
      <c r="E101" s="153"/>
      <c r="F101" s="153"/>
      <c r="G101" s="153"/>
      <c r="H101" s="66" t="s">
        <v>80</v>
      </c>
      <c r="I101" s="74">
        <f>'MATERIAIS, EQUIPAMENTOS UNIFORM'!E37</f>
        <v>31.8325</v>
      </c>
    </row>
    <row r="102" spans="1:11" ht="15.5" x14ac:dyDescent="0.35">
      <c r="A102" s="87" t="s">
        <v>39</v>
      </c>
      <c r="B102" s="153" t="s">
        <v>205</v>
      </c>
      <c r="C102" s="153"/>
      <c r="D102" s="153"/>
      <c r="E102" s="153"/>
      <c r="F102" s="153"/>
      <c r="G102" s="153"/>
      <c r="H102" s="66" t="s">
        <v>80</v>
      </c>
      <c r="I102" s="74">
        <f>'MATERIAIS, EQUIPAMENTOS UNIFORM'!E56+'MATERIAIS, EQUIPAMENTOS UNIFORM'!E61+'MATERIAIS, EQUIPAMENTOS UNIFORM'!E67</f>
        <v>41.736458333333331</v>
      </c>
    </row>
    <row r="103" spans="1:11" ht="15.5" x14ac:dyDescent="0.35">
      <c r="A103" s="87" t="s">
        <v>41</v>
      </c>
      <c r="B103" s="153" t="s">
        <v>107</v>
      </c>
      <c r="C103" s="153"/>
      <c r="D103" s="153"/>
      <c r="E103" s="153"/>
      <c r="F103" s="153"/>
      <c r="G103" s="153"/>
      <c r="H103" s="66" t="s">
        <v>80</v>
      </c>
      <c r="I103" s="74">
        <v>0</v>
      </c>
    </row>
    <row r="104" spans="1:11" ht="15.5" x14ac:dyDescent="0.35">
      <c r="A104" s="149" t="s">
        <v>206</v>
      </c>
      <c r="B104" s="149"/>
      <c r="C104" s="149"/>
      <c r="D104" s="149"/>
      <c r="E104" s="149"/>
      <c r="F104" s="149"/>
      <c r="G104" s="149"/>
      <c r="H104" s="83" t="s">
        <v>80</v>
      </c>
      <c r="I104" s="78">
        <f>SUM(I100:I103)</f>
        <v>126.90229166666667</v>
      </c>
    </row>
    <row r="105" spans="1:11" ht="15.5" x14ac:dyDescent="0.35">
      <c r="A105" s="167"/>
      <c r="B105" s="168"/>
      <c r="C105" s="168"/>
      <c r="D105" s="168"/>
      <c r="E105" s="168"/>
      <c r="F105" s="168"/>
      <c r="G105" s="168"/>
      <c r="H105" s="168"/>
      <c r="I105" s="168"/>
    </row>
    <row r="106" spans="1:11" ht="15.5" x14ac:dyDescent="0.25">
      <c r="A106" s="133" t="s">
        <v>207</v>
      </c>
      <c r="B106" s="133"/>
      <c r="C106" s="133"/>
      <c r="D106" s="133"/>
      <c r="E106" s="133"/>
      <c r="F106" s="133"/>
      <c r="G106" s="133"/>
      <c r="H106" s="133"/>
      <c r="I106" s="133"/>
    </row>
    <row r="107" spans="1:11" ht="15.5" x14ac:dyDescent="0.35">
      <c r="A107" s="72">
        <v>6</v>
      </c>
      <c r="B107" s="149" t="s">
        <v>208</v>
      </c>
      <c r="C107" s="149"/>
      <c r="D107" s="149"/>
      <c r="E107" s="149"/>
      <c r="F107" s="149"/>
      <c r="G107" s="149"/>
      <c r="H107" s="72" t="s">
        <v>101</v>
      </c>
      <c r="I107" s="72" t="s">
        <v>102</v>
      </c>
    </row>
    <row r="108" spans="1:11" ht="15.5" x14ac:dyDescent="0.35">
      <c r="A108" s="72" t="s">
        <v>21</v>
      </c>
      <c r="B108" s="147" t="s">
        <v>60</v>
      </c>
      <c r="C108" s="147"/>
      <c r="D108" s="147"/>
      <c r="E108" s="147"/>
      <c r="F108" s="147"/>
      <c r="G108" s="147"/>
      <c r="H108" s="73">
        <v>5.8700000000000002E-2</v>
      </c>
      <c r="I108" s="76">
        <f>I123*H108</f>
        <v>244.52965736390851</v>
      </c>
      <c r="K108" s="16">
        <f>(I34+I65+I75+I96+I104+I108+I109)/0.9135</f>
        <v>5133.5005553731507</v>
      </c>
    </row>
    <row r="109" spans="1:11" ht="15.5" x14ac:dyDescent="0.35">
      <c r="A109" s="72" t="s">
        <v>23</v>
      </c>
      <c r="B109" s="147" t="s">
        <v>61</v>
      </c>
      <c r="C109" s="147"/>
      <c r="D109" s="147"/>
      <c r="E109" s="147"/>
      <c r="F109" s="147"/>
      <c r="G109" s="147"/>
      <c r="H109" s="73">
        <v>6.3299999999999995E-2</v>
      </c>
      <c r="I109" s="76">
        <f>(I123+I108)*H109</f>
        <v>279.17084504768411</v>
      </c>
    </row>
    <row r="110" spans="1:11" ht="15.5" x14ac:dyDescent="0.35">
      <c r="A110" s="72" t="s">
        <v>39</v>
      </c>
      <c r="B110" s="186" t="s">
        <v>209</v>
      </c>
      <c r="C110" s="187"/>
      <c r="D110" s="187"/>
      <c r="E110" s="187"/>
      <c r="F110" s="187"/>
      <c r="G110" s="187"/>
      <c r="H110" s="187"/>
      <c r="I110" s="188"/>
    </row>
    <row r="111" spans="1:11" ht="15.5" x14ac:dyDescent="0.35">
      <c r="A111" s="72" t="s">
        <v>210</v>
      </c>
      <c r="B111" s="147" t="s">
        <v>62</v>
      </c>
      <c r="C111" s="147"/>
      <c r="D111" s="147"/>
      <c r="E111" s="147"/>
      <c r="F111" s="147"/>
      <c r="G111" s="147"/>
      <c r="H111" s="93">
        <v>6.4999999999999997E-3</v>
      </c>
      <c r="I111" s="76">
        <f>K108*H111</f>
        <v>33.367753609925479</v>
      </c>
    </row>
    <row r="112" spans="1:11" ht="15.5" x14ac:dyDescent="0.35">
      <c r="A112" s="72" t="s">
        <v>211</v>
      </c>
      <c r="B112" s="147" t="s">
        <v>63</v>
      </c>
      <c r="C112" s="147"/>
      <c r="D112" s="147"/>
      <c r="E112" s="147"/>
      <c r="F112" s="147"/>
      <c r="G112" s="147"/>
      <c r="H112" s="93">
        <v>0.03</v>
      </c>
      <c r="I112" s="76">
        <f>K108*H112</f>
        <v>154.0050166611945</v>
      </c>
    </row>
    <row r="113" spans="1:11" ht="15.5" x14ac:dyDescent="0.35">
      <c r="A113" s="72" t="s">
        <v>212</v>
      </c>
      <c r="B113" s="147" t="s">
        <v>213</v>
      </c>
      <c r="C113" s="147"/>
      <c r="D113" s="147"/>
      <c r="E113" s="147"/>
      <c r="F113" s="147"/>
      <c r="G113" s="147"/>
      <c r="H113" s="93">
        <v>0.05</v>
      </c>
      <c r="I113" s="76">
        <f>K108*H113</f>
        <v>256.67502776865757</v>
      </c>
    </row>
    <row r="114" spans="1:11" ht="15.5" x14ac:dyDescent="0.35">
      <c r="A114" s="149" t="s">
        <v>214</v>
      </c>
      <c r="B114" s="149"/>
      <c r="C114" s="149"/>
      <c r="D114" s="149"/>
      <c r="E114" s="149"/>
      <c r="F114" s="149"/>
      <c r="G114" s="149"/>
      <c r="H114" s="93"/>
      <c r="I114" s="78">
        <f>SUM(I108:I113)</f>
        <v>967.74830045137014</v>
      </c>
    </row>
    <row r="115" spans="1:11" ht="15.5" x14ac:dyDescent="0.35">
      <c r="A115" s="71"/>
      <c r="B115" s="189"/>
      <c r="C115" s="189"/>
      <c r="D115" s="189"/>
      <c r="E115" s="189"/>
      <c r="F115" s="189"/>
      <c r="G115" s="189"/>
      <c r="H115" s="189"/>
      <c r="I115" s="189"/>
    </row>
    <row r="116" spans="1:11" ht="15.5" x14ac:dyDescent="0.25">
      <c r="A116" s="133" t="s">
        <v>215</v>
      </c>
      <c r="B116" s="133"/>
      <c r="C116" s="133"/>
      <c r="D116" s="133"/>
      <c r="E116" s="133"/>
      <c r="F116" s="133"/>
      <c r="G116" s="133"/>
      <c r="H116" s="133"/>
      <c r="I116" s="133"/>
    </row>
    <row r="117" spans="1:11" ht="15.5" x14ac:dyDescent="0.35">
      <c r="A117" s="149" t="s">
        <v>216</v>
      </c>
      <c r="B117" s="149"/>
      <c r="C117" s="149"/>
      <c r="D117" s="149"/>
      <c r="E117" s="149"/>
      <c r="F117" s="149"/>
      <c r="G117" s="149"/>
      <c r="H117" s="149"/>
      <c r="I117" s="72" t="s">
        <v>102</v>
      </c>
      <c r="K117" s="4"/>
    </row>
    <row r="118" spans="1:11" ht="15.5" x14ac:dyDescent="0.35">
      <c r="A118" s="66" t="s">
        <v>21</v>
      </c>
      <c r="B118" s="147" t="str">
        <f>A20</f>
        <v>MÓDULO 1 - COMPOSIÇÃO DA REMUNERAÇÃO</v>
      </c>
      <c r="C118" s="147"/>
      <c r="D118" s="147"/>
      <c r="E118" s="147"/>
      <c r="F118" s="147"/>
      <c r="G118" s="147"/>
      <c r="H118" s="147"/>
      <c r="I118" s="74">
        <f>I34</f>
        <v>2229.36</v>
      </c>
    </row>
    <row r="119" spans="1:11" ht="15.5" x14ac:dyDescent="0.35">
      <c r="A119" s="66" t="s">
        <v>23</v>
      </c>
      <c r="B119" s="147" t="str">
        <f>A36</f>
        <v>MÓDULO 2 – ENCARGOS E BENEFÍCIOS ANUAIS, MENSAIS E DIÁRIOS</v>
      </c>
      <c r="C119" s="147"/>
      <c r="D119" s="147"/>
      <c r="E119" s="147"/>
      <c r="F119" s="147"/>
      <c r="G119" s="147"/>
      <c r="H119" s="147"/>
      <c r="I119" s="74">
        <f>I65</f>
        <v>1655.5256020000002</v>
      </c>
    </row>
    <row r="120" spans="1:11" ht="15.5" x14ac:dyDescent="0.35">
      <c r="A120" s="66" t="s">
        <v>39</v>
      </c>
      <c r="B120" s="147" t="str">
        <f>A67</f>
        <v>MÓDULO 3 – PROVISÃO PARA RESCISÃO</v>
      </c>
      <c r="C120" s="147"/>
      <c r="D120" s="147"/>
      <c r="E120" s="147"/>
      <c r="F120" s="147"/>
      <c r="G120" s="147"/>
      <c r="H120" s="147"/>
      <c r="I120" s="74">
        <f>I75</f>
        <v>127.69162903891333</v>
      </c>
    </row>
    <row r="121" spans="1:11" ht="15.5" x14ac:dyDescent="0.35">
      <c r="A121" s="66" t="s">
        <v>41</v>
      </c>
      <c r="B121" s="147" t="str">
        <f>A77</f>
        <v>MÓDULO 4 – CUSTO DE REPOSIÇÃO DO PROFISSIONAL AUSENTE</v>
      </c>
      <c r="C121" s="147"/>
      <c r="D121" s="147"/>
      <c r="E121" s="147"/>
      <c r="F121" s="147"/>
      <c r="G121" s="147"/>
      <c r="H121" s="147"/>
      <c r="I121" s="74">
        <f>I96</f>
        <v>26.272732216200001</v>
      </c>
      <c r="K121" s="4"/>
    </row>
    <row r="122" spans="1:11" ht="15.5" x14ac:dyDescent="0.35">
      <c r="A122" s="66" t="s">
        <v>43</v>
      </c>
      <c r="B122" s="147" t="str">
        <f>A98</f>
        <v>MÓDULO 5 – INSUMOS DIVERSOS</v>
      </c>
      <c r="C122" s="147"/>
      <c r="D122" s="147"/>
      <c r="E122" s="147"/>
      <c r="F122" s="147"/>
      <c r="G122" s="147"/>
      <c r="H122" s="147"/>
      <c r="I122" s="74">
        <f>I104</f>
        <v>126.90229166666667</v>
      </c>
      <c r="K122" s="4"/>
    </row>
    <row r="123" spans="1:11" ht="15.5" x14ac:dyDescent="0.35">
      <c r="A123" s="72"/>
      <c r="B123" s="149" t="s">
        <v>217</v>
      </c>
      <c r="C123" s="149"/>
      <c r="D123" s="149"/>
      <c r="E123" s="149"/>
      <c r="F123" s="149"/>
      <c r="G123" s="149"/>
      <c r="H123" s="149"/>
      <c r="I123" s="78">
        <f>SUM(I118:I122)</f>
        <v>4165.7522549217801</v>
      </c>
    </row>
    <row r="124" spans="1:11" ht="15.5" x14ac:dyDescent="0.35">
      <c r="A124" s="66" t="s">
        <v>45</v>
      </c>
      <c r="B124" s="147" t="str">
        <f>A106</f>
        <v>MÓDULO 6 – CUSTOS INDIRETOS, TRIBUTOS E LUCRO</v>
      </c>
      <c r="C124" s="147"/>
      <c r="D124" s="147"/>
      <c r="E124" s="147"/>
      <c r="F124" s="147"/>
      <c r="G124" s="147"/>
      <c r="H124" s="147"/>
      <c r="I124" s="74">
        <f>I114</f>
        <v>967.74830045137014</v>
      </c>
      <c r="K124" s="3"/>
    </row>
    <row r="125" spans="1:11" ht="15.5" x14ac:dyDescent="0.35">
      <c r="A125" s="149" t="s">
        <v>218</v>
      </c>
      <c r="B125" s="149"/>
      <c r="C125" s="149"/>
      <c r="D125" s="149"/>
      <c r="E125" s="149"/>
      <c r="F125" s="149"/>
      <c r="G125" s="149"/>
      <c r="H125" s="149"/>
      <c r="I125" s="78">
        <f>I123+I124</f>
        <v>5133.5005553731498</v>
      </c>
    </row>
    <row r="126" spans="1:11" ht="15.5" x14ac:dyDescent="0.35">
      <c r="A126" s="149" t="s">
        <v>219</v>
      </c>
      <c r="B126" s="149"/>
      <c r="C126" s="149"/>
      <c r="D126" s="149"/>
      <c r="E126" s="149"/>
      <c r="F126" s="149"/>
      <c r="G126" s="149"/>
      <c r="H126" s="149"/>
      <c r="I126" s="78">
        <f>I125*2</f>
        <v>10267.0011107463</v>
      </c>
    </row>
    <row r="127" spans="1:11" ht="15.5" x14ac:dyDescent="0.35">
      <c r="A127" s="95"/>
      <c r="B127" s="95"/>
      <c r="C127" s="95"/>
      <c r="D127" s="95"/>
      <c r="E127" s="95"/>
      <c r="F127" s="95"/>
      <c r="G127" s="95"/>
      <c r="H127" s="95"/>
      <c r="I127" s="96"/>
    </row>
    <row r="128" spans="1:11" ht="15.5" x14ac:dyDescent="0.25">
      <c r="A128" s="64" t="s">
        <v>220</v>
      </c>
      <c r="B128" s="64"/>
      <c r="C128" s="64"/>
      <c r="D128" s="64"/>
      <c r="E128" s="64"/>
      <c r="F128" s="64"/>
      <c r="G128" s="64"/>
      <c r="H128" s="64"/>
      <c r="I128" s="64"/>
    </row>
    <row r="129" spans="1:9" ht="13.5" hidden="1" customHeight="1" x14ac:dyDescent="0.35">
      <c r="A129" s="190" t="s">
        <v>221</v>
      </c>
      <c r="B129" s="190"/>
      <c r="C129" s="190" t="s">
        <v>222</v>
      </c>
      <c r="D129" s="190"/>
      <c r="E129" s="190" t="s">
        <v>223</v>
      </c>
      <c r="F129" s="190"/>
      <c r="G129" s="97" t="s">
        <v>224</v>
      </c>
      <c r="H129" s="97" t="s">
        <v>225</v>
      </c>
      <c r="I129" s="72" t="s">
        <v>102</v>
      </c>
    </row>
    <row r="130" spans="1:9" ht="40.5" hidden="1" customHeight="1" x14ac:dyDescent="0.35">
      <c r="A130" s="148" t="s">
        <v>226</v>
      </c>
      <c r="B130" s="148"/>
      <c r="C130" s="147" t="s">
        <v>227</v>
      </c>
      <c r="D130" s="147"/>
      <c r="E130" s="148"/>
      <c r="F130" s="148"/>
      <c r="G130" s="88" t="s">
        <v>227</v>
      </c>
      <c r="H130" s="88"/>
      <c r="I130" s="76">
        <v>0</v>
      </c>
    </row>
    <row r="131" spans="1:9" ht="12.75" hidden="1" customHeight="1" x14ac:dyDescent="0.35">
      <c r="A131" s="148" t="s">
        <v>228</v>
      </c>
      <c r="B131" s="148"/>
      <c r="C131" s="147" t="s">
        <v>227</v>
      </c>
      <c r="D131" s="147"/>
      <c r="E131" s="148"/>
      <c r="F131" s="148"/>
      <c r="G131" s="88" t="s">
        <v>227</v>
      </c>
      <c r="H131" s="88"/>
      <c r="I131" s="76">
        <v>0</v>
      </c>
    </row>
    <row r="132" spans="1:9" ht="12.75" hidden="1" customHeight="1" x14ac:dyDescent="0.35">
      <c r="A132" s="148" t="s">
        <v>229</v>
      </c>
      <c r="B132" s="148"/>
      <c r="C132" s="147" t="s">
        <v>227</v>
      </c>
      <c r="D132" s="147"/>
      <c r="E132" s="148"/>
      <c r="F132" s="148"/>
      <c r="G132" s="88" t="s">
        <v>227</v>
      </c>
      <c r="H132" s="88"/>
      <c r="I132" s="76">
        <v>0</v>
      </c>
    </row>
    <row r="133" spans="1:9" ht="12.75" hidden="1" customHeight="1" x14ac:dyDescent="0.35">
      <c r="A133" s="148" t="s">
        <v>230</v>
      </c>
      <c r="B133" s="148"/>
      <c r="C133" s="147" t="s">
        <v>227</v>
      </c>
      <c r="D133" s="147"/>
      <c r="E133" s="148"/>
      <c r="F133" s="148"/>
      <c r="G133" s="88" t="s">
        <v>227</v>
      </c>
      <c r="H133" s="88"/>
      <c r="I133" s="76">
        <v>0</v>
      </c>
    </row>
    <row r="134" spans="1:9" ht="12.75" hidden="1" customHeight="1" x14ac:dyDescent="0.35">
      <c r="A134" s="149"/>
      <c r="B134" s="149"/>
      <c r="C134" s="148"/>
      <c r="D134" s="148"/>
      <c r="E134" s="148"/>
      <c r="F134" s="148"/>
      <c r="G134" s="98"/>
      <c r="H134" s="98"/>
      <c r="I134" s="76"/>
    </row>
    <row r="135" spans="1:9" ht="12.75" hidden="1" customHeight="1" x14ac:dyDescent="0.35">
      <c r="A135" s="149"/>
      <c r="B135" s="149"/>
      <c r="C135" s="148"/>
      <c r="D135" s="148"/>
      <c r="E135" s="148"/>
      <c r="F135" s="148"/>
      <c r="G135" s="88"/>
      <c r="H135" s="88"/>
      <c r="I135" s="76"/>
    </row>
    <row r="136" spans="1:9" ht="13.5" hidden="1" customHeight="1" x14ac:dyDescent="0.35">
      <c r="A136" s="149" t="s">
        <v>231</v>
      </c>
      <c r="B136" s="149"/>
      <c r="C136" s="149"/>
      <c r="D136" s="149"/>
      <c r="E136" s="149"/>
      <c r="F136" s="149"/>
      <c r="G136" s="149"/>
      <c r="H136" s="149"/>
      <c r="I136" s="84">
        <f>SUM(I134:I135)</f>
        <v>0</v>
      </c>
    </row>
    <row r="137" spans="1:9" ht="13.5" hidden="1" customHeight="1" x14ac:dyDescent="0.35">
      <c r="A137" s="88"/>
      <c r="B137" s="88"/>
      <c r="C137" s="88"/>
      <c r="D137" s="88"/>
      <c r="E137" s="88"/>
      <c r="F137" s="88"/>
      <c r="G137" s="88"/>
      <c r="H137" s="88"/>
      <c r="I137" s="88"/>
    </row>
    <row r="138" spans="1:9" ht="12.75" hidden="1" customHeight="1" x14ac:dyDescent="0.35">
      <c r="A138" s="66" t="s">
        <v>232</v>
      </c>
      <c r="B138" s="148" t="s">
        <v>233</v>
      </c>
      <c r="C138" s="148"/>
      <c r="D138" s="148"/>
      <c r="E138" s="148"/>
      <c r="F138" s="148"/>
      <c r="G138" s="148"/>
      <c r="H138" s="72"/>
      <c r="I138" s="72"/>
    </row>
    <row r="139" spans="1:9" ht="13.5" hidden="1" customHeight="1" x14ac:dyDescent="0.35">
      <c r="A139" s="149" t="s">
        <v>234</v>
      </c>
      <c r="B139" s="149"/>
      <c r="C139" s="149"/>
      <c r="D139" s="149"/>
      <c r="E139" s="149"/>
      <c r="F139" s="149"/>
      <c r="G139" s="149"/>
      <c r="H139" s="149"/>
      <c r="I139" s="149"/>
    </row>
    <row r="140" spans="1:9" ht="13.5" hidden="1" customHeight="1" x14ac:dyDescent="0.35">
      <c r="A140" s="66"/>
      <c r="B140" s="180" t="s">
        <v>235</v>
      </c>
      <c r="C140" s="180"/>
      <c r="D140" s="180"/>
      <c r="E140" s="180"/>
      <c r="F140" s="180"/>
      <c r="G140" s="180"/>
      <c r="H140" s="180"/>
      <c r="I140" s="72" t="s">
        <v>102</v>
      </c>
    </row>
    <row r="141" spans="1:9" ht="13.5" hidden="1" customHeight="1" x14ac:dyDescent="0.35">
      <c r="A141" s="66" t="s">
        <v>21</v>
      </c>
      <c r="B141" s="147" t="s">
        <v>236</v>
      </c>
      <c r="C141" s="147"/>
      <c r="D141" s="147"/>
      <c r="E141" s="147"/>
      <c r="F141" s="147"/>
      <c r="G141" s="147"/>
      <c r="H141" s="147"/>
      <c r="I141" s="76">
        <f>I111</f>
        <v>33.367753609925479</v>
      </c>
    </row>
    <row r="142" spans="1:9" ht="12.75" hidden="1" customHeight="1" x14ac:dyDescent="0.35">
      <c r="A142" s="66" t="s">
        <v>23</v>
      </c>
      <c r="B142" s="147" t="s">
        <v>237</v>
      </c>
      <c r="C142" s="147"/>
      <c r="D142" s="147"/>
      <c r="E142" s="147"/>
      <c r="F142" s="147"/>
      <c r="G142" s="147"/>
      <c r="H142" s="147"/>
      <c r="I142" s="76" t="e">
        <f>#REF!</f>
        <v>#REF!</v>
      </c>
    </row>
    <row r="143" spans="1:9" ht="12.75" hidden="1" customHeight="1" x14ac:dyDescent="0.35">
      <c r="A143" s="66" t="s">
        <v>39</v>
      </c>
      <c r="B143" s="147" t="s">
        <v>238</v>
      </c>
      <c r="C143" s="147"/>
      <c r="D143" s="147"/>
      <c r="E143" s="147"/>
      <c r="F143" s="147"/>
      <c r="G143" s="147"/>
      <c r="H143" s="147"/>
      <c r="I143" s="76">
        <f>I114</f>
        <v>967.74830045137014</v>
      </c>
    </row>
    <row r="144" spans="1:9" ht="13.5" hidden="1" customHeight="1" x14ac:dyDescent="0.35">
      <c r="A144" s="148" t="s">
        <v>239</v>
      </c>
      <c r="B144" s="148"/>
      <c r="C144" s="148"/>
      <c r="D144" s="148"/>
      <c r="E144" s="148"/>
      <c r="F144" s="148"/>
      <c r="G144" s="148"/>
      <c r="H144" s="148"/>
      <c r="I144" s="84" t="e">
        <f>SUM(I141:I143)</f>
        <v>#REF!</v>
      </c>
    </row>
    <row r="145" spans="1:9" ht="13.5" hidden="1" customHeight="1" x14ac:dyDescent="0.35">
      <c r="A145" s="66" t="s">
        <v>240</v>
      </c>
      <c r="B145" s="88" t="s">
        <v>241</v>
      </c>
      <c r="C145" s="88"/>
      <c r="D145" s="88"/>
      <c r="E145" s="88"/>
      <c r="F145" s="88"/>
      <c r="G145" s="88"/>
      <c r="H145" s="88"/>
      <c r="I145" s="88"/>
    </row>
    <row r="146" spans="1:9" ht="12.75" hidden="1" customHeight="1" x14ac:dyDescent="0.35">
      <c r="A146" s="88"/>
      <c r="B146" s="88"/>
      <c r="C146" s="88"/>
      <c r="D146" s="88"/>
      <c r="E146" s="88"/>
      <c r="F146" s="88"/>
      <c r="G146" s="88"/>
      <c r="H146" s="88"/>
      <c r="I146" s="88"/>
    </row>
    <row r="147" spans="1:9" ht="12.75" hidden="1" customHeight="1" x14ac:dyDescent="0.35">
      <c r="A147" s="88"/>
      <c r="B147" s="88"/>
      <c r="C147" s="88"/>
      <c r="D147" s="88"/>
      <c r="E147" s="88"/>
      <c r="F147" s="88"/>
      <c r="G147" s="88"/>
      <c r="H147" s="88"/>
      <c r="I147" s="88"/>
    </row>
    <row r="148" spans="1:9" ht="12.75" hidden="1" customHeight="1" x14ac:dyDescent="0.35">
      <c r="A148" s="98"/>
      <c r="B148" s="98"/>
      <c r="C148" s="88"/>
      <c r="D148" s="88"/>
      <c r="E148" s="88"/>
      <c r="F148" s="88"/>
      <c r="G148" s="88"/>
      <c r="H148" s="88"/>
      <c r="I148" s="88"/>
    </row>
    <row r="149" spans="1:9" ht="15.5" x14ac:dyDescent="0.35">
      <c r="A149" s="172" t="s">
        <v>242</v>
      </c>
      <c r="B149" s="173"/>
      <c r="C149" s="173"/>
      <c r="D149" s="173"/>
      <c r="E149" s="173"/>
      <c r="F149" s="173"/>
      <c r="G149" s="173"/>
      <c r="H149" s="174"/>
      <c r="I149" s="72">
        <v>3</v>
      </c>
    </row>
    <row r="150" spans="1:9" ht="15.5" x14ac:dyDescent="0.35">
      <c r="A150" s="172" t="s">
        <v>243</v>
      </c>
      <c r="B150" s="173"/>
      <c r="C150" s="173"/>
      <c r="D150" s="173"/>
      <c r="E150" s="173"/>
      <c r="F150" s="173"/>
      <c r="G150" s="173"/>
      <c r="H150" s="174"/>
      <c r="I150" s="78">
        <f>I126*I149</f>
        <v>30801.003332238899</v>
      </c>
    </row>
    <row r="151" spans="1:9" ht="15.5" x14ac:dyDescent="0.35">
      <c r="A151" s="172" t="s">
        <v>244</v>
      </c>
      <c r="B151" s="173"/>
      <c r="C151" s="173"/>
      <c r="D151" s="173"/>
      <c r="E151" s="173"/>
      <c r="F151" s="173"/>
      <c r="G151" s="173"/>
      <c r="H151" s="174"/>
      <c r="I151" s="78">
        <f>I150*12</f>
        <v>369612.03998686676</v>
      </c>
    </row>
    <row r="152" spans="1:9" x14ac:dyDescent="0.25">
      <c r="A152" s="6"/>
    </row>
    <row r="153" spans="1:9" x14ac:dyDescent="0.25">
      <c r="I153" s="15"/>
    </row>
  </sheetData>
  <mergeCells count="168">
    <mergeCell ref="B7:H7"/>
    <mergeCell ref="A9:I9"/>
    <mergeCell ref="A10:B10"/>
    <mergeCell ref="C10:D10"/>
    <mergeCell ref="E10:I10"/>
    <mergeCell ref="A11:B11"/>
    <mergeCell ref="C11:D11"/>
    <mergeCell ref="E11:I11"/>
    <mergeCell ref="A1:I1"/>
    <mergeCell ref="A2:I2"/>
    <mergeCell ref="A3:I3"/>
    <mergeCell ref="B4:H4"/>
    <mergeCell ref="B5:H5"/>
    <mergeCell ref="B6:H6"/>
    <mergeCell ref="A19:I19"/>
    <mergeCell ref="A20:I20"/>
    <mergeCell ref="B21:G21"/>
    <mergeCell ref="B22:G22"/>
    <mergeCell ref="B23:G23"/>
    <mergeCell ref="B24:G24"/>
    <mergeCell ref="A13:I13"/>
    <mergeCell ref="B14:H14"/>
    <mergeCell ref="B15:H15"/>
    <mergeCell ref="B16:H16"/>
    <mergeCell ref="B17:H17"/>
    <mergeCell ref="B18:H18"/>
    <mergeCell ref="B31:G31"/>
    <mergeCell ref="B32:G32"/>
    <mergeCell ref="A33:H33"/>
    <mergeCell ref="A34:H34"/>
    <mergeCell ref="A36:I36"/>
    <mergeCell ref="A37:G37"/>
    <mergeCell ref="B25:G25"/>
    <mergeCell ref="B26:G26"/>
    <mergeCell ref="B27:G27"/>
    <mergeCell ref="A28:H28"/>
    <mergeCell ref="B29:G29"/>
    <mergeCell ref="B30:G30"/>
    <mergeCell ref="B44:G44"/>
    <mergeCell ref="B45:G45"/>
    <mergeCell ref="B46:G46"/>
    <mergeCell ref="B47:G47"/>
    <mergeCell ref="B48:G48"/>
    <mergeCell ref="B49:G49"/>
    <mergeCell ref="B38:G38"/>
    <mergeCell ref="B39:G39"/>
    <mergeCell ref="A40:G40"/>
    <mergeCell ref="A41:I41"/>
    <mergeCell ref="A42:G42"/>
    <mergeCell ref="B43:G43"/>
    <mergeCell ref="Q56:T56"/>
    <mergeCell ref="B57:G57"/>
    <mergeCell ref="N57:O57"/>
    <mergeCell ref="B50:G50"/>
    <mergeCell ref="A51:G51"/>
    <mergeCell ref="A52:I52"/>
    <mergeCell ref="A53:G53"/>
    <mergeCell ref="K53:O53"/>
    <mergeCell ref="Q53:T53"/>
    <mergeCell ref="A58:H58"/>
    <mergeCell ref="N58:O58"/>
    <mergeCell ref="A59:I59"/>
    <mergeCell ref="A60:I60"/>
    <mergeCell ref="K60:O60"/>
    <mergeCell ref="A61:H61"/>
    <mergeCell ref="B54:G54"/>
    <mergeCell ref="B55:G55"/>
    <mergeCell ref="B56:G56"/>
    <mergeCell ref="K56:O56"/>
    <mergeCell ref="K67:L67"/>
    <mergeCell ref="B68:G68"/>
    <mergeCell ref="B69:G69"/>
    <mergeCell ref="B70:G70"/>
    <mergeCell ref="B71:G71"/>
    <mergeCell ref="B72:G72"/>
    <mergeCell ref="K72:L72"/>
    <mergeCell ref="B62:H62"/>
    <mergeCell ref="B63:H63"/>
    <mergeCell ref="B64:H64"/>
    <mergeCell ref="A65:H65"/>
    <mergeCell ref="A66:I66"/>
    <mergeCell ref="A67:I67"/>
    <mergeCell ref="B79:G79"/>
    <mergeCell ref="B80:G80"/>
    <mergeCell ref="B81:G81"/>
    <mergeCell ref="B82:G82"/>
    <mergeCell ref="B83:G83"/>
    <mergeCell ref="B84:G84"/>
    <mergeCell ref="B73:G73"/>
    <mergeCell ref="B74:G74"/>
    <mergeCell ref="A75:G75"/>
    <mergeCell ref="A76:I76"/>
    <mergeCell ref="A77:I77"/>
    <mergeCell ref="A78:G78"/>
    <mergeCell ref="A91:I91"/>
    <mergeCell ref="A92:I92"/>
    <mergeCell ref="A93:H93"/>
    <mergeCell ref="B94:H94"/>
    <mergeCell ref="B95:H95"/>
    <mergeCell ref="A96:H96"/>
    <mergeCell ref="B85:G85"/>
    <mergeCell ref="A86:G86"/>
    <mergeCell ref="A87:I87"/>
    <mergeCell ref="A88:G88"/>
    <mergeCell ref="B89:G89"/>
    <mergeCell ref="A90:G90"/>
    <mergeCell ref="B103:G103"/>
    <mergeCell ref="A104:G104"/>
    <mergeCell ref="A105:I105"/>
    <mergeCell ref="A106:I106"/>
    <mergeCell ref="B107:G107"/>
    <mergeCell ref="B108:G108"/>
    <mergeCell ref="A97:I97"/>
    <mergeCell ref="A98:I98"/>
    <mergeCell ref="B99:G99"/>
    <mergeCell ref="B100:G100"/>
    <mergeCell ref="B101:G101"/>
    <mergeCell ref="B102:G102"/>
    <mergeCell ref="B115:I115"/>
    <mergeCell ref="A116:I116"/>
    <mergeCell ref="A117:H117"/>
    <mergeCell ref="B118:H118"/>
    <mergeCell ref="B119:H119"/>
    <mergeCell ref="B120:H120"/>
    <mergeCell ref="B109:G109"/>
    <mergeCell ref="B110:I110"/>
    <mergeCell ref="B111:G111"/>
    <mergeCell ref="B112:G112"/>
    <mergeCell ref="B113:G113"/>
    <mergeCell ref="A114:G114"/>
    <mergeCell ref="A129:B129"/>
    <mergeCell ref="C129:D129"/>
    <mergeCell ref="E129:F129"/>
    <mergeCell ref="A130:B130"/>
    <mergeCell ref="C130:D130"/>
    <mergeCell ref="E130:F130"/>
    <mergeCell ref="B121:H121"/>
    <mergeCell ref="B122:H122"/>
    <mergeCell ref="B123:H123"/>
    <mergeCell ref="B124:H124"/>
    <mergeCell ref="A125:H125"/>
    <mergeCell ref="A126:H126"/>
    <mergeCell ref="A133:B133"/>
    <mergeCell ref="C133:D133"/>
    <mergeCell ref="E133:F133"/>
    <mergeCell ref="A134:B134"/>
    <mergeCell ref="C134:D134"/>
    <mergeCell ref="E134:F134"/>
    <mergeCell ref="A131:B131"/>
    <mergeCell ref="C131:D131"/>
    <mergeCell ref="E131:F131"/>
    <mergeCell ref="A132:B132"/>
    <mergeCell ref="C132:D132"/>
    <mergeCell ref="E132:F132"/>
    <mergeCell ref="A150:H150"/>
    <mergeCell ref="A151:H151"/>
    <mergeCell ref="B140:H140"/>
    <mergeCell ref="B141:H141"/>
    <mergeCell ref="B142:H142"/>
    <mergeCell ref="B143:H143"/>
    <mergeCell ref="A144:H144"/>
    <mergeCell ref="A149:H149"/>
    <mergeCell ref="A135:B135"/>
    <mergeCell ref="C135:D135"/>
    <mergeCell ref="E135:F135"/>
    <mergeCell ref="A136:H136"/>
    <mergeCell ref="B138:G138"/>
    <mergeCell ref="A139:I13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AAC26-1E69-483D-B00A-210B3A4F7F4C}">
  <sheetPr>
    <tabColor theme="5" tint="0.39997558519241921"/>
  </sheetPr>
  <dimension ref="A1:T155"/>
  <sheetViews>
    <sheetView showGridLines="0" topLeftCell="A115" zoomScaleNormal="100" workbookViewId="0">
      <selection activeCell="I128" sqref="I128"/>
    </sheetView>
  </sheetViews>
  <sheetFormatPr defaultRowHeight="12.5" x14ac:dyDescent="0.25"/>
  <cols>
    <col min="1" max="1" width="10" bestFit="1" customWidth="1"/>
    <col min="5" max="5" width="10.81640625" bestFit="1" customWidth="1"/>
    <col min="7" max="7" width="26.26953125" customWidth="1"/>
    <col min="8" max="8" width="8.81640625" customWidth="1"/>
    <col min="9" max="9" width="21.453125" customWidth="1"/>
    <col min="10" max="10" width="0.26953125" customWidth="1"/>
    <col min="11" max="11" width="23.1796875" hidden="1" customWidth="1"/>
    <col min="12" max="12" width="7.54296875" hidden="1" customWidth="1"/>
    <col min="13" max="13" width="10" hidden="1" customWidth="1"/>
    <col min="14" max="14" width="46.81640625" hidden="1" customWidth="1"/>
    <col min="15" max="15" width="0.54296875" customWidth="1"/>
    <col min="16" max="16" width="10.54296875" hidden="1" customWidth="1"/>
    <col min="17" max="18" width="0.453125" customWidth="1"/>
    <col min="19" max="19" width="0.1796875" customWidth="1"/>
    <col min="20" max="20" width="10.54296875" hidden="1" customWidth="1"/>
    <col min="21" max="21" width="1.1796875" customWidth="1"/>
  </cols>
  <sheetData>
    <row r="1" spans="1:9" ht="15.5" x14ac:dyDescent="0.25">
      <c r="A1" s="143" t="s">
        <v>245</v>
      </c>
      <c r="B1" s="143"/>
      <c r="C1" s="143"/>
      <c r="D1" s="143"/>
      <c r="E1" s="143"/>
      <c r="F1" s="143"/>
      <c r="G1" s="143"/>
      <c r="H1" s="143"/>
      <c r="I1" s="143"/>
    </row>
    <row r="2" spans="1:9" ht="15.75" customHeight="1" x14ac:dyDescent="0.25">
      <c r="A2" s="143" t="s">
        <v>77</v>
      </c>
      <c r="B2" s="143"/>
      <c r="C2" s="143"/>
      <c r="D2" s="143"/>
      <c r="E2" s="143"/>
      <c r="F2" s="143"/>
      <c r="G2" s="143"/>
      <c r="H2" s="143"/>
      <c r="I2" s="143"/>
    </row>
    <row r="3" spans="1:9" ht="15.5" x14ac:dyDescent="0.25">
      <c r="A3" s="133" t="s">
        <v>78</v>
      </c>
      <c r="B3" s="133"/>
      <c r="C3" s="133"/>
      <c r="D3" s="133"/>
      <c r="E3" s="133"/>
      <c r="F3" s="133"/>
      <c r="G3" s="133"/>
      <c r="H3" s="133"/>
      <c r="I3" s="133"/>
    </row>
    <row r="4" spans="1:9" ht="15.5" x14ac:dyDescent="0.35">
      <c r="A4" s="66" t="s">
        <v>21</v>
      </c>
      <c r="B4" s="147" t="s">
        <v>79</v>
      </c>
      <c r="C4" s="147"/>
      <c r="D4" s="147"/>
      <c r="E4" s="147"/>
      <c r="F4" s="147"/>
      <c r="G4" s="147"/>
      <c r="H4" s="147"/>
      <c r="I4" s="67" t="s">
        <v>80</v>
      </c>
    </row>
    <row r="5" spans="1:9" ht="15.5" x14ac:dyDescent="0.35">
      <c r="A5" s="66" t="s">
        <v>23</v>
      </c>
      <c r="B5" s="147" t="s">
        <v>81</v>
      </c>
      <c r="C5" s="147"/>
      <c r="D5" s="147"/>
      <c r="E5" s="147"/>
      <c r="F5" s="147"/>
      <c r="G5" s="147"/>
      <c r="H5" s="147"/>
      <c r="I5" s="66" t="s">
        <v>82</v>
      </c>
    </row>
    <row r="6" spans="1:9" ht="15.5" x14ac:dyDescent="0.35">
      <c r="A6" s="66" t="s">
        <v>39</v>
      </c>
      <c r="B6" s="147" t="s">
        <v>83</v>
      </c>
      <c r="C6" s="147"/>
      <c r="D6" s="147"/>
      <c r="E6" s="147"/>
      <c r="F6" s="147"/>
      <c r="G6" s="147"/>
      <c r="H6" s="147"/>
      <c r="I6" s="66">
        <v>2023</v>
      </c>
    </row>
    <row r="7" spans="1:9" ht="15.5" x14ac:dyDescent="0.35">
      <c r="A7" s="66" t="s">
        <v>41</v>
      </c>
      <c r="B7" s="147" t="s">
        <v>84</v>
      </c>
      <c r="C7" s="147"/>
      <c r="D7" s="147"/>
      <c r="E7" s="147"/>
      <c r="F7" s="147"/>
      <c r="G7" s="147"/>
      <c r="H7" s="147"/>
      <c r="I7" s="66">
        <v>12</v>
      </c>
    </row>
    <row r="8" spans="1:9" ht="15.5" x14ac:dyDescent="0.35">
      <c r="A8" s="71"/>
      <c r="B8" s="94"/>
      <c r="C8" s="94"/>
      <c r="D8" s="94"/>
      <c r="E8" s="94"/>
      <c r="F8" s="94"/>
      <c r="G8" s="94"/>
      <c r="H8" s="71"/>
      <c r="I8" s="71"/>
    </row>
    <row r="9" spans="1:9" ht="15.5" x14ac:dyDescent="0.25">
      <c r="A9" s="133" t="s">
        <v>85</v>
      </c>
      <c r="B9" s="133"/>
      <c r="C9" s="133"/>
      <c r="D9" s="133"/>
      <c r="E9" s="133"/>
      <c r="F9" s="133"/>
      <c r="G9" s="133"/>
      <c r="H9" s="133"/>
      <c r="I9" s="133"/>
    </row>
    <row r="10" spans="1:9" ht="15.5" x14ac:dyDescent="0.35">
      <c r="A10" s="148" t="s">
        <v>86</v>
      </c>
      <c r="B10" s="148"/>
      <c r="C10" s="148" t="s">
        <v>87</v>
      </c>
      <c r="D10" s="148"/>
      <c r="E10" s="148" t="s">
        <v>88</v>
      </c>
      <c r="F10" s="148"/>
      <c r="G10" s="148"/>
      <c r="H10" s="148"/>
      <c r="I10" s="148"/>
    </row>
    <row r="11" spans="1:9" ht="15.5" x14ac:dyDescent="0.35">
      <c r="A11" s="148" t="s">
        <v>246</v>
      </c>
      <c r="B11" s="148"/>
      <c r="C11" s="148" t="s">
        <v>90</v>
      </c>
      <c r="D11" s="148"/>
      <c r="E11" s="148"/>
      <c r="F11" s="148"/>
      <c r="G11" s="148"/>
      <c r="H11" s="148"/>
      <c r="I11" s="148"/>
    </row>
    <row r="12" spans="1:9" ht="15.5" x14ac:dyDescent="0.35">
      <c r="A12" s="71"/>
      <c r="B12" s="94"/>
      <c r="C12" s="94"/>
      <c r="D12" s="94"/>
      <c r="E12" s="94"/>
      <c r="F12" s="94"/>
      <c r="G12" s="94"/>
      <c r="H12" s="71"/>
      <c r="I12" s="71"/>
    </row>
    <row r="13" spans="1:9" ht="15.5" x14ac:dyDescent="0.25">
      <c r="A13" s="133" t="s">
        <v>91</v>
      </c>
      <c r="B13" s="133"/>
      <c r="C13" s="133"/>
      <c r="D13" s="133"/>
      <c r="E13" s="133"/>
      <c r="F13" s="133"/>
      <c r="G13" s="133"/>
      <c r="H13" s="133"/>
      <c r="I13" s="133"/>
    </row>
    <row r="14" spans="1:9" ht="15.5" x14ac:dyDescent="0.35">
      <c r="A14" s="66">
        <v>1</v>
      </c>
      <c r="B14" s="147" t="s">
        <v>92</v>
      </c>
      <c r="C14" s="147"/>
      <c r="D14" s="147"/>
      <c r="E14" s="147"/>
      <c r="F14" s="147"/>
      <c r="G14" s="147"/>
      <c r="H14" s="147"/>
      <c r="I14" s="66" t="s">
        <v>247</v>
      </c>
    </row>
    <row r="15" spans="1:9" ht="15.5" x14ac:dyDescent="0.35">
      <c r="A15" s="66">
        <v>2</v>
      </c>
      <c r="B15" s="147" t="s">
        <v>93</v>
      </c>
      <c r="C15" s="147"/>
      <c r="D15" s="147"/>
      <c r="E15" s="147"/>
      <c r="F15" s="147"/>
      <c r="G15" s="147"/>
      <c r="H15" s="147"/>
      <c r="I15" s="66"/>
    </row>
    <row r="16" spans="1:9" ht="15.5" x14ac:dyDescent="0.35">
      <c r="A16" s="66">
        <v>3</v>
      </c>
      <c r="B16" s="147" t="s">
        <v>94</v>
      </c>
      <c r="C16" s="147"/>
      <c r="D16" s="147"/>
      <c r="E16" s="147"/>
      <c r="F16" s="147"/>
      <c r="G16" s="147"/>
      <c r="H16" s="147"/>
      <c r="I16" s="99">
        <v>1374.81</v>
      </c>
    </row>
    <row r="17" spans="1:11" ht="15.5" x14ac:dyDescent="0.35">
      <c r="A17" s="66">
        <v>4</v>
      </c>
      <c r="B17" s="147" t="s">
        <v>95</v>
      </c>
      <c r="C17" s="147"/>
      <c r="D17" s="147"/>
      <c r="E17" s="147"/>
      <c r="F17" s="147"/>
      <c r="G17" s="147"/>
      <c r="H17" s="147"/>
      <c r="I17" s="66" t="s">
        <v>96</v>
      </c>
    </row>
    <row r="18" spans="1:11" ht="15.5" x14ac:dyDescent="0.35">
      <c r="A18" s="66">
        <v>5</v>
      </c>
      <c r="B18" s="147" t="s">
        <v>97</v>
      </c>
      <c r="C18" s="147"/>
      <c r="D18" s="147"/>
      <c r="E18" s="147"/>
      <c r="F18" s="147"/>
      <c r="G18" s="147"/>
      <c r="H18" s="147"/>
      <c r="I18" s="67">
        <v>44958</v>
      </c>
    </row>
    <row r="19" spans="1:11" ht="15.5" x14ac:dyDescent="0.35">
      <c r="A19" s="150"/>
      <c r="B19" s="150"/>
      <c r="C19" s="150"/>
      <c r="D19" s="150"/>
      <c r="E19" s="150"/>
      <c r="F19" s="150"/>
      <c r="G19" s="150"/>
      <c r="H19" s="150"/>
      <c r="I19" s="150"/>
    </row>
    <row r="20" spans="1:11" ht="15.5" x14ac:dyDescent="0.3">
      <c r="A20" s="133" t="s">
        <v>98</v>
      </c>
      <c r="B20" s="133"/>
      <c r="C20" s="133"/>
      <c r="D20" s="133"/>
      <c r="E20" s="133"/>
      <c r="F20" s="133"/>
      <c r="G20" s="133"/>
      <c r="H20" s="133"/>
      <c r="I20" s="133"/>
      <c r="K20" s="37" t="s">
        <v>248</v>
      </c>
    </row>
    <row r="21" spans="1:11" ht="16" x14ac:dyDescent="0.4">
      <c r="A21" s="72">
        <v>1</v>
      </c>
      <c r="B21" s="149" t="s">
        <v>100</v>
      </c>
      <c r="C21" s="149"/>
      <c r="D21" s="149"/>
      <c r="E21" s="149"/>
      <c r="F21" s="149"/>
      <c r="G21" s="149"/>
      <c r="H21" s="72" t="s">
        <v>101</v>
      </c>
      <c r="I21" s="72" t="s">
        <v>102</v>
      </c>
      <c r="K21" s="35" t="s">
        <v>249</v>
      </c>
    </row>
    <row r="22" spans="1:11" ht="16" x14ac:dyDescent="0.4">
      <c r="A22" s="72" t="s">
        <v>21</v>
      </c>
      <c r="B22" s="147" t="s">
        <v>103</v>
      </c>
      <c r="C22" s="147"/>
      <c r="D22" s="147"/>
      <c r="E22" s="147"/>
      <c r="F22" s="147"/>
      <c r="G22" s="147"/>
      <c r="H22" s="73">
        <v>1</v>
      </c>
      <c r="I22" s="74">
        <v>1374.81</v>
      </c>
      <c r="K22" s="35" t="s">
        <v>250</v>
      </c>
    </row>
    <row r="23" spans="1:11" ht="16" x14ac:dyDescent="0.4">
      <c r="A23" s="72" t="s">
        <v>23</v>
      </c>
      <c r="B23" s="147" t="s">
        <v>104</v>
      </c>
      <c r="C23" s="147"/>
      <c r="D23" s="147"/>
      <c r="E23" s="147"/>
      <c r="F23" s="147"/>
      <c r="G23" s="147"/>
      <c r="H23" s="75">
        <v>0.3</v>
      </c>
      <c r="I23" s="76">
        <f>I22*H23</f>
        <v>412.44299999999998</v>
      </c>
      <c r="K23" s="35" t="s">
        <v>251</v>
      </c>
    </row>
    <row r="24" spans="1:11" ht="16" x14ac:dyDescent="0.4">
      <c r="A24" s="72" t="s">
        <v>39</v>
      </c>
      <c r="B24" s="147" t="s">
        <v>105</v>
      </c>
      <c r="C24" s="147"/>
      <c r="D24" s="147"/>
      <c r="E24" s="147"/>
      <c r="F24" s="147"/>
      <c r="G24" s="147"/>
      <c r="H24" s="75">
        <v>0</v>
      </c>
      <c r="I24" s="76">
        <f>I22*H24</f>
        <v>0</v>
      </c>
      <c r="K24" s="35" t="s">
        <v>252</v>
      </c>
    </row>
    <row r="25" spans="1:11" ht="16" x14ac:dyDescent="0.4">
      <c r="A25" s="72" t="s">
        <v>41</v>
      </c>
      <c r="B25" s="147" t="s">
        <v>69</v>
      </c>
      <c r="C25" s="147"/>
      <c r="D25" s="147"/>
      <c r="E25" s="147"/>
      <c r="F25" s="147"/>
      <c r="G25" s="147"/>
      <c r="H25" s="75">
        <v>0.2</v>
      </c>
      <c r="I25" s="76">
        <f>19.903465909*15.2083333333333</f>
        <v>302.69854403270767</v>
      </c>
      <c r="K25" s="35" t="s">
        <v>253</v>
      </c>
    </row>
    <row r="26" spans="1:11" ht="15.5" x14ac:dyDescent="0.35">
      <c r="A26" s="72" t="s">
        <v>43</v>
      </c>
      <c r="B26" s="147" t="s">
        <v>106</v>
      </c>
      <c r="C26" s="147"/>
      <c r="D26" s="147"/>
      <c r="E26" s="147"/>
      <c r="F26" s="147"/>
      <c r="G26" s="147"/>
      <c r="H26" s="77">
        <v>0</v>
      </c>
      <c r="I26" s="76">
        <v>123.49</v>
      </c>
      <c r="J26" s="29"/>
      <c r="K26" s="36"/>
    </row>
    <row r="27" spans="1:11" ht="15.5" x14ac:dyDescent="0.35">
      <c r="A27" s="72" t="s">
        <v>45</v>
      </c>
      <c r="B27" s="147" t="s">
        <v>107</v>
      </c>
      <c r="C27" s="147"/>
      <c r="D27" s="147"/>
      <c r="E27" s="147"/>
      <c r="F27" s="147"/>
      <c r="G27" s="147"/>
      <c r="H27" s="75">
        <v>0</v>
      </c>
      <c r="I27" s="76">
        <v>0</v>
      </c>
      <c r="K27" s="126" t="s">
        <v>254</v>
      </c>
    </row>
    <row r="28" spans="1:11" ht="16" x14ac:dyDescent="0.4">
      <c r="A28" s="149" t="s">
        <v>255</v>
      </c>
      <c r="B28" s="149"/>
      <c r="C28" s="149"/>
      <c r="D28" s="149"/>
      <c r="E28" s="149"/>
      <c r="F28" s="149"/>
      <c r="G28" s="149"/>
      <c r="H28" s="149"/>
      <c r="I28" s="78">
        <f>SUM(I22:I27)</f>
        <v>2213.4415440327075</v>
      </c>
      <c r="J28" s="15"/>
      <c r="K28" s="35" t="s">
        <v>256</v>
      </c>
    </row>
    <row r="29" spans="1:11" ht="16" x14ac:dyDescent="0.4">
      <c r="A29" s="72" t="s">
        <v>109</v>
      </c>
      <c r="B29" s="149" t="s">
        <v>110</v>
      </c>
      <c r="C29" s="149"/>
      <c r="D29" s="149"/>
      <c r="E29" s="149"/>
      <c r="F29" s="149"/>
      <c r="G29" s="149"/>
      <c r="H29" s="72" t="s">
        <v>101</v>
      </c>
      <c r="I29" s="72" t="s">
        <v>102</v>
      </c>
      <c r="J29" s="15"/>
      <c r="K29" s="35"/>
    </row>
    <row r="30" spans="1:11" ht="16" x14ac:dyDescent="0.4">
      <c r="A30" s="72" t="s">
        <v>21</v>
      </c>
      <c r="B30" s="147" t="s">
        <v>111</v>
      </c>
      <c r="C30" s="147"/>
      <c r="D30" s="147"/>
      <c r="E30" s="147"/>
      <c r="F30" s="147"/>
      <c r="G30" s="147"/>
      <c r="H30" s="75">
        <v>0.18229999999999999</v>
      </c>
      <c r="I30" s="76">
        <v>250.63</v>
      </c>
      <c r="J30" s="15"/>
      <c r="K30" s="35"/>
    </row>
    <row r="31" spans="1:11" ht="16" x14ac:dyDescent="0.4">
      <c r="A31" s="72" t="s">
        <v>23</v>
      </c>
      <c r="B31" s="147" t="s">
        <v>112</v>
      </c>
      <c r="C31" s="147"/>
      <c r="D31" s="147"/>
      <c r="E31" s="147"/>
      <c r="F31" s="147"/>
      <c r="G31" s="147"/>
      <c r="H31" s="75"/>
      <c r="I31" s="76">
        <v>6.09</v>
      </c>
      <c r="J31" s="15"/>
      <c r="K31" s="35"/>
    </row>
    <row r="32" spans="1:11" ht="16" x14ac:dyDescent="0.4">
      <c r="A32" s="72" t="s">
        <v>39</v>
      </c>
      <c r="B32" s="147" t="s">
        <v>257</v>
      </c>
      <c r="C32" s="147"/>
      <c r="D32" s="147"/>
      <c r="E32" s="147"/>
      <c r="F32" s="147"/>
      <c r="G32" s="147"/>
      <c r="H32" s="75"/>
      <c r="I32" s="76">
        <v>50.98</v>
      </c>
      <c r="J32" s="15"/>
      <c r="K32" s="35"/>
    </row>
    <row r="33" spans="1:12" ht="16" x14ac:dyDescent="0.4">
      <c r="A33" s="72" t="s">
        <v>41</v>
      </c>
      <c r="B33" s="147" t="s">
        <v>113</v>
      </c>
      <c r="C33" s="147"/>
      <c r="D33" s="147"/>
      <c r="E33" s="147"/>
      <c r="F33" s="147"/>
      <c r="G33" s="147"/>
      <c r="H33" s="75"/>
      <c r="I33" s="76">
        <v>185.39</v>
      </c>
      <c r="J33" s="15"/>
      <c r="K33" s="35"/>
    </row>
    <row r="34" spans="1:12" ht="16" x14ac:dyDescent="0.4">
      <c r="A34" s="149" t="s">
        <v>114</v>
      </c>
      <c r="B34" s="149"/>
      <c r="C34" s="149"/>
      <c r="D34" s="149"/>
      <c r="E34" s="149"/>
      <c r="F34" s="149"/>
      <c r="G34" s="149"/>
      <c r="H34" s="149"/>
      <c r="I34" s="78">
        <v>493.09</v>
      </c>
      <c r="J34" s="15"/>
      <c r="K34" s="35"/>
    </row>
    <row r="35" spans="1:12" ht="16" x14ac:dyDescent="0.4">
      <c r="A35" s="149" t="s">
        <v>115</v>
      </c>
      <c r="B35" s="149"/>
      <c r="C35" s="149"/>
      <c r="D35" s="149"/>
      <c r="E35" s="149"/>
      <c r="F35" s="149"/>
      <c r="G35" s="149"/>
      <c r="H35" s="149"/>
      <c r="I35" s="78">
        <v>2583.04</v>
      </c>
      <c r="K35" s="35" t="s">
        <v>258</v>
      </c>
    </row>
    <row r="36" spans="1:12" ht="15.5" x14ac:dyDescent="0.4">
      <c r="A36" s="133" t="s">
        <v>116</v>
      </c>
      <c r="B36" s="133"/>
      <c r="C36" s="133"/>
      <c r="D36" s="133"/>
      <c r="E36" s="133"/>
      <c r="F36" s="133"/>
      <c r="G36" s="133"/>
      <c r="H36" s="133"/>
      <c r="I36" s="133"/>
      <c r="K36" s="35" t="s">
        <v>259</v>
      </c>
    </row>
    <row r="37" spans="1:12" ht="16" x14ac:dyDescent="0.4">
      <c r="A37" s="149" t="s">
        <v>117</v>
      </c>
      <c r="B37" s="149"/>
      <c r="C37" s="149"/>
      <c r="D37" s="149"/>
      <c r="E37" s="149"/>
      <c r="F37" s="149"/>
      <c r="G37" s="149"/>
      <c r="H37" s="72" t="s">
        <v>101</v>
      </c>
      <c r="I37" s="72" t="s">
        <v>102</v>
      </c>
      <c r="K37" s="35" t="s">
        <v>260</v>
      </c>
    </row>
    <row r="38" spans="1:12" ht="16" x14ac:dyDescent="0.4">
      <c r="A38" s="72" t="s">
        <v>21</v>
      </c>
      <c r="B38" s="147" t="s">
        <v>118</v>
      </c>
      <c r="C38" s="147"/>
      <c r="D38" s="147"/>
      <c r="E38" s="147"/>
      <c r="F38" s="147"/>
      <c r="G38" s="147"/>
      <c r="H38" s="81">
        <v>8.3299999999999999E-2</v>
      </c>
      <c r="I38" s="76">
        <f>I28/12</f>
        <v>184.45346200272562</v>
      </c>
      <c r="K38" s="35" t="s">
        <v>261</v>
      </c>
    </row>
    <row r="39" spans="1:12" ht="16" x14ac:dyDescent="0.4">
      <c r="A39" s="72" t="s">
        <v>23</v>
      </c>
      <c r="B39" s="147" t="s">
        <v>119</v>
      </c>
      <c r="C39" s="147"/>
      <c r="D39" s="147"/>
      <c r="E39" s="147"/>
      <c r="F39" s="147"/>
      <c r="G39" s="147"/>
      <c r="H39" s="82"/>
      <c r="I39" s="76">
        <f>(I28/12)+ (I28/3)/12</f>
        <v>245.93794933696748</v>
      </c>
      <c r="K39" s="35"/>
    </row>
    <row r="40" spans="1:12" ht="16" x14ac:dyDescent="0.4">
      <c r="A40" s="149" t="s">
        <v>120</v>
      </c>
      <c r="B40" s="149"/>
      <c r="C40" s="149"/>
      <c r="D40" s="149"/>
      <c r="E40" s="149"/>
      <c r="F40" s="149"/>
      <c r="G40" s="149"/>
      <c r="H40" s="83"/>
      <c r="I40" s="84">
        <f>SUM(I38:I39)</f>
        <v>430.39141133969309</v>
      </c>
      <c r="K40" s="127" t="s">
        <v>262</v>
      </c>
    </row>
    <row r="41" spans="1:12" ht="15.5" x14ac:dyDescent="0.35">
      <c r="A41" s="151"/>
      <c r="B41" s="152"/>
      <c r="C41" s="152"/>
      <c r="D41" s="152"/>
      <c r="E41" s="152"/>
      <c r="F41" s="152"/>
      <c r="G41" s="152"/>
      <c r="H41" s="152"/>
      <c r="I41" s="152"/>
    </row>
    <row r="42" spans="1:12" ht="15.5" x14ac:dyDescent="0.35">
      <c r="A42" s="149" t="s">
        <v>121</v>
      </c>
      <c r="B42" s="149"/>
      <c r="C42" s="149"/>
      <c r="D42" s="149"/>
      <c r="E42" s="149"/>
      <c r="F42" s="149"/>
      <c r="G42" s="149"/>
      <c r="H42" s="72" t="s">
        <v>101</v>
      </c>
      <c r="I42" s="72" t="s">
        <v>102</v>
      </c>
    </row>
    <row r="43" spans="1:12" ht="15.5" x14ac:dyDescent="0.35">
      <c r="A43" s="72" t="s">
        <v>21</v>
      </c>
      <c r="B43" s="147" t="s">
        <v>122</v>
      </c>
      <c r="C43" s="147"/>
      <c r="D43" s="147"/>
      <c r="E43" s="147"/>
      <c r="F43" s="147"/>
      <c r="G43" s="147"/>
      <c r="H43" s="85">
        <v>0.2</v>
      </c>
      <c r="I43" s="76">
        <f>(I28+I40)*H43</f>
        <v>528.76659107448017</v>
      </c>
      <c r="K43" s="11"/>
      <c r="L43" s="9"/>
    </row>
    <row r="44" spans="1:12" ht="15.5" x14ac:dyDescent="0.35">
      <c r="A44" s="72" t="s">
        <v>23</v>
      </c>
      <c r="B44" s="147" t="s">
        <v>123</v>
      </c>
      <c r="C44" s="147"/>
      <c r="D44" s="147"/>
      <c r="E44" s="147"/>
      <c r="F44" s="147"/>
      <c r="G44" s="147"/>
      <c r="H44" s="85">
        <v>2.5000000000000001E-2</v>
      </c>
      <c r="I44" s="76">
        <f>(I28+I40)*H44</f>
        <v>66.095823884310022</v>
      </c>
      <c r="K44" s="12"/>
      <c r="L44" s="9"/>
    </row>
    <row r="45" spans="1:12" ht="15.5" x14ac:dyDescent="0.35">
      <c r="A45" s="72" t="s">
        <v>39</v>
      </c>
      <c r="B45" s="147" t="s">
        <v>124</v>
      </c>
      <c r="C45" s="147"/>
      <c r="D45" s="147"/>
      <c r="E45" s="147"/>
      <c r="F45" s="147"/>
      <c r="G45" s="147"/>
      <c r="H45" s="85">
        <v>0.03</v>
      </c>
      <c r="I45" s="76">
        <f>(I28+I40)*H45</f>
        <v>79.314988661172023</v>
      </c>
      <c r="K45" s="11"/>
    </row>
    <row r="46" spans="1:12" ht="15.5" x14ac:dyDescent="0.35">
      <c r="A46" s="72" t="s">
        <v>41</v>
      </c>
      <c r="B46" s="147" t="s">
        <v>125</v>
      </c>
      <c r="C46" s="147"/>
      <c r="D46" s="147"/>
      <c r="E46" s="147"/>
      <c r="F46" s="147"/>
      <c r="G46" s="147"/>
      <c r="H46" s="85">
        <v>1.4999999999999999E-2</v>
      </c>
      <c r="I46" s="76">
        <f>(I28+I40)*H46</f>
        <v>39.657494330586012</v>
      </c>
      <c r="K46" s="11"/>
    </row>
    <row r="47" spans="1:12" ht="15.5" x14ac:dyDescent="0.35">
      <c r="A47" s="72" t="s">
        <v>43</v>
      </c>
      <c r="B47" s="147" t="s">
        <v>126</v>
      </c>
      <c r="C47" s="147"/>
      <c r="D47" s="147"/>
      <c r="E47" s="147"/>
      <c r="F47" s="147"/>
      <c r="G47" s="147"/>
      <c r="H47" s="85">
        <v>0.01</v>
      </c>
      <c r="I47" s="76">
        <f>(I28+I40)*H47</f>
        <v>26.438329553724007</v>
      </c>
    </row>
    <row r="48" spans="1:12" ht="15.5" x14ac:dyDescent="0.35">
      <c r="A48" s="72" t="s">
        <v>45</v>
      </c>
      <c r="B48" s="147" t="s">
        <v>127</v>
      </c>
      <c r="C48" s="147"/>
      <c r="D48" s="147"/>
      <c r="E48" s="147"/>
      <c r="F48" s="147"/>
      <c r="G48" s="147"/>
      <c r="H48" s="85">
        <v>6.0000000000000001E-3</v>
      </c>
      <c r="I48" s="76">
        <f>(I28+I40)*H48</f>
        <v>15.862997732234405</v>
      </c>
    </row>
    <row r="49" spans="1:20" ht="15.5" x14ac:dyDescent="0.35">
      <c r="A49" s="72" t="s">
        <v>47</v>
      </c>
      <c r="B49" s="147" t="s">
        <v>128</v>
      </c>
      <c r="C49" s="147"/>
      <c r="D49" s="147"/>
      <c r="E49" s="147"/>
      <c r="F49" s="147"/>
      <c r="G49" s="147"/>
      <c r="H49" s="85">
        <v>2E-3</v>
      </c>
      <c r="I49" s="76">
        <f>(I28+I40)*H49</f>
        <v>5.287665910744801</v>
      </c>
    </row>
    <row r="50" spans="1:20" ht="15.5" x14ac:dyDescent="0.35">
      <c r="A50" s="72" t="s">
        <v>49</v>
      </c>
      <c r="B50" s="147" t="s">
        <v>129</v>
      </c>
      <c r="C50" s="147"/>
      <c r="D50" s="147"/>
      <c r="E50" s="147"/>
      <c r="F50" s="147"/>
      <c r="G50" s="147"/>
      <c r="H50" s="85">
        <v>0.08</v>
      </c>
      <c r="I50" s="76">
        <f>(I28+I40)*H50</f>
        <v>211.50663642979205</v>
      </c>
    </row>
    <row r="51" spans="1:20" ht="15.5" x14ac:dyDescent="0.35">
      <c r="A51" s="149" t="s">
        <v>130</v>
      </c>
      <c r="B51" s="149"/>
      <c r="C51" s="149"/>
      <c r="D51" s="149"/>
      <c r="E51" s="149"/>
      <c r="F51" s="149"/>
      <c r="G51" s="149"/>
      <c r="H51" s="86">
        <f>SUM(H43:H50)</f>
        <v>0.36800000000000005</v>
      </c>
      <c r="I51" s="78">
        <f>SUM(I43:I50)</f>
        <v>972.93052757704334</v>
      </c>
    </row>
    <row r="52" spans="1:20" ht="16" thickBot="1" x14ac:dyDescent="0.4">
      <c r="A52" s="162"/>
      <c r="B52" s="162"/>
      <c r="C52" s="162"/>
      <c r="D52" s="162"/>
      <c r="E52" s="162"/>
      <c r="F52" s="162"/>
      <c r="G52" s="162"/>
      <c r="H52" s="162"/>
      <c r="I52" s="163"/>
      <c r="K52" s="6"/>
    </row>
    <row r="53" spans="1:20" ht="16" thickBot="1" x14ac:dyDescent="0.4">
      <c r="A53" s="149" t="s">
        <v>131</v>
      </c>
      <c r="B53" s="149"/>
      <c r="C53" s="149"/>
      <c r="D53" s="149"/>
      <c r="E53" s="149"/>
      <c r="F53" s="149"/>
      <c r="G53" s="149"/>
      <c r="H53" s="83"/>
      <c r="I53" s="72" t="s">
        <v>102</v>
      </c>
      <c r="K53" s="157" t="s">
        <v>132</v>
      </c>
      <c r="L53" s="158"/>
      <c r="M53" s="158"/>
      <c r="N53" s="158"/>
      <c r="O53" s="159"/>
      <c r="Q53" s="157" t="s">
        <v>133</v>
      </c>
      <c r="R53" s="158"/>
      <c r="S53" s="158"/>
      <c r="T53" s="159"/>
    </row>
    <row r="54" spans="1:20" ht="14.25" customHeight="1" x14ac:dyDescent="0.35">
      <c r="A54" s="72" t="s">
        <v>21</v>
      </c>
      <c r="B54" s="153" t="s">
        <v>134</v>
      </c>
      <c r="C54" s="153"/>
      <c r="D54" s="153"/>
      <c r="E54" s="153"/>
      <c r="F54" s="153"/>
      <c r="G54" s="153"/>
      <c r="H54" s="66" t="s">
        <v>80</v>
      </c>
      <c r="I54" s="89">
        <f>O55-N58</f>
        <v>69.594400000000007</v>
      </c>
      <c r="J54" s="18"/>
      <c r="K54" s="21" t="s">
        <v>135</v>
      </c>
      <c r="L54" s="22" t="s">
        <v>136</v>
      </c>
      <c r="M54" s="23" t="s">
        <v>137</v>
      </c>
      <c r="N54" s="23" t="s">
        <v>138</v>
      </c>
      <c r="O54" s="24" t="s">
        <v>139</v>
      </c>
      <c r="Q54" s="21" t="s">
        <v>140</v>
      </c>
      <c r="R54" s="22" t="s">
        <v>141</v>
      </c>
      <c r="S54" s="23" t="s">
        <v>138</v>
      </c>
      <c r="T54" s="24" t="s">
        <v>139</v>
      </c>
    </row>
    <row r="55" spans="1:20" ht="16" thickBot="1" x14ac:dyDescent="0.4">
      <c r="A55" s="72" t="s">
        <v>23</v>
      </c>
      <c r="B55" s="154" t="s">
        <v>142</v>
      </c>
      <c r="C55" s="155"/>
      <c r="D55" s="155"/>
      <c r="E55" s="155"/>
      <c r="F55" s="155"/>
      <c r="G55" s="156"/>
      <c r="H55" s="66" t="s">
        <v>80</v>
      </c>
      <c r="I55" s="89">
        <f>T55</f>
        <v>243.33279999999999</v>
      </c>
      <c r="K55" s="19" t="s">
        <v>247</v>
      </c>
      <c r="L55" s="20">
        <v>5</v>
      </c>
      <c r="M55" s="20">
        <v>2</v>
      </c>
      <c r="N55" s="20">
        <v>15.208299999999999</v>
      </c>
      <c r="O55" s="25">
        <f>L55*M55*N55</f>
        <v>152.083</v>
      </c>
      <c r="Q55" s="19" t="s">
        <v>247</v>
      </c>
      <c r="R55" s="20">
        <v>16</v>
      </c>
      <c r="S55" s="20">
        <v>15.208299999999999</v>
      </c>
      <c r="T55" s="25">
        <f>R55*S55</f>
        <v>243.33279999999999</v>
      </c>
    </row>
    <row r="56" spans="1:20" ht="16.5" customHeight="1" thickBot="1" x14ac:dyDescent="0.4">
      <c r="A56" s="72" t="s">
        <v>39</v>
      </c>
      <c r="B56" s="153" t="s">
        <v>143</v>
      </c>
      <c r="C56" s="153"/>
      <c r="D56" s="153"/>
      <c r="E56" s="153"/>
      <c r="F56" s="153"/>
      <c r="G56" s="153"/>
      <c r="H56" s="66" t="s">
        <v>80</v>
      </c>
      <c r="I56" s="89">
        <v>198.07</v>
      </c>
      <c r="K56" s="157" t="s">
        <v>144</v>
      </c>
      <c r="L56" s="158"/>
      <c r="M56" s="158"/>
      <c r="N56" s="158"/>
      <c r="O56" s="159"/>
      <c r="Q56" s="157" t="s">
        <v>145</v>
      </c>
      <c r="R56" s="158"/>
      <c r="S56" s="158"/>
      <c r="T56" s="159"/>
    </row>
    <row r="57" spans="1:20" ht="15" customHeight="1" x14ac:dyDescent="0.35">
      <c r="A57" s="72" t="s">
        <v>41</v>
      </c>
      <c r="B57" s="153" t="s">
        <v>263</v>
      </c>
      <c r="C57" s="153"/>
      <c r="D57" s="153"/>
      <c r="E57" s="153"/>
      <c r="F57" s="153"/>
      <c r="G57" s="153"/>
      <c r="H57" s="66" t="s">
        <v>80</v>
      </c>
      <c r="I57" s="89">
        <v>11.41</v>
      </c>
      <c r="K57" s="21" t="s">
        <v>147</v>
      </c>
      <c r="L57" s="22" t="s">
        <v>148</v>
      </c>
      <c r="M57" s="23" t="s">
        <v>149</v>
      </c>
      <c r="N57" s="160" t="s">
        <v>150</v>
      </c>
      <c r="O57" s="161"/>
      <c r="Q57" s="21" t="s">
        <v>140</v>
      </c>
      <c r="R57" s="22" t="s">
        <v>148</v>
      </c>
      <c r="S57" s="23" t="s">
        <v>149</v>
      </c>
      <c r="T57" s="24" t="s">
        <v>139</v>
      </c>
    </row>
    <row r="58" spans="1:20" ht="16" thickBot="1" x14ac:dyDescent="0.4">
      <c r="A58" s="149" t="s">
        <v>151</v>
      </c>
      <c r="B58" s="149"/>
      <c r="C58" s="149"/>
      <c r="D58" s="149"/>
      <c r="E58" s="149"/>
      <c r="F58" s="149"/>
      <c r="G58" s="149"/>
      <c r="H58" s="149"/>
      <c r="I58" s="78">
        <f>SUM(I54:I57)</f>
        <v>522.40719999999999</v>
      </c>
      <c r="K58" s="19" t="s">
        <v>247</v>
      </c>
      <c r="L58" s="27">
        <f>I22</f>
        <v>1374.81</v>
      </c>
      <c r="M58" s="26">
        <v>0.06</v>
      </c>
      <c r="N58" s="169">
        <f>L58*M58</f>
        <v>82.488599999999991</v>
      </c>
      <c r="O58" s="170"/>
      <c r="Q58" s="19" t="s">
        <v>247</v>
      </c>
      <c r="R58" s="27">
        <f>T55</f>
        <v>243.33279999999999</v>
      </c>
      <c r="S58" s="26">
        <v>0.15</v>
      </c>
      <c r="T58" s="25">
        <f>R58*S58</f>
        <v>36.499919999999996</v>
      </c>
    </row>
    <row r="59" spans="1:20" ht="15.5" x14ac:dyDescent="0.35">
      <c r="A59" s="162"/>
      <c r="B59" s="162"/>
      <c r="C59" s="162"/>
      <c r="D59" s="162"/>
      <c r="E59" s="162"/>
      <c r="F59" s="162"/>
      <c r="G59" s="162"/>
      <c r="H59" s="162"/>
      <c r="I59" s="163"/>
    </row>
    <row r="60" spans="1:20" ht="15.5" x14ac:dyDescent="0.3">
      <c r="A60" s="133" t="s">
        <v>152</v>
      </c>
      <c r="B60" s="133"/>
      <c r="C60" s="133"/>
      <c r="D60" s="133"/>
      <c r="E60" s="133"/>
      <c r="F60" s="133"/>
      <c r="G60" s="133"/>
      <c r="H60" s="133"/>
      <c r="I60" s="133"/>
      <c r="K60" s="171"/>
      <c r="L60" s="171"/>
      <c r="M60" s="171"/>
      <c r="N60" s="171"/>
      <c r="O60" s="171"/>
    </row>
    <row r="61" spans="1:20" ht="15.5" x14ac:dyDescent="0.35">
      <c r="A61" s="172" t="s">
        <v>153</v>
      </c>
      <c r="B61" s="173"/>
      <c r="C61" s="173"/>
      <c r="D61" s="173"/>
      <c r="E61" s="173"/>
      <c r="F61" s="173"/>
      <c r="G61" s="173"/>
      <c r="H61" s="174"/>
      <c r="I61" s="72" t="s">
        <v>102</v>
      </c>
      <c r="K61" s="28"/>
      <c r="L61" s="2"/>
      <c r="M61" s="28"/>
      <c r="N61" s="28"/>
      <c r="O61" s="28"/>
    </row>
    <row r="62" spans="1:20" ht="15.5" x14ac:dyDescent="0.35">
      <c r="A62" s="72" t="s">
        <v>154</v>
      </c>
      <c r="B62" s="164" t="s">
        <v>155</v>
      </c>
      <c r="C62" s="165"/>
      <c r="D62" s="165"/>
      <c r="E62" s="165"/>
      <c r="F62" s="165"/>
      <c r="G62" s="165"/>
      <c r="H62" s="166"/>
      <c r="I62" s="76">
        <f>I40</f>
        <v>430.39141133969309</v>
      </c>
      <c r="O62" s="15"/>
    </row>
    <row r="63" spans="1:20" ht="15.5" x14ac:dyDescent="0.35">
      <c r="A63" s="72" t="s">
        <v>156</v>
      </c>
      <c r="B63" s="148" t="s">
        <v>157</v>
      </c>
      <c r="C63" s="148"/>
      <c r="D63" s="148"/>
      <c r="E63" s="148"/>
      <c r="F63" s="148"/>
      <c r="G63" s="148"/>
      <c r="H63" s="148"/>
      <c r="I63" s="74">
        <f>I51</f>
        <v>972.93052757704334</v>
      </c>
    </row>
    <row r="64" spans="1:20" ht="15.5" x14ac:dyDescent="0.35">
      <c r="A64" s="72" t="s">
        <v>158</v>
      </c>
      <c r="B64" s="148" t="s">
        <v>159</v>
      </c>
      <c r="C64" s="148"/>
      <c r="D64" s="148"/>
      <c r="E64" s="148"/>
      <c r="F64" s="148"/>
      <c r="G64" s="148"/>
      <c r="H64" s="148"/>
      <c r="I64" s="74">
        <f>I58</f>
        <v>522.40719999999999</v>
      </c>
    </row>
    <row r="65" spans="1:15" ht="15.5" x14ac:dyDescent="0.35">
      <c r="A65" s="149" t="s">
        <v>160</v>
      </c>
      <c r="B65" s="149"/>
      <c r="C65" s="149"/>
      <c r="D65" s="149"/>
      <c r="E65" s="149"/>
      <c r="F65" s="149"/>
      <c r="G65" s="149"/>
      <c r="H65" s="149"/>
      <c r="I65" s="78">
        <f>SUM(I62:I64)</f>
        <v>1925.7291389167362</v>
      </c>
    </row>
    <row r="66" spans="1:15" ht="15.5" x14ac:dyDescent="0.35">
      <c r="A66" s="167"/>
      <c r="B66" s="168"/>
      <c r="C66" s="168"/>
      <c r="D66" s="168"/>
      <c r="E66" s="168"/>
      <c r="F66" s="168"/>
      <c r="G66" s="168"/>
      <c r="H66" s="168"/>
      <c r="I66" s="168"/>
    </row>
    <row r="67" spans="1:15" ht="15.5" x14ac:dyDescent="0.3">
      <c r="A67" s="133" t="s">
        <v>161</v>
      </c>
      <c r="B67" s="133"/>
      <c r="C67" s="133"/>
      <c r="D67" s="133"/>
      <c r="E67" s="133"/>
      <c r="F67" s="133"/>
      <c r="G67" s="133"/>
      <c r="H67" s="133"/>
      <c r="I67" s="133"/>
      <c r="K67" s="175" t="s">
        <v>162</v>
      </c>
      <c r="L67" s="176"/>
      <c r="M67" s="2" t="s">
        <v>163</v>
      </c>
      <c r="N67" s="2"/>
    </row>
    <row r="68" spans="1:15" ht="15.5" x14ac:dyDescent="0.35">
      <c r="A68" s="72">
        <v>3</v>
      </c>
      <c r="B68" s="149" t="s">
        <v>164</v>
      </c>
      <c r="C68" s="149"/>
      <c r="D68" s="149"/>
      <c r="E68" s="149"/>
      <c r="F68" s="149"/>
      <c r="G68" s="149"/>
      <c r="H68" s="72" t="s">
        <v>101</v>
      </c>
      <c r="I68" s="72" t="s">
        <v>102</v>
      </c>
      <c r="K68" s="7" t="s">
        <v>165</v>
      </c>
      <c r="L68" s="7" t="s">
        <v>149</v>
      </c>
      <c r="M68" s="5" t="s">
        <v>166</v>
      </c>
    </row>
    <row r="69" spans="1:15" ht="15.5" x14ac:dyDescent="0.35">
      <c r="A69" s="72" t="s">
        <v>21</v>
      </c>
      <c r="B69" s="147" t="s">
        <v>30</v>
      </c>
      <c r="C69" s="147"/>
      <c r="D69" s="147"/>
      <c r="E69" s="147"/>
      <c r="F69" s="147"/>
      <c r="G69" s="147"/>
      <c r="H69" s="81"/>
      <c r="I69" s="76">
        <f>((I28)/12)*37.01%</f>
        <v>68.266226287208752</v>
      </c>
      <c r="K69" s="10" t="s">
        <v>167</v>
      </c>
      <c r="L69" s="1" t="s">
        <v>168</v>
      </c>
      <c r="M69" s="5" t="s">
        <v>169</v>
      </c>
      <c r="N69" s="5"/>
    </row>
    <row r="70" spans="1:15" ht="15.5" x14ac:dyDescent="0.35">
      <c r="A70" s="72" t="s">
        <v>23</v>
      </c>
      <c r="B70" s="147" t="s">
        <v>170</v>
      </c>
      <c r="C70" s="147"/>
      <c r="D70" s="147"/>
      <c r="E70" s="147"/>
      <c r="F70" s="147"/>
      <c r="G70" s="147"/>
      <c r="H70" s="90"/>
      <c r="I70" s="76">
        <f>I69*8%</f>
        <v>5.4612981029767003</v>
      </c>
      <c r="K70" s="10" t="s">
        <v>171</v>
      </c>
      <c r="L70" s="8" t="s">
        <v>172</v>
      </c>
      <c r="M70" s="15">
        <f>((I28+I62+I64+I50)/12)*37.01%</f>
        <v>104.17534063716597</v>
      </c>
      <c r="O70" s="15"/>
    </row>
    <row r="71" spans="1:15" ht="15.5" x14ac:dyDescent="0.35">
      <c r="A71" s="72" t="s">
        <v>39</v>
      </c>
      <c r="B71" s="147" t="s">
        <v>173</v>
      </c>
      <c r="C71" s="147"/>
      <c r="D71" s="147"/>
      <c r="E71" s="147"/>
      <c r="F71" s="147"/>
      <c r="G71" s="147"/>
      <c r="H71" s="91"/>
      <c r="I71" s="76">
        <f>(I50*40%)*37.01%</f>
        <v>31.311442457066416</v>
      </c>
      <c r="K71" s="10" t="s">
        <v>174</v>
      </c>
      <c r="L71" s="1">
        <v>0.2382</v>
      </c>
      <c r="M71" s="5" t="s">
        <v>175</v>
      </c>
      <c r="N71" s="5"/>
    </row>
    <row r="72" spans="1:15" ht="15" customHeight="1" x14ac:dyDescent="0.35">
      <c r="A72" s="92" t="s">
        <v>41</v>
      </c>
      <c r="B72" s="177" t="s">
        <v>176</v>
      </c>
      <c r="C72" s="177"/>
      <c r="D72" s="177"/>
      <c r="E72" s="177"/>
      <c r="F72" s="177"/>
      <c r="G72" s="177"/>
      <c r="H72" s="81"/>
      <c r="I72" s="76">
        <f>(I28/30)/12*7*37.01%</f>
        <v>15.928786133682044</v>
      </c>
      <c r="K72" s="178" t="s">
        <v>177</v>
      </c>
      <c r="L72" s="179"/>
      <c r="M72" s="15">
        <f>I50*40%</f>
        <v>84.60265457191683</v>
      </c>
      <c r="N72" s="15">
        <f>44.91*37.01%</f>
        <v>16.621191</v>
      </c>
    </row>
    <row r="73" spans="1:15" ht="15.5" x14ac:dyDescent="0.35">
      <c r="A73" s="72" t="s">
        <v>43</v>
      </c>
      <c r="B73" s="147" t="s">
        <v>178</v>
      </c>
      <c r="C73" s="147"/>
      <c r="D73" s="147"/>
      <c r="E73" s="147"/>
      <c r="F73" s="147"/>
      <c r="G73" s="147"/>
      <c r="H73" s="82"/>
      <c r="I73" s="76">
        <f>(I72*H51)</f>
        <v>5.8617932971949926</v>
      </c>
      <c r="L73" s="18"/>
      <c r="M73" s="2" t="s">
        <v>179</v>
      </c>
      <c r="N73" s="2"/>
    </row>
    <row r="74" spans="1:15" ht="15.5" x14ac:dyDescent="0.35">
      <c r="A74" s="72" t="s">
        <v>45</v>
      </c>
      <c r="B74" s="147" t="s">
        <v>180</v>
      </c>
      <c r="C74" s="147"/>
      <c r="D74" s="147"/>
      <c r="E74" s="147"/>
      <c r="F74" s="147"/>
      <c r="G74" s="147"/>
      <c r="H74" s="91"/>
      <c r="I74" s="76">
        <f>(I50*40%)*37.01%</f>
        <v>31.311442457066416</v>
      </c>
      <c r="M74" s="5" t="s">
        <v>166</v>
      </c>
    </row>
    <row r="75" spans="1:15" ht="15.5" x14ac:dyDescent="0.35">
      <c r="A75" s="149" t="s">
        <v>181</v>
      </c>
      <c r="B75" s="149"/>
      <c r="C75" s="149"/>
      <c r="D75" s="149"/>
      <c r="E75" s="149"/>
      <c r="F75" s="149"/>
      <c r="G75" s="149"/>
      <c r="H75" s="83"/>
      <c r="I75" s="84">
        <f>SUM(I69:I74)</f>
        <v>158.14098873519532</v>
      </c>
      <c r="M75" s="5" t="s">
        <v>182</v>
      </c>
      <c r="N75" s="5"/>
    </row>
    <row r="76" spans="1:15" ht="15.5" x14ac:dyDescent="0.35">
      <c r="A76" s="172"/>
      <c r="B76" s="173"/>
      <c r="C76" s="173"/>
      <c r="D76" s="173"/>
      <c r="E76" s="173"/>
      <c r="F76" s="173"/>
      <c r="G76" s="173"/>
      <c r="H76" s="173"/>
      <c r="I76" s="173"/>
      <c r="K76">
        <v>76.510000000000005</v>
      </c>
      <c r="M76" s="15">
        <f>(I28+I65)/12</f>
        <v>344.93089024578694</v>
      </c>
      <c r="N76">
        <f>M76*37.01%</f>
        <v>127.65892247996574</v>
      </c>
    </row>
    <row r="77" spans="1:15" ht="15.5" x14ac:dyDescent="0.3">
      <c r="A77" s="133" t="s">
        <v>183</v>
      </c>
      <c r="B77" s="133"/>
      <c r="C77" s="133"/>
      <c r="D77" s="133"/>
      <c r="E77" s="133"/>
      <c r="F77" s="133"/>
      <c r="G77" s="133"/>
      <c r="H77" s="133"/>
      <c r="I77" s="133"/>
      <c r="M77" s="5" t="s">
        <v>175</v>
      </c>
      <c r="N77" s="5"/>
    </row>
    <row r="78" spans="1:15" ht="15.5" x14ac:dyDescent="0.35">
      <c r="A78" s="149" t="s">
        <v>184</v>
      </c>
      <c r="B78" s="149"/>
      <c r="C78" s="149"/>
      <c r="D78" s="149"/>
      <c r="E78" s="149"/>
      <c r="F78" s="149"/>
      <c r="G78" s="149"/>
      <c r="H78" s="72" t="s">
        <v>101</v>
      </c>
      <c r="I78" s="72" t="s">
        <v>102</v>
      </c>
      <c r="M78" s="15">
        <f>I50*40%</f>
        <v>84.60265457191683</v>
      </c>
      <c r="N78" s="15">
        <f>M78*37.01%</f>
        <v>31.311442457066416</v>
      </c>
    </row>
    <row r="79" spans="1:15" ht="33.75" customHeight="1" x14ac:dyDescent="0.35">
      <c r="A79" s="72" t="s">
        <v>21</v>
      </c>
      <c r="B79" s="191" t="s">
        <v>185</v>
      </c>
      <c r="C79" s="191"/>
      <c r="D79" s="191"/>
      <c r="E79" s="191"/>
      <c r="F79" s="191"/>
      <c r="G79" s="191"/>
      <c r="H79" s="81"/>
      <c r="I79" s="76">
        <v>0</v>
      </c>
    </row>
    <row r="80" spans="1:15" ht="15.5" x14ac:dyDescent="0.35">
      <c r="A80" s="72" t="s">
        <v>23</v>
      </c>
      <c r="B80" s="147" t="s">
        <v>186</v>
      </c>
      <c r="C80" s="147"/>
      <c r="D80" s="147"/>
      <c r="E80" s="147"/>
      <c r="F80" s="147"/>
      <c r="G80" s="147"/>
      <c r="H80" s="81"/>
      <c r="I80" s="76">
        <f>(I28/30)/12*1</f>
        <v>6.1484487334241882</v>
      </c>
      <c r="K80" s="15"/>
    </row>
    <row r="81" spans="1:14" ht="15.5" x14ac:dyDescent="0.35">
      <c r="A81" s="72" t="s">
        <v>39</v>
      </c>
      <c r="B81" s="147" t="s">
        <v>187</v>
      </c>
      <c r="C81" s="147"/>
      <c r="D81" s="147"/>
      <c r="E81" s="147"/>
      <c r="F81" s="147"/>
      <c r="G81" s="147"/>
      <c r="H81" s="81"/>
      <c r="I81" s="76">
        <f>((I28/30)/12*20)*0.05</f>
        <v>6.1484487334241891</v>
      </c>
    </row>
    <row r="82" spans="1:14" ht="20" x14ac:dyDescent="0.35">
      <c r="A82" s="72" t="s">
        <v>41</v>
      </c>
      <c r="B82" s="147" t="s">
        <v>188</v>
      </c>
      <c r="C82" s="147"/>
      <c r="D82" s="147"/>
      <c r="E82" s="147"/>
      <c r="F82" s="147"/>
      <c r="G82" s="147"/>
      <c r="H82" s="81"/>
      <c r="I82" s="76">
        <f>(I28/30)/12*15*0.0922</f>
        <v>8.5033045983256521</v>
      </c>
      <c r="K82" s="31"/>
    </row>
    <row r="83" spans="1:14" ht="17.5" x14ac:dyDescent="0.35">
      <c r="A83" s="72" t="s">
        <v>43</v>
      </c>
      <c r="B83" s="147" t="s">
        <v>189</v>
      </c>
      <c r="C83" s="147"/>
      <c r="D83" s="147"/>
      <c r="E83" s="147"/>
      <c r="F83" s="147"/>
      <c r="G83" s="147"/>
      <c r="H83" s="81"/>
      <c r="I83" s="76">
        <v>2.91</v>
      </c>
      <c r="K83" s="30"/>
      <c r="N83" s="33"/>
    </row>
    <row r="84" spans="1:14" ht="17.5" x14ac:dyDescent="0.35">
      <c r="A84" s="72" t="s">
        <v>45</v>
      </c>
      <c r="B84" s="147" t="s">
        <v>107</v>
      </c>
      <c r="C84" s="147"/>
      <c r="D84" s="147"/>
      <c r="E84" s="147"/>
      <c r="F84" s="147"/>
      <c r="G84" s="147"/>
      <c r="H84" s="81"/>
      <c r="I84" s="76">
        <v>0</v>
      </c>
      <c r="K84" s="32"/>
    </row>
    <row r="85" spans="1:14" ht="20" x14ac:dyDescent="0.35">
      <c r="A85" s="72" t="s">
        <v>47</v>
      </c>
      <c r="B85" s="180" t="s">
        <v>190</v>
      </c>
      <c r="C85" s="180"/>
      <c r="D85" s="180"/>
      <c r="E85" s="180"/>
      <c r="F85" s="180"/>
      <c r="G85" s="180"/>
      <c r="H85" s="81"/>
      <c r="I85" s="76">
        <f>(I79+I80+I81+I82+I83+I84)*H51</f>
        <v>8.7253543599840437</v>
      </c>
      <c r="K85" s="31"/>
      <c r="N85" s="34"/>
    </row>
    <row r="86" spans="1:14" ht="17.5" x14ac:dyDescent="0.35">
      <c r="A86" s="149" t="s">
        <v>191</v>
      </c>
      <c r="B86" s="149"/>
      <c r="C86" s="149"/>
      <c r="D86" s="149"/>
      <c r="E86" s="149"/>
      <c r="F86" s="149"/>
      <c r="G86" s="149"/>
      <c r="H86" s="83"/>
      <c r="I86" s="84">
        <f>SUM(I79:I85)</f>
        <v>32.435556425158076</v>
      </c>
      <c r="N86" s="33"/>
    </row>
    <row r="87" spans="1:14" ht="15.5" x14ac:dyDescent="0.35">
      <c r="A87" s="181"/>
      <c r="B87" s="182"/>
      <c r="C87" s="182"/>
      <c r="D87" s="182"/>
      <c r="E87" s="182"/>
      <c r="F87" s="182"/>
      <c r="G87" s="182"/>
      <c r="H87" s="182"/>
      <c r="I87" s="182"/>
      <c r="K87" s="15"/>
    </row>
    <row r="88" spans="1:14" ht="15.5" x14ac:dyDescent="0.35">
      <c r="A88" s="149" t="s">
        <v>192</v>
      </c>
      <c r="B88" s="149"/>
      <c r="C88" s="149"/>
      <c r="D88" s="149"/>
      <c r="E88" s="149"/>
      <c r="F88" s="149"/>
      <c r="G88" s="149"/>
      <c r="H88" s="72" t="s">
        <v>101</v>
      </c>
      <c r="I88" s="72" t="s">
        <v>102</v>
      </c>
    </row>
    <row r="89" spans="1:14" ht="15.5" x14ac:dyDescent="0.35">
      <c r="A89" s="72" t="s">
        <v>21</v>
      </c>
      <c r="B89" s="147" t="s">
        <v>193</v>
      </c>
      <c r="C89" s="147"/>
      <c r="D89" s="147"/>
      <c r="E89" s="147"/>
      <c r="F89" s="147"/>
      <c r="G89" s="147"/>
      <c r="H89" s="81"/>
      <c r="I89" s="76">
        <v>0</v>
      </c>
    </row>
    <row r="90" spans="1:14" ht="15.5" x14ac:dyDescent="0.35">
      <c r="A90" s="149" t="s">
        <v>194</v>
      </c>
      <c r="B90" s="149"/>
      <c r="C90" s="149"/>
      <c r="D90" s="149"/>
      <c r="E90" s="149"/>
      <c r="F90" s="149"/>
      <c r="G90" s="149"/>
      <c r="H90" s="83"/>
      <c r="I90" s="84">
        <f>SUM(I89)</f>
        <v>0</v>
      </c>
    </row>
    <row r="91" spans="1:14" ht="15.5" x14ac:dyDescent="0.35">
      <c r="A91" s="184"/>
      <c r="B91" s="185"/>
      <c r="C91" s="185"/>
      <c r="D91" s="185"/>
      <c r="E91" s="185"/>
      <c r="F91" s="185"/>
      <c r="G91" s="185"/>
      <c r="H91" s="185"/>
      <c r="I91" s="185"/>
    </row>
    <row r="92" spans="1:14" ht="15.5" x14ac:dyDescent="0.25">
      <c r="A92" s="133" t="s">
        <v>195</v>
      </c>
      <c r="B92" s="133"/>
      <c r="C92" s="133"/>
      <c r="D92" s="133"/>
      <c r="E92" s="133"/>
      <c r="F92" s="133"/>
      <c r="G92" s="133"/>
      <c r="H92" s="133"/>
      <c r="I92" s="133"/>
    </row>
    <row r="93" spans="1:14" ht="15.5" x14ac:dyDescent="0.35">
      <c r="A93" s="149" t="s">
        <v>35</v>
      </c>
      <c r="B93" s="149"/>
      <c r="C93" s="149"/>
      <c r="D93" s="149"/>
      <c r="E93" s="149"/>
      <c r="F93" s="149"/>
      <c r="G93" s="149"/>
      <c r="H93" s="149"/>
      <c r="I93" s="72" t="s">
        <v>102</v>
      </c>
    </row>
    <row r="94" spans="1:14" ht="15.5" x14ac:dyDescent="0.35">
      <c r="A94" s="72" t="s">
        <v>196</v>
      </c>
      <c r="B94" s="148" t="s">
        <v>197</v>
      </c>
      <c r="C94" s="148"/>
      <c r="D94" s="148"/>
      <c r="E94" s="148"/>
      <c r="F94" s="148"/>
      <c r="G94" s="148"/>
      <c r="H94" s="148"/>
      <c r="I94" s="76">
        <f>SUM(I86)</f>
        <v>32.435556425158076</v>
      </c>
    </row>
    <row r="95" spans="1:14" ht="15.5" x14ac:dyDescent="0.35">
      <c r="A95" s="72" t="s">
        <v>198</v>
      </c>
      <c r="B95" s="148" t="s">
        <v>199</v>
      </c>
      <c r="C95" s="148"/>
      <c r="D95" s="148"/>
      <c r="E95" s="148"/>
      <c r="F95" s="148"/>
      <c r="G95" s="148"/>
      <c r="H95" s="148"/>
      <c r="I95" s="76">
        <f>I90</f>
        <v>0</v>
      </c>
    </row>
    <row r="96" spans="1:14" ht="15.5" x14ac:dyDescent="0.35">
      <c r="A96" s="149" t="s">
        <v>200</v>
      </c>
      <c r="B96" s="149"/>
      <c r="C96" s="149"/>
      <c r="D96" s="149"/>
      <c r="E96" s="149"/>
      <c r="F96" s="149"/>
      <c r="G96" s="149"/>
      <c r="H96" s="149"/>
      <c r="I96" s="84">
        <f>SUM(I94:I95)</f>
        <v>32.435556425158076</v>
      </c>
    </row>
    <row r="97" spans="1:11" ht="15.5" x14ac:dyDescent="0.35">
      <c r="A97" s="167"/>
      <c r="B97" s="168"/>
      <c r="C97" s="168"/>
      <c r="D97" s="168"/>
      <c r="E97" s="168"/>
      <c r="F97" s="168"/>
      <c r="G97" s="168"/>
      <c r="H97" s="168"/>
      <c r="I97" s="168"/>
    </row>
    <row r="98" spans="1:11" ht="15.5" x14ac:dyDescent="0.25">
      <c r="A98" s="133" t="s">
        <v>201</v>
      </c>
      <c r="B98" s="133"/>
      <c r="C98" s="133"/>
      <c r="D98" s="133"/>
      <c r="E98" s="133"/>
      <c r="F98" s="133"/>
      <c r="G98" s="133"/>
      <c r="H98" s="133"/>
      <c r="I98" s="133"/>
    </row>
    <row r="99" spans="1:11" ht="15.5" x14ac:dyDescent="0.35">
      <c r="A99" s="72">
        <v>5</v>
      </c>
      <c r="B99" s="149" t="s">
        <v>202</v>
      </c>
      <c r="C99" s="149"/>
      <c r="D99" s="149"/>
      <c r="E99" s="149"/>
      <c r="F99" s="149"/>
      <c r="G99" s="149"/>
      <c r="H99" s="72"/>
      <c r="I99" s="72" t="s">
        <v>102</v>
      </c>
    </row>
    <row r="100" spans="1:11" ht="15.5" x14ac:dyDescent="0.35">
      <c r="A100" s="72" t="s">
        <v>21</v>
      </c>
      <c r="B100" s="153" t="s">
        <v>203</v>
      </c>
      <c r="C100" s="153"/>
      <c r="D100" s="153"/>
      <c r="E100" s="153"/>
      <c r="F100" s="153"/>
      <c r="G100" s="153"/>
      <c r="H100" s="66" t="s">
        <v>80</v>
      </c>
      <c r="I100" s="76">
        <f>'MATERIAIS, EQUIPAMENTOS UNIFORM'!E25</f>
        <v>53.333333333333336</v>
      </c>
    </row>
    <row r="101" spans="1:11" ht="15.5" x14ac:dyDescent="0.35">
      <c r="A101" s="72" t="s">
        <v>23</v>
      </c>
      <c r="B101" s="153" t="s">
        <v>204</v>
      </c>
      <c r="C101" s="153"/>
      <c r="D101" s="153"/>
      <c r="E101" s="153"/>
      <c r="F101" s="153"/>
      <c r="G101" s="153"/>
      <c r="H101" s="66" t="s">
        <v>80</v>
      </c>
      <c r="I101" s="74">
        <f>'MATERIAIS, EQUIPAMENTOS UNIFORM'!E51</f>
        <v>40.99916666666666</v>
      </c>
    </row>
    <row r="102" spans="1:11" ht="15.5" x14ac:dyDescent="0.35">
      <c r="A102" s="87" t="s">
        <v>39</v>
      </c>
      <c r="B102" s="153" t="s">
        <v>205</v>
      </c>
      <c r="C102" s="153"/>
      <c r="D102" s="153"/>
      <c r="E102" s="153"/>
      <c r="F102" s="153"/>
      <c r="G102" s="153"/>
      <c r="H102" s="66" t="s">
        <v>80</v>
      </c>
      <c r="I102" s="74">
        <f>+'MATERIAIS, EQUIPAMENTOS UNIFORM'!E56+'MATERIAIS, EQUIPAMENTOS UNIFORM'!E61+'MATERIAIS, EQUIPAMENTOS UNIFORM'!E67</f>
        <v>41.736458333333331</v>
      </c>
    </row>
    <row r="103" spans="1:11" ht="15.5" x14ac:dyDescent="0.35">
      <c r="A103" s="87" t="s">
        <v>41</v>
      </c>
      <c r="B103" s="153" t="s">
        <v>107</v>
      </c>
      <c r="C103" s="153"/>
      <c r="D103" s="153"/>
      <c r="E103" s="153"/>
      <c r="F103" s="153"/>
      <c r="G103" s="153"/>
      <c r="H103" s="66" t="s">
        <v>80</v>
      </c>
      <c r="I103" s="74">
        <v>0</v>
      </c>
    </row>
    <row r="104" spans="1:11" ht="15.5" x14ac:dyDescent="0.35">
      <c r="A104" s="149" t="s">
        <v>206</v>
      </c>
      <c r="B104" s="149"/>
      <c r="C104" s="149"/>
      <c r="D104" s="149"/>
      <c r="E104" s="149"/>
      <c r="F104" s="149"/>
      <c r="G104" s="149"/>
      <c r="H104" s="83" t="s">
        <v>80</v>
      </c>
      <c r="I104" s="78">
        <f>SUM(I100:I103)</f>
        <v>136.06895833333334</v>
      </c>
    </row>
    <row r="105" spans="1:11" ht="15.5" x14ac:dyDescent="0.35">
      <c r="A105" s="167"/>
      <c r="B105" s="168"/>
      <c r="C105" s="168"/>
      <c r="D105" s="168"/>
      <c r="E105" s="168"/>
      <c r="F105" s="168"/>
      <c r="G105" s="168"/>
      <c r="H105" s="168"/>
      <c r="I105" s="168"/>
    </row>
    <row r="106" spans="1:11" ht="15.5" x14ac:dyDescent="0.25">
      <c r="A106" s="133" t="s">
        <v>207</v>
      </c>
      <c r="B106" s="133"/>
      <c r="C106" s="133"/>
      <c r="D106" s="133"/>
      <c r="E106" s="133"/>
      <c r="F106" s="133"/>
      <c r="G106" s="133"/>
      <c r="H106" s="133"/>
      <c r="I106" s="133"/>
    </row>
    <row r="107" spans="1:11" ht="15.5" x14ac:dyDescent="0.35">
      <c r="A107" s="72">
        <v>6</v>
      </c>
      <c r="B107" s="149" t="s">
        <v>208</v>
      </c>
      <c r="C107" s="149"/>
      <c r="D107" s="149"/>
      <c r="E107" s="149"/>
      <c r="F107" s="149"/>
      <c r="G107" s="149"/>
      <c r="H107" s="72" t="s">
        <v>101</v>
      </c>
      <c r="I107" s="72" t="s">
        <v>102</v>
      </c>
    </row>
    <row r="108" spans="1:11" ht="15.5" x14ac:dyDescent="0.35">
      <c r="A108" s="72" t="s">
        <v>21</v>
      </c>
      <c r="B108" s="147" t="s">
        <v>60</v>
      </c>
      <c r="C108" s="147"/>
      <c r="D108" s="147"/>
      <c r="E108" s="147"/>
      <c r="F108" s="147"/>
      <c r="G108" s="147"/>
      <c r="H108" s="73">
        <v>5.8700000000000002E-2</v>
      </c>
      <c r="I108" s="76">
        <f>I124*H108</f>
        <v>283.83883950949183</v>
      </c>
      <c r="K108" s="16">
        <f>(I28+I65+I75+I96+I104+I108+I109)/0.9135</f>
        <v>5554.1365860516171</v>
      </c>
    </row>
    <row r="109" spans="1:11" ht="15.5" x14ac:dyDescent="0.35">
      <c r="A109" s="72" t="s">
        <v>23</v>
      </c>
      <c r="B109" s="147" t="s">
        <v>61</v>
      </c>
      <c r="C109" s="147"/>
      <c r="D109" s="147"/>
      <c r="E109" s="147"/>
      <c r="F109" s="147"/>
      <c r="G109" s="147"/>
      <c r="H109" s="73">
        <v>6.3299999999999995E-2</v>
      </c>
      <c r="I109" s="76">
        <f>(I124+I108)*H109</f>
        <v>324.04874540553055</v>
      </c>
    </row>
    <row r="110" spans="1:11" ht="15.5" x14ac:dyDescent="0.35">
      <c r="A110" s="72" t="s">
        <v>39</v>
      </c>
      <c r="B110" s="186" t="s">
        <v>209</v>
      </c>
      <c r="C110" s="187"/>
      <c r="D110" s="187"/>
      <c r="E110" s="187"/>
      <c r="F110" s="187"/>
      <c r="G110" s="187"/>
      <c r="H110" s="187"/>
      <c r="I110" s="188"/>
    </row>
    <row r="111" spans="1:11" ht="15.5" x14ac:dyDescent="0.35">
      <c r="A111" s="72" t="s">
        <v>210</v>
      </c>
      <c r="B111" s="147" t="s">
        <v>62</v>
      </c>
      <c r="C111" s="147"/>
      <c r="D111" s="147"/>
      <c r="E111" s="147"/>
      <c r="F111" s="147"/>
      <c r="G111" s="147"/>
      <c r="H111" s="93">
        <v>6.4999999999999997E-3</v>
      </c>
      <c r="I111" s="76">
        <f>K108*H111</f>
        <v>36.101887809335508</v>
      </c>
    </row>
    <row r="112" spans="1:11" ht="15.5" x14ac:dyDescent="0.35">
      <c r="A112" s="72" t="s">
        <v>211</v>
      </c>
      <c r="B112" s="147" t="s">
        <v>63</v>
      </c>
      <c r="C112" s="147"/>
      <c r="D112" s="147"/>
      <c r="E112" s="147"/>
      <c r="F112" s="147"/>
      <c r="G112" s="147"/>
      <c r="H112" s="93">
        <v>0.03</v>
      </c>
      <c r="I112" s="76">
        <f>K108*H112</f>
        <v>166.62409758154851</v>
      </c>
    </row>
    <row r="113" spans="1:11" ht="15.5" x14ac:dyDescent="0.35">
      <c r="A113" s="72" t="s">
        <v>212</v>
      </c>
      <c r="B113" s="147" t="s">
        <v>213</v>
      </c>
      <c r="C113" s="147"/>
      <c r="D113" s="147"/>
      <c r="E113" s="147"/>
      <c r="F113" s="147"/>
      <c r="G113" s="147"/>
      <c r="H113" s="93">
        <v>0.05</v>
      </c>
      <c r="I113" s="76">
        <f>K108*H113</f>
        <v>277.70682930258084</v>
      </c>
    </row>
    <row r="114" spans="1:11" ht="15.5" x14ac:dyDescent="0.35">
      <c r="A114" s="149" t="s">
        <v>214</v>
      </c>
      <c r="B114" s="149"/>
      <c r="C114" s="149"/>
      <c r="D114" s="149"/>
      <c r="E114" s="149"/>
      <c r="F114" s="149"/>
      <c r="G114" s="149"/>
      <c r="H114" s="93"/>
      <c r="I114" s="78">
        <f>SUM(I108:I113)</f>
        <v>1088.3203996084874</v>
      </c>
    </row>
    <row r="115" spans="1:11" ht="15.5" x14ac:dyDescent="0.35">
      <c r="A115" s="71"/>
      <c r="B115" s="189"/>
      <c r="C115" s="189"/>
      <c r="D115" s="189"/>
      <c r="E115" s="189"/>
      <c r="F115" s="189"/>
      <c r="G115" s="189"/>
      <c r="H115" s="189"/>
      <c r="I115" s="189"/>
    </row>
    <row r="116" spans="1:11" ht="15.5" x14ac:dyDescent="0.35">
      <c r="A116" s="71"/>
      <c r="B116" s="71"/>
      <c r="C116" s="71"/>
      <c r="D116" s="71"/>
      <c r="E116" s="71"/>
      <c r="F116" s="71"/>
      <c r="G116" s="71"/>
      <c r="H116" s="71"/>
      <c r="I116" s="100"/>
    </row>
    <row r="117" spans="1:11" ht="15.5" x14ac:dyDescent="0.25">
      <c r="A117" s="133" t="s">
        <v>215</v>
      </c>
      <c r="B117" s="133"/>
      <c r="C117" s="133"/>
      <c r="D117" s="133"/>
      <c r="E117" s="133"/>
      <c r="F117" s="133"/>
      <c r="G117" s="133"/>
      <c r="H117" s="133"/>
      <c r="I117" s="133"/>
    </row>
    <row r="118" spans="1:11" ht="15.5" x14ac:dyDescent="0.35">
      <c r="A118" s="149" t="s">
        <v>216</v>
      </c>
      <c r="B118" s="149"/>
      <c r="C118" s="149"/>
      <c r="D118" s="149"/>
      <c r="E118" s="149"/>
      <c r="F118" s="149"/>
      <c r="G118" s="149"/>
      <c r="H118" s="149"/>
      <c r="I118" s="72" t="s">
        <v>102</v>
      </c>
      <c r="K118" s="4"/>
    </row>
    <row r="119" spans="1:11" ht="15.5" x14ac:dyDescent="0.35">
      <c r="A119" s="66" t="s">
        <v>21</v>
      </c>
      <c r="B119" s="147" t="str">
        <f>A20</f>
        <v>MÓDULO 1 - COMPOSIÇÃO DA REMUNERAÇÃO</v>
      </c>
      <c r="C119" s="147"/>
      <c r="D119" s="147"/>
      <c r="E119" s="147"/>
      <c r="F119" s="147"/>
      <c r="G119" s="147"/>
      <c r="H119" s="147"/>
      <c r="I119" s="74">
        <f>I35</f>
        <v>2583.04</v>
      </c>
    </row>
    <row r="120" spans="1:11" ht="15.5" x14ac:dyDescent="0.35">
      <c r="A120" s="66" t="s">
        <v>23</v>
      </c>
      <c r="B120" s="147" t="str">
        <f>A36</f>
        <v>MÓDULO 2 – ENCARGOS E BENEFÍCIOS ANUAIS, MENSAIS E DIÁRIOS</v>
      </c>
      <c r="C120" s="147"/>
      <c r="D120" s="147"/>
      <c r="E120" s="147"/>
      <c r="F120" s="147"/>
      <c r="G120" s="147"/>
      <c r="H120" s="147"/>
      <c r="I120" s="74">
        <f>I65</f>
        <v>1925.7291389167362</v>
      </c>
    </row>
    <row r="121" spans="1:11" ht="15.5" x14ac:dyDescent="0.35">
      <c r="A121" s="66" t="s">
        <v>39</v>
      </c>
      <c r="B121" s="147" t="str">
        <f>A67</f>
        <v>MÓDULO 3 – PROVISÃO PARA RESCISÃO</v>
      </c>
      <c r="C121" s="147"/>
      <c r="D121" s="147"/>
      <c r="E121" s="147"/>
      <c r="F121" s="147"/>
      <c r="G121" s="147"/>
      <c r="H121" s="147"/>
      <c r="I121" s="74">
        <f>I75</f>
        <v>158.14098873519532</v>
      </c>
    </row>
    <row r="122" spans="1:11" ht="15.5" x14ac:dyDescent="0.35">
      <c r="A122" s="66" t="s">
        <v>41</v>
      </c>
      <c r="B122" s="147" t="str">
        <f>A77</f>
        <v>MÓDULO 4 – CUSTO DE REPOSIÇÃO DO PROFISSIONAL AUSENTE</v>
      </c>
      <c r="C122" s="147"/>
      <c r="D122" s="147"/>
      <c r="E122" s="147"/>
      <c r="F122" s="147"/>
      <c r="G122" s="147"/>
      <c r="H122" s="147"/>
      <c r="I122" s="74">
        <f>I96</f>
        <v>32.435556425158076</v>
      </c>
      <c r="K122" s="4"/>
    </row>
    <row r="123" spans="1:11" ht="15.5" x14ac:dyDescent="0.35">
      <c r="A123" s="66" t="s">
        <v>43</v>
      </c>
      <c r="B123" s="147" t="str">
        <f>A98</f>
        <v>MÓDULO 5 – INSUMOS DIVERSOS</v>
      </c>
      <c r="C123" s="147"/>
      <c r="D123" s="147"/>
      <c r="E123" s="147"/>
      <c r="F123" s="147"/>
      <c r="G123" s="147"/>
      <c r="H123" s="147"/>
      <c r="I123" s="74">
        <f>I104</f>
        <v>136.06895833333334</v>
      </c>
      <c r="K123" s="4"/>
    </row>
    <row r="124" spans="1:11" ht="15.5" x14ac:dyDescent="0.35">
      <c r="A124" s="72"/>
      <c r="B124" s="149" t="s">
        <v>217</v>
      </c>
      <c r="C124" s="149"/>
      <c r="D124" s="149"/>
      <c r="E124" s="149"/>
      <c r="F124" s="149"/>
      <c r="G124" s="149"/>
      <c r="H124" s="149"/>
      <c r="I124" s="78">
        <f>SUM(I119:I123)</f>
        <v>4835.4146424104229</v>
      </c>
    </row>
    <row r="125" spans="1:11" ht="15.5" x14ac:dyDescent="0.35">
      <c r="A125" s="66" t="s">
        <v>45</v>
      </c>
      <c r="B125" s="147" t="str">
        <f>A106</f>
        <v>MÓDULO 6 – CUSTOS INDIRETOS, TRIBUTOS E LUCRO</v>
      </c>
      <c r="C125" s="147"/>
      <c r="D125" s="147"/>
      <c r="E125" s="147"/>
      <c r="F125" s="147"/>
      <c r="G125" s="147"/>
      <c r="H125" s="147"/>
      <c r="I125" s="74">
        <f>I114</f>
        <v>1088.3203996084874</v>
      </c>
      <c r="K125" s="3"/>
    </row>
    <row r="126" spans="1:11" ht="15.5" x14ac:dyDescent="0.35">
      <c r="A126" s="149" t="s">
        <v>218</v>
      </c>
      <c r="B126" s="149"/>
      <c r="C126" s="149"/>
      <c r="D126" s="149"/>
      <c r="E126" s="149"/>
      <c r="F126" s="149"/>
      <c r="G126" s="149"/>
      <c r="H126" s="149"/>
      <c r="I126" s="78">
        <f>I124+I125</f>
        <v>5923.7350420189105</v>
      </c>
    </row>
    <row r="127" spans="1:11" ht="15.5" x14ac:dyDescent="0.35">
      <c r="A127" s="149" t="s">
        <v>264</v>
      </c>
      <c r="B127" s="149"/>
      <c r="C127" s="149"/>
      <c r="D127" s="149"/>
      <c r="E127" s="149"/>
      <c r="F127" s="149"/>
      <c r="G127" s="149"/>
      <c r="H127" s="149"/>
      <c r="I127" s="78">
        <f>I126*2</f>
        <v>11847.470084037821</v>
      </c>
    </row>
    <row r="128" spans="1:11" ht="15.5" x14ac:dyDescent="0.35">
      <c r="A128" s="95"/>
      <c r="B128" s="95"/>
      <c r="C128" s="95"/>
      <c r="D128" s="95"/>
      <c r="E128" s="95"/>
      <c r="F128" s="95"/>
      <c r="G128" s="95"/>
      <c r="H128" s="95"/>
      <c r="I128" s="96"/>
    </row>
    <row r="129" spans="1:9" ht="15.5" x14ac:dyDescent="0.25">
      <c r="A129" s="133" t="s">
        <v>220</v>
      </c>
      <c r="B129" s="133"/>
      <c r="C129" s="133"/>
      <c r="D129" s="133"/>
      <c r="E129" s="133"/>
      <c r="F129" s="133"/>
      <c r="G129" s="133"/>
      <c r="H129" s="133"/>
      <c r="I129" s="133"/>
    </row>
    <row r="130" spans="1:9" ht="13.5" hidden="1" customHeight="1" x14ac:dyDescent="0.35">
      <c r="A130" s="190" t="s">
        <v>221</v>
      </c>
      <c r="B130" s="190"/>
      <c r="C130" s="190" t="s">
        <v>222</v>
      </c>
      <c r="D130" s="190"/>
      <c r="E130" s="190" t="s">
        <v>223</v>
      </c>
      <c r="F130" s="190"/>
      <c r="G130" s="97" t="s">
        <v>224</v>
      </c>
      <c r="H130" s="97" t="s">
        <v>225</v>
      </c>
      <c r="I130" s="72" t="s">
        <v>102</v>
      </c>
    </row>
    <row r="131" spans="1:9" ht="40.5" hidden="1" customHeight="1" x14ac:dyDescent="0.35">
      <c r="A131" s="148" t="s">
        <v>226</v>
      </c>
      <c r="B131" s="148"/>
      <c r="C131" s="147" t="s">
        <v>227</v>
      </c>
      <c r="D131" s="147"/>
      <c r="E131" s="148"/>
      <c r="F131" s="148"/>
      <c r="G131" s="88" t="s">
        <v>227</v>
      </c>
      <c r="H131" s="88"/>
      <c r="I131" s="76">
        <v>0</v>
      </c>
    </row>
    <row r="132" spans="1:9" ht="12.75" hidden="1" customHeight="1" x14ac:dyDescent="0.35">
      <c r="A132" s="148" t="s">
        <v>228</v>
      </c>
      <c r="B132" s="148"/>
      <c r="C132" s="147" t="s">
        <v>227</v>
      </c>
      <c r="D132" s="147"/>
      <c r="E132" s="148"/>
      <c r="F132" s="148"/>
      <c r="G132" s="88" t="s">
        <v>227</v>
      </c>
      <c r="H132" s="88"/>
      <c r="I132" s="76">
        <v>0</v>
      </c>
    </row>
    <row r="133" spans="1:9" ht="12.75" hidden="1" customHeight="1" x14ac:dyDescent="0.35">
      <c r="A133" s="148" t="s">
        <v>229</v>
      </c>
      <c r="B133" s="148"/>
      <c r="C133" s="147" t="s">
        <v>227</v>
      </c>
      <c r="D133" s="147"/>
      <c r="E133" s="148"/>
      <c r="F133" s="148"/>
      <c r="G133" s="88" t="s">
        <v>227</v>
      </c>
      <c r="H133" s="88"/>
      <c r="I133" s="76">
        <v>0</v>
      </c>
    </row>
    <row r="134" spans="1:9" ht="12.75" hidden="1" customHeight="1" x14ac:dyDescent="0.35">
      <c r="A134" s="148" t="s">
        <v>230</v>
      </c>
      <c r="B134" s="148"/>
      <c r="C134" s="147" t="s">
        <v>227</v>
      </c>
      <c r="D134" s="147"/>
      <c r="E134" s="148"/>
      <c r="F134" s="148"/>
      <c r="G134" s="88" t="s">
        <v>227</v>
      </c>
      <c r="H134" s="88"/>
      <c r="I134" s="76">
        <v>0</v>
      </c>
    </row>
    <row r="135" spans="1:9" ht="12.75" hidden="1" customHeight="1" x14ac:dyDescent="0.35">
      <c r="A135" s="149"/>
      <c r="B135" s="149"/>
      <c r="C135" s="148"/>
      <c r="D135" s="148"/>
      <c r="E135" s="148"/>
      <c r="F135" s="148"/>
      <c r="G135" s="98"/>
      <c r="H135" s="98"/>
      <c r="I135" s="76"/>
    </row>
    <row r="136" spans="1:9" ht="12.75" hidden="1" customHeight="1" x14ac:dyDescent="0.35">
      <c r="A136" s="149"/>
      <c r="B136" s="149"/>
      <c r="C136" s="148"/>
      <c r="D136" s="148"/>
      <c r="E136" s="148"/>
      <c r="F136" s="148"/>
      <c r="G136" s="88"/>
      <c r="H136" s="88"/>
      <c r="I136" s="76"/>
    </row>
    <row r="137" spans="1:9" ht="13.5" hidden="1" customHeight="1" x14ac:dyDescent="0.35">
      <c r="A137" s="149" t="s">
        <v>231</v>
      </c>
      <c r="B137" s="149"/>
      <c r="C137" s="149"/>
      <c r="D137" s="149"/>
      <c r="E137" s="149"/>
      <c r="F137" s="149"/>
      <c r="G137" s="149"/>
      <c r="H137" s="149"/>
      <c r="I137" s="84">
        <f>SUM(I135:I136)</f>
        <v>0</v>
      </c>
    </row>
    <row r="138" spans="1:9" ht="13.5" hidden="1" customHeight="1" x14ac:dyDescent="0.35">
      <c r="A138" s="88"/>
      <c r="B138" s="88"/>
      <c r="C138" s="88"/>
      <c r="D138" s="88"/>
      <c r="E138" s="88"/>
      <c r="F138" s="88"/>
      <c r="G138" s="88"/>
      <c r="H138" s="88"/>
      <c r="I138" s="88"/>
    </row>
    <row r="139" spans="1:9" ht="12.75" hidden="1" customHeight="1" x14ac:dyDescent="0.35">
      <c r="A139" s="66" t="s">
        <v>232</v>
      </c>
      <c r="B139" s="148" t="s">
        <v>233</v>
      </c>
      <c r="C139" s="148"/>
      <c r="D139" s="148"/>
      <c r="E139" s="148"/>
      <c r="F139" s="148"/>
      <c r="G139" s="148"/>
      <c r="H139" s="72"/>
      <c r="I139" s="72"/>
    </row>
    <row r="140" spans="1:9" ht="13.5" hidden="1" customHeight="1" x14ac:dyDescent="0.35">
      <c r="A140" s="149" t="s">
        <v>234</v>
      </c>
      <c r="B140" s="149"/>
      <c r="C140" s="149"/>
      <c r="D140" s="149"/>
      <c r="E140" s="149"/>
      <c r="F140" s="149"/>
      <c r="G140" s="149"/>
      <c r="H140" s="149"/>
      <c r="I140" s="149"/>
    </row>
    <row r="141" spans="1:9" ht="13.5" hidden="1" customHeight="1" x14ac:dyDescent="0.35">
      <c r="A141" s="66"/>
      <c r="B141" s="180" t="s">
        <v>235</v>
      </c>
      <c r="C141" s="180"/>
      <c r="D141" s="180"/>
      <c r="E141" s="180"/>
      <c r="F141" s="180"/>
      <c r="G141" s="180"/>
      <c r="H141" s="180"/>
      <c r="I141" s="72" t="s">
        <v>102</v>
      </c>
    </row>
    <row r="142" spans="1:9" ht="13.5" hidden="1" customHeight="1" x14ac:dyDescent="0.35">
      <c r="A142" s="66" t="s">
        <v>21</v>
      </c>
      <c r="B142" s="147" t="s">
        <v>236</v>
      </c>
      <c r="C142" s="147"/>
      <c r="D142" s="147"/>
      <c r="E142" s="147"/>
      <c r="F142" s="147"/>
      <c r="G142" s="147"/>
      <c r="H142" s="147"/>
      <c r="I142" s="76">
        <f>I111</f>
        <v>36.101887809335508</v>
      </c>
    </row>
    <row r="143" spans="1:9" ht="12.75" hidden="1" customHeight="1" x14ac:dyDescent="0.35">
      <c r="A143" s="66" t="s">
        <v>23</v>
      </c>
      <c r="B143" s="147" t="s">
        <v>237</v>
      </c>
      <c r="C143" s="147"/>
      <c r="D143" s="147"/>
      <c r="E143" s="147"/>
      <c r="F143" s="147"/>
      <c r="G143" s="147"/>
      <c r="H143" s="147"/>
      <c r="I143" s="76" t="e">
        <f>#REF!</f>
        <v>#REF!</v>
      </c>
    </row>
    <row r="144" spans="1:9" ht="12.75" hidden="1" customHeight="1" x14ac:dyDescent="0.35">
      <c r="A144" s="66" t="s">
        <v>39</v>
      </c>
      <c r="B144" s="147" t="s">
        <v>238</v>
      </c>
      <c r="C144" s="147"/>
      <c r="D144" s="147"/>
      <c r="E144" s="147"/>
      <c r="F144" s="147"/>
      <c r="G144" s="147"/>
      <c r="H144" s="147"/>
      <c r="I144" s="76">
        <f>I114</f>
        <v>1088.3203996084874</v>
      </c>
    </row>
    <row r="145" spans="1:9" ht="13.5" hidden="1" customHeight="1" x14ac:dyDescent="0.35">
      <c r="A145" s="148" t="s">
        <v>239</v>
      </c>
      <c r="B145" s="148"/>
      <c r="C145" s="148"/>
      <c r="D145" s="148"/>
      <c r="E145" s="148"/>
      <c r="F145" s="148"/>
      <c r="G145" s="148"/>
      <c r="H145" s="148"/>
      <c r="I145" s="84" t="e">
        <f>SUM(I142:I144)</f>
        <v>#REF!</v>
      </c>
    </row>
    <row r="146" spans="1:9" ht="13.5" hidden="1" customHeight="1" x14ac:dyDescent="0.35">
      <c r="A146" s="66" t="s">
        <v>240</v>
      </c>
      <c r="B146" s="88" t="s">
        <v>241</v>
      </c>
      <c r="C146" s="88"/>
      <c r="D146" s="88"/>
      <c r="E146" s="88"/>
      <c r="F146" s="88"/>
      <c r="G146" s="88"/>
      <c r="H146" s="88"/>
      <c r="I146" s="88"/>
    </row>
    <row r="147" spans="1:9" ht="12.75" hidden="1" customHeight="1" x14ac:dyDescent="0.35">
      <c r="A147" s="88"/>
      <c r="B147" s="88"/>
      <c r="C147" s="88"/>
      <c r="D147" s="88"/>
      <c r="E147" s="88"/>
      <c r="F147" s="88"/>
      <c r="G147" s="88"/>
      <c r="H147" s="88"/>
      <c r="I147" s="88"/>
    </row>
    <row r="148" spans="1:9" ht="12.75" hidden="1" customHeight="1" x14ac:dyDescent="0.35">
      <c r="A148" s="88"/>
      <c r="B148" s="88"/>
      <c r="C148" s="88"/>
      <c r="D148" s="88"/>
      <c r="E148" s="88"/>
      <c r="F148" s="88"/>
      <c r="G148" s="88"/>
      <c r="H148" s="88"/>
      <c r="I148" s="88"/>
    </row>
    <row r="149" spans="1:9" ht="12.75" hidden="1" customHeight="1" x14ac:dyDescent="0.35">
      <c r="A149" s="98"/>
      <c r="B149" s="98"/>
      <c r="C149" s="88"/>
      <c r="D149" s="88"/>
      <c r="E149" s="88"/>
      <c r="F149" s="88"/>
      <c r="G149" s="88"/>
      <c r="H149" s="88"/>
      <c r="I149" s="88"/>
    </row>
    <row r="150" spans="1:9" ht="12.75" customHeight="1" x14ac:dyDescent="0.35">
      <c r="A150" s="172" t="s">
        <v>242</v>
      </c>
      <c r="B150" s="173"/>
      <c r="C150" s="173"/>
      <c r="D150" s="173"/>
      <c r="E150" s="173"/>
      <c r="F150" s="173"/>
      <c r="G150" s="173"/>
      <c r="H150" s="174"/>
      <c r="I150" s="72">
        <v>3</v>
      </c>
    </row>
    <row r="151" spans="1:9" ht="12.75" customHeight="1" x14ac:dyDescent="0.35">
      <c r="A151" s="172" t="s">
        <v>243</v>
      </c>
      <c r="B151" s="173"/>
      <c r="C151" s="173"/>
      <c r="D151" s="173"/>
      <c r="E151" s="173"/>
      <c r="F151" s="173"/>
      <c r="G151" s="173"/>
      <c r="H151" s="174"/>
      <c r="I151" s="78">
        <f>I127*I150</f>
        <v>35542.410252113463</v>
      </c>
    </row>
    <row r="152" spans="1:9" ht="15.5" x14ac:dyDescent="0.35">
      <c r="A152" s="172" t="s">
        <v>244</v>
      </c>
      <c r="B152" s="173"/>
      <c r="C152" s="173"/>
      <c r="D152" s="173"/>
      <c r="E152" s="173"/>
      <c r="F152" s="173"/>
      <c r="G152" s="173"/>
      <c r="H152" s="174"/>
      <c r="I152" s="78">
        <f>I151*12</f>
        <v>426508.92302536155</v>
      </c>
    </row>
    <row r="153" spans="1:9" ht="13" x14ac:dyDescent="0.3">
      <c r="A153" s="4"/>
      <c r="B153" s="5"/>
      <c r="E153" s="6"/>
      <c r="I153" s="17"/>
    </row>
    <row r="154" spans="1:9" x14ac:dyDescent="0.25">
      <c r="A154" s="6"/>
      <c r="I154" s="15"/>
    </row>
    <row r="155" spans="1:9" x14ac:dyDescent="0.25">
      <c r="A155" s="6"/>
    </row>
  </sheetData>
  <mergeCells count="170">
    <mergeCell ref="B7:H7"/>
    <mergeCell ref="A9:I9"/>
    <mergeCell ref="A10:B10"/>
    <mergeCell ref="C10:D10"/>
    <mergeCell ref="E10:I10"/>
    <mergeCell ref="A11:B11"/>
    <mergeCell ref="C11:D11"/>
    <mergeCell ref="E11:I11"/>
    <mergeCell ref="A1:I1"/>
    <mergeCell ref="A2:I2"/>
    <mergeCell ref="A3:I3"/>
    <mergeCell ref="B4:H4"/>
    <mergeCell ref="B5:H5"/>
    <mergeCell ref="B6:H6"/>
    <mergeCell ref="A19:I19"/>
    <mergeCell ref="A20:I20"/>
    <mergeCell ref="B21:G21"/>
    <mergeCell ref="B22:G22"/>
    <mergeCell ref="B23:G23"/>
    <mergeCell ref="B24:G24"/>
    <mergeCell ref="A13:I13"/>
    <mergeCell ref="B14:H14"/>
    <mergeCell ref="B15:H15"/>
    <mergeCell ref="B16:H16"/>
    <mergeCell ref="B17:H17"/>
    <mergeCell ref="B18:H18"/>
    <mergeCell ref="B31:G31"/>
    <mergeCell ref="B32:G32"/>
    <mergeCell ref="B33:G33"/>
    <mergeCell ref="A34:H34"/>
    <mergeCell ref="A35:H35"/>
    <mergeCell ref="A36:I36"/>
    <mergeCell ref="B25:G25"/>
    <mergeCell ref="B26:G26"/>
    <mergeCell ref="B27:G27"/>
    <mergeCell ref="A28:H28"/>
    <mergeCell ref="B29:G29"/>
    <mergeCell ref="B30:G30"/>
    <mergeCell ref="B43:G43"/>
    <mergeCell ref="B44:G44"/>
    <mergeCell ref="B45:G45"/>
    <mergeCell ref="B46:G46"/>
    <mergeCell ref="B47:G47"/>
    <mergeCell ref="B48:G48"/>
    <mergeCell ref="A37:G37"/>
    <mergeCell ref="B38:G38"/>
    <mergeCell ref="B39:G39"/>
    <mergeCell ref="A40:G40"/>
    <mergeCell ref="A41:I41"/>
    <mergeCell ref="A42:G42"/>
    <mergeCell ref="Q53:T53"/>
    <mergeCell ref="B54:G54"/>
    <mergeCell ref="B55:G55"/>
    <mergeCell ref="B56:G56"/>
    <mergeCell ref="K56:O56"/>
    <mergeCell ref="Q56:T56"/>
    <mergeCell ref="B49:G49"/>
    <mergeCell ref="B50:G50"/>
    <mergeCell ref="A51:G51"/>
    <mergeCell ref="A52:I52"/>
    <mergeCell ref="A53:G53"/>
    <mergeCell ref="K53:O53"/>
    <mergeCell ref="A61:H61"/>
    <mergeCell ref="B62:H62"/>
    <mergeCell ref="B63:H63"/>
    <mergeCell ref="B64:H64"/>
    <mergeCell ref="A65:H65"/>
    <mergeCell ref="A66:I66"/>
    <mergeCell ref="B57:G57"/>
    <mergeCell ref="N57:O57"/>
    <mergeCell ref="A58:H58"/>
    <mergeCell ref="N58:O58"/>
    <mergeCell ref="A59:I59"/>
    <mergeCell ref="A60:I60"/>
    <mergeCell ref="K60:O60"/>
    <mergeCell ref="B72:G72"/>
    <mergeCell ref="K72:L72"/>
    <mergeCell ref="B73:G73"/>
    <mergeCell ref="B74:G74"/>
    <mergeCell ref="A75:G75"/>
    <mergeCell ref="A76:I76"/>
    <mergeCell ref="A67:I67"/>
    <mergeCell ref="K67:L67"/>
    <mergeCell ref="B68:G68"/>
    <mergeCell ref="B69:G69"/>
    <mergeCell ref="B70:G70"/>
    <mergeCell ref="B71:G71"/>
    <mergeCell ref="B83:G83"/>
    <mergeCell ref="B84:G84"/>
    <mergeCell ref="B85:G85"/>
    <mergeCell ref="A86:G86"/>
    <mergeCell ref="A87:I87"/>
    <mergeCell ref="A88:G88"/>
    <mergeCell ref="A77:I77"/>
    <mergeCell ref="A78:G78"/>
    <mergeCell ref="B79:G79"/>
    <mergeCell ref="B80:G80"/>
    <mergeCell ref="B81:G81"/>
    <mergeCell ref="B82:G82"/>
    <mergeCell ref="B95:H95"/>
    <mergeCell ref="A96:H96"/>
    <mergeCell ref="A97:I97"/>
    <mergeCell ref="A98:I98"/>
    <mergeCell ref="B99:G99"/>
    <mergeCell ref="B100:G100"/>
    <mergeCell ref="B89:G89"/>
    <mergeCell ref="A90:G90"/>
    <mergeCell ref="A91:I91"/>
    <mergeCell ref="A92:I92"/>
    <mergeCell ref="A93:H93"/>
    <mergeCell ref="B94:H94"/>
    <mergeCell ref="B107:G107"/>
    <mergeCell ref="B108:G108"/>
    <mergeCell ref="B109:G109"/>
    <mergeCell ref="B110:I110"/>
    <mergeCell ref="B111:G111"/>
    <mergeCell ref="B112:G112"/>
    <mergeCell ref="B101:G101"/>
    <mergeCell ref="B102:G102"/>
    <mergeCell ref="B103:G103"/>
    <mergeCell ref="A104:G104"/>
    <mergeCell ref="A105:I105"/>
    <mergeCell ref="A106:I106"/>
    <mergeCell ref="B120:H120"/>
    <mergeCell ref="B121:H121"/>
    <mergeCell ref="B122:H122"/>
    <mergeCell ref="B123:H123"/>
    <mergeCell ref="B124:H124"/>
    <mergeCell ref="B125:H125"/>
    <mergeCell ref="B113:G113"/>
    <mergeCell ref="A114:G114"/>
    <mergeCell ref="B115:I115"/>
    <mergeCell ref="A117:I117"/>
    <mergeCell ref="A118:H118"/>
    <mergeCell ref="B119:H119"/>
    <mergeCell ref="A131:B131"/>
    <mergeCell ref="C131:D131"/>
    <mergeCell ref="E131:F131"/>
    <mergeCell ref="A132:B132"/>
    <mergeCell ref="C132:D132"/>
    <mergeCell ref="E132:F132"/>
    <mergeCell ref="A126:H126"/>
    <mergeCell ref="A127:H127"/>
    <mergeCell ref="A129:I129"/>
    <mergeCell ref="A130:B130"/>
    <mergeCell ref="C130:D130"/>
    <mergeCell ref="E130:F130"/>
    <mergeCell ref="A135:B135"/>
    <mergeCell ref="C135:D135"/>
    <mergeCell ref="E135:F135"/>
    <mergeCell ref="A136:B136"/>
    <mergeCell ref="C136:D136"/>
    <mergeCell ref="E136:F136"/>
    <mergeCell ref="A133:B133"/>
    <mergeCell ref="C133:D133"/>
    <mergeCell ref="E133:F133"/>
    <mergeCell ref="A134:B134"/>
    <mergeCell ref="C134:D134"/>
    <mergeCell ref="E134:F134"/>
    <mergeCell ref="B144:H144"/>
    <mergeCell ref="A145:H145"/>
    <mergeCell ref="A150:H150"/>
    <mergeCell ref="A151:H151"/>
    <mergeCell ref="A152:H152"/>
    <mergeCell ref="A137:H137"/>
    <mergeCell ref="B139:G139"/>
    <mergeCell ref="A140:I140"/>
    <mergeCell ref="B141:H141"/>
    <mergeCell ref="B142:H142"/>
    <mergeCell ref="B143:H143"/>
  </mergeCells>
  <pageMargins left="0.66" right="0.19685039370078741" top="0.59055118110236227" bottom="0.39370078740157483" header="0.18" footer="0.15748031496062992"/>
  <pageSetup paperSize="9" scale="80" firstPageNumber="0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 tint="-0.499984740745262"/>
  </sheetPr>
  <dimension ref="A1:E70"/>
  <sheetViews>
    <sheetView showGridLines="0" topLeftCell="A17" zoomScaleNormal="100" workbookViewId="0">
      <selection activeCell="E61" sqref="E61"/>
    </sheetView>
  </sheetViews>
  <sheetFormatPr defaultColWidth="9.1796875" defaultRowHeight="14.5" x14ac:dyDescent="0.35"/>
  <cols>
    <col min="1" max="1" width="5.81640625" style="13" bestFit="1" customWidth="1"/>
    <col min="2" max="2" width="71.26953125" style="13" bestFit="1" customWidth="1"/>
    <col min="3" max="3" width="17.54296875" style="13" customWidth="1"/>
    <col min="4" max="4" width="18" style="13" bestFit="1" customWidth="1"/>
    <col min="5" max="5" width="18.81640625" style="13" customWidth="1"/>
    <col min="6" max="6" width="12.1796875" style="13" customWidth="1"/>
    <col min="7" max="7" width="13.26953125" style="13" bestFit="1" customWidth="1"/>
    <col min="8" max="16384" width="9.1796875" style="13"/>
  </cols>
  <sheetData>
    <row r="1" spans="1:5" ht="15.5" x14ac:dyDescent="0.35">
      <c r="A1" s="101" t="s">
        <v>265</v>
      </c>
      <c r="B1" s="101" t="s">
        <v>266</v>
      </c>
      <c r="C1" s="101" t="s">
        <v>267</v>
      </c>
      <c r="D1" s="101" t="s">
        <v>268</v>
      </c>
      <c r="E1" s="101" t="s">
        <v>239</v>
      </c>
    </row>
    <row r="2" spans="1:5" ht="15.5" x14ac:dyDescent="0.35">
      <c r="A2" s="38">
        <v>1</v>
      </c>
      <c r="B2" s="106" t="s">
        <v>269</v>
      </c>
      <c r="C2" s="46">
        <v>2</v>
      </c>
      <c r="D2" s="47">
        <v>50</v>
      </c>
      <c r="E2" s="47">
        <f>C2*D2</f>
        <v>100</v>
      </c>
    </row>
    <row r="3" spans="1:5" ht="31" x14ac:dyDescent="0.35">
      <c r="A3" s="38">
        <v>2</v>
      </c>
      <c r="B3" s="106" t="s">
        <v>270</v>
      </c>
      <c r="C3" s="46">
        <v>2</v>
      </c>
      <c r="D3" s="47">
        <v>40</v>
      </c>
      <c r="E3" s="47">
        <f t="shared" ref="E3:E10" si="0">C3*D3</f>
        <v>80</v>
      </c>
    </row>
    <row r="4" spans="1:5" ht="31" x14ac:dyDescent="0.35">
      <c r="A4" s="38">
        <v>3</v>
      </c>
      <c r="B4" s="106" t="s">
        <v>271</v>
      </c>
      <c r="C4" s="43">
        <v>2</v>
      </c>
      <c r="D4" s="47">
        <v>35</v>
      </c>
      <c r="E4" s="47">
        <f t="shared" si="0"/>
        <v>70</v>
      </c>
    </row>
    <row r="5" spans="1:5" ht="15.5" x14ac:dyDescent="0.35">
      <c r="A5" s="38">
        <v>4</v>
      </c>
      <c r="B5" s="122" t="s">
        <v>272</v>
      </c>
      <c r="C5" s="43">
        <v>2</v>
      </c>
      <c r="D5" s="47">
        <v>15</v>
      </c>
      <c r="E5" s="47">
        <f t="shared" si="0"/>
        <v>30</v>
      </c>
    </row>
    <row r="6" spans="1:5" ht="31" x14ac:dyDescent="0.35">
      <c r="A6" s="38">
        <v>5</v>
      </c>
      <c r="B6" s="125" t="s">
        <v>273</v>
      </c>
      <c r="C6" s="43">
        <v>2</v>
      </c>
      <c r="D6" s="47">
        <v>20</v>
      </c>
      <c r="E6" s="47">
        <f t="shared" si="0"/>
        <v>40</v>
      </c>
    </row>
    <row r="7" spans="1:5" ht="15.5" x14ac:dyDescent="0.35">
      <c r="A7" s="38">
        <v>6</v>
      </c>
      <c r="B7" s="122" t="s">
        <v>274</v>
      </c>
      <c r="C7" s="43">
        <v>1</v>
      </c>
      <c r="D7" s="47">
        <v>80</v>
      </c>
      <c r="E7" s="47">
        <f t="shared" si="0"/>
        <v>80</v>
      </c>
    </row>
    <row r="8" spans="1:5" ht="15.5" x14ac:dyDescent="0.35">
      <c r="A8" s="38">
        <v>7</v>
      </c>
      <c r="B8" s="122" t="s">
        <v>275</v>
      </c>
      <c r="C8" s="43">
        <v>6</v>
      </c>
      <c r="D8" s="47">
        <v>10</v>
      </c>
      <c r="E8" s="47">
        <f t="shared" si="0"/>
        <v>60</v>
      </c>
    </row>
    <row r="9" spans="1:5" ht="15.5" x14ac:dyDescent="0.35">
      <c r="A9" s="38">
        <v>8</v>
      </c>
      <c r="B9" s="122" t="s">
        <v>276</v>
      </c>
      <c r="C9" s="43">
        <v>1</v>
      </c>
      <c r="D9" s="47">
        <v>20</v>
      </c>
      <c r="E9" s="47">
        <f t="shared" si="0"/>
        <v>20</v>
      </c>
    </row>
    <row r="10" spans="1:5" ht="31" x14ac:dyDescent="0.35">
      <c r="A10" s="38">
        <v>9</v>
      </c>
      <c r="B10" s="122" t="s">
        <v>277</v>
      </c>
      <c r="C10" s="43">
        <v>2</v>
      </c>
      <c r="D10" s="47">
        <v>80</v>
      </c>
      <c r="E10" s="47">
        <f t="shared" si="0"/>
        <v>160</v>
      </c>
    </row>
    <row r="11" spans="1:5" ht="17.25" customHeight="1" x14ac:dyDescent="0.35">
      <c r="A11" s="194" t="s">
        <v>244</v>
      </c>
      <c r="B11" s="194"/>
      <c r="C11" s="194"/>
      <c r="D11" s="194"/>
      <c r="E11" s="103">
        <f>SUM(E2:E10)</f>
        <v>640</v>
      </c>
    </row>
    <row r="12" spans="1:5" ht="18.5" x14ac:dyDescent="0.45">
      <c r="A12" s="192" t="s">
        <v>278</v>
      </c>
      <c r="B12" s="192"/>
      <c r="C12" s="192"/>
      <c r="D12" s="192"/>
      <c r="E12" s="102">
        <f>E11/12</f>
        <v>53.333333333333336</v>
      </c>
    </row>
    <row r="14" spans="1:5" ht="15.5" x14ac:dyDescent="0.35">
      <c r="A14" s="101" t="s">
        <v>265</v>
      </c>
      <c r="B14" s="101" t="s">
        <v>279</v>
      </c>
      <c r="C14" s="101" t="s">
        <v>267</v>
      </c>
      <c r="D14" s="101" t="s">
        <v>268</v>
      </c>
      <c r="E14" s="101" t="s">
        <v>239</v>
      </c>
    </row>
    <row r="15" spans="1:5" ht="15.5" x14ac:dyDescent="0.35">
      <c r="A15" s="38">
        <v>10</v>
      </c>
      <c r="B15" s="106" t="s">
        <v>269</v>
      </c>
      <c r="C15" s="46">
        <v>2</v>
      </c>
      <c r="D15" s="47">
        <v>50</v>
      </c>
      <c r="E15" s="47">
        <f>C15*D15</f>
        <v>100</v>
      </c>
    </row>
    <row r="16" spans="1:5" ht="31" x14ac:dyDescent="0.35">
      <c r="A16" s="38">
        <v>11</v>
      </c>
      <c r="B16" s="106" t="s">
        <v>270</v>
      </c>
      <c r="C16" s="46">
        <v>2</v>
      </c>
      <c r="D16" s="47">
        <v>40</v>
      </c>
      <c r="E16" s="47">
        <f t="shared" ref="E16:E23" si="1">C16*D16</f>
        <v>80</v>
      </c>
    </row>
    <row r="17" spans="1:5" ht="31" x14ac:dyDescent="0.35">
      <c r="A17" s="38">
        <v>12</v>
      </c>
      <c r="B17" s="106" t="s">
        <v>271</v>
      </c>
      <c r="C17" s="43">
        <v>2</v>
      </c>
      <c r="D17" s="47">
        <v>35</v>
      </c>
      <c r="E17" s="47">
        <f t="shared" si="1"/>
        <v>70</v>
      </c>
    </row>
    <row r="18" spans="1:5" ht="15.5" x14ac:dyDescent="0.35">
      <c r="A18" s="38">
        <v>13</v>
      </c>
      <c r="B18" s="122" t="s">
        <v>272</v>
      </c>
      <c r="C18" s="43">
        <v>2</v>
      </c>
      <c r="D18" s="47">
        <v>15</v>
      </c>
      <c r="E18" s="47">
        <f t="shared" si="1"/>
        <v>30</v>
      </c>
    </row>
    <row r="19" spans="1:5" ht="31" x14ac:dyDescent="0.35">
      <c r="A19" s="38">
        <v>14</v>
      </c>
      <c r="B19" s="125" t="s">
        <v>273</v>
      </c>
      <c r="C19" s="43">
        <v>2</v>
      </c>
      <c r="D19" s="47">
        <v>20</v>
      </c>
      <c r="E19" s="47">
        <f t="shared" si="1"/>
        <v>40</v>
      </c>
    </row>
    <row r="20" spans="1:5" ht="15.5" x14ac:dyDescent="0.35">
      <c r="A20" s="38">
        <v>15</v>
      </c>
      <c r="B20" s="122" t="s">
        <v>274</v>
      </c>
      <c r="C20" s="43">
        <v>1</v>
      </c>
      <c r="D20" s="47">
        <v>80</v>
      </c>
      <c r="E20" s="47">
        <f t="shared" si="1"/>
        <v>80</v>
      </c>
    </row>
    <row r="21" spans="1:5" ht="15.5" x14ac:dyDescent="0.35">
      <c r="A21" s="38">
        <v>16</v>
      </c>
      <c r="B21" s="122" t="s">
        <v>275</v>
      </c>
      <c r="C21" s="43">
        <v>6</v>
      </c>
      <c r="D21" s="47">
        <v>10</v>
      </c>
      <c r="E21" s="47">
        <f>C21*D21</f>
        <v>60</v>
      </c>
    </row>
    <row r="22" spans="1:5" ht="15.5" x14ac:dyDescent="0.35">
      <c r="A22" s="38">
        <v>17</v>
      </c>
      <c r="B22" s="122" t="s">
        <v>276</v>
      </c>
      <c r="C22" s="43">
        <v>1</v>
      </c>
      <c r="D22" s="47">
        <v>20</v>
      </c>
      <c r="E22" s="47">
        <f>C22*D22</f>
        <v>20</v>
      </c>
    </row>
    <row r="23" spans="1:5" ht="31" x14ac:dyDescent="0.35">
      <c r="A23" s="38">
        <v>18</v>
      </c>
      <c r="B23" s="122" t="s">
        <v>277</v>
      </c>
      <c r="C23" s="43">
        <v>2</v>
      </c>
      <c r="D23" s="47">
        <v>80</v>
      </c>
      <c r="E23" s="47">
        <f t="shared" si="1"/>
        <v>160</v>
      </c>
    </row>
    <row r="24" spans="1:5" x14ac:dyDescent="0.35">
      <c r="A24" s="194" t="s">
        <v>244</v>
      </c>
      <c r="B24" s="194"/>
      <c r="C24" s="194"/>
      <c r="D24" s="194"/>
      <c r="E24" s="103">
        <f>SUM(E15:E23)</f>
        <v>640</v>
      </c>
    </row>
    <row r="25" spans="1:5" ht="18.5" x14ac:dyDescent="0.45">
      <c r="A25" s="192" t="s">
        <v>278</v>
      </c>
      <c r="B25" s="192"/>
      <c r="C25" s="192"/>
      <c r="D25" s="192"/>
      <c r="E25" s="102">
        <f>E24/12</f>
        <v>53.333333333333336</v>
      </c>
    </row>
    <row r="26" spans="1:5" x14ac:dyDescent="0.35">
      <c r="A26" s="40"/>
      <c r="B26" s="40"/>
      <c r="C26" s="40"/>
      <c r="D26" s="40"/>
      <c r="E26" s="40"/>
    </row>
    <row r="27" spans="1:5" ht="15.5" x14ac:dyDescent="0.35">
      <c r="A27" s="101" t="s">
        <v>265</v>
      </c>
      <c r="B27" s="101" t="s">
        <v>280</v>
      </c>
      <c r="C27" s="101" t="s">
        <v>267</v>
      </c>
      <c r="D27" s="101" t="s">
        <v>268</v>
      </c>
      <c r="E27" s="101" t="s">
        <v>239</v>
      </c>
    </row>
    <row r="28" spans="1:5" ht="15.5" x14ac:dyDescent="0.35">
      <c r="A28" s="104">
        <v>19</v>
      </c>
      <c r="B28" s="122" t="s">
        <v>281</v>
      </c>
      <c r="C28" s="39">
        <v>1</v>
      </c>
      <c r="D28" s="41">
        <v>10</v>
      </c>
      <c r="E28" s="41">
        <f t="shared" ref="E28:E34" si="2">C28*D28</f>
        <v>10</v>
      </c>
    </row>
    <row r="29" spans="1:5" ht="15.5" x14ac:dyDescent="0.35">
      <c r="A29" s="104">
        <v>20</v>
      </c>
      <c r="B29" s="122" t="s">
        <v>282</v>
      </c>
      <c r="C29" s="39">
        <v>12</v>
      </c>
      <c r="D29" s="41">
        <v>10.18</v>
      </c>
      <c r="E29" s="41">
        <f t="shared" si="2"/>
        <v>122.16</v>
      </c>
    </row>
    <row r="30" spans="1:5" ht="15.5" x14ac:dyDescent="0.35">
      <c r="A30" s="104">
        <v>21</v>
      </c>
      <c r="B30" s="122" t="s">
        <v>283</v>
      </c>
      <c r="C30" s="39">
        <v>1</v>
      </c>
      <c r="D30" s="41">
        <v>70</v>
      </c>
      <c r="E30" s="41">
        <f t="shared" si="2"/>
        <v>70</v>
      </c>
    </row>
    <row r="31" spans="1:5" ht="15.5" x14ac:dyDescent="0.35">
      <c r="A31" s="104">
        <v>22</v>
      </c>
      <c r="B31" s="122" t="s">
        <v>284</v>
      </c>
      <c r="C31" s="39">
        <v>1</v>
      </c>
      <c r="D31" s="41">
        <v>10</v>
      </c>
      <c r="E31" s="41">
        <f t="shared" si="2"/>
        <v>10</v>
      </c>
    </row>
    <row r="32" spans="1:5" ht="15.5" x14ac:dyDescent="0.35">
      <c r="A32" s="104">
        <v>23</v>
      </c>
      <c r="B32" s="122" t="s">
        <v>285</v>
      </c>
      <c r="C32" s="39">
        <v>1</v>
      </c>
      <c r="D32" s="41">
        <v>15.83</v>
      </c>
      <c r="E32" s="41">
        <f t="shared" si="2"/>
        <v>15.83</v>
      </c>
    </row>
    <row r="33" spans="1:5" ht="15.5" x14ac:dyDescent="0.35">
      <c r="A33" s="104">
        <v>24</v>
      </c>
      <c r="B33" s="122" t="s">
        <v>286</v>
      </c>
      <c r="C33" s="39">
        <v>1</v>
      </c>
      <c r="D33" s="41">
        <v>42</v>
      </c>
      <c r="E33" s="41">
        <f t="shared" si="2"/>
        <v>42</v>
      </c>
    </row>
    <row r="34" spans="1:5" ht="15.5" x14ac:dyDescent="0.35">
      <c r="A34" s="104">
        <v>25</v>
      </c>
      <c r="B34" s="122" t="s">
        <v>287</v>
      </c>
      <c r="C34" s="39">
        <v>12</v>
      </c>
      <c r="D34" s="41">
        <v>1</v>
      </c>
      <c r="E34" s="41">
        <f t="shared" si="2"/>
        <v>12</v>
      </c>
    </row>
    <row r="35" spans="1:5" ht="15.5" x14ac:dyDescent="0.35">
      <c r="A35" s="104">
        <v>26</v>
      </c>
      <c r="B35" s="122" t="s">
        <v>288</v>
      </c>
      <c r="C35" s="39">
        <v>1</v>
      </c>
      <c r="D35" s="41">
        <v>100</v>
      </c>
      <c r="E35" s="41">
        <f>D35*C35</f>
        <v>100</v>
      </c>
    </row>
    <row r="36" spans="1:5" x14ac:dyDescent="0.35">
      <c r="A36" s="193" t="s">
        <v>244</v>
      </c>
      <c r="B36" s="193"/>
      <c r="C36" s="193"/>
      <c r="D36" s="193"/>
      <c r="E36" s="14">
        <f>SUM(E28:E35)</f>
        <v>381.99</v>
      </c>
    </row>
    <row r="37" spans="1:5" ht="18.5" x14ac:dyDescent="0.45">
      <c r="A37" s="192" t="s">
        <v>278</v>
      </c>
      <c r="B37" s="192"/>
      <c r="C37" s="192"/>
      <c r="D37" s="192"/>
      <c r="E37" s="102">
        <f>E36/12</f>
        <v>31.8325</v>
      </c>
    </row>
    <row r="38" spans="1:5" x14ac:dyDescent="0.35">
      <c r="A38" s="40"/>
      <c r="B38" s="40"/>
      <c r="C38" s="40"/>
      <c r="D38" s="40"/>
      <c r="E38" s="40"/>
    </row>
    <row r="39" spans="1:5" ht="15.5" x14ac:dyDescent="0.35">
      <c r="A39" s="101" t="s">
        <v>265</v>
      </c>
      <c r="B39" s="101" t="s">
        <v>289</v>
      </c>
      <c r="C39" s="101" t="s">
        <v>267</v>
      </c>
      <c r="D39" s="101" t="s">
        <v>268</v>
      </c>
      <c r="E39" s="101" t="s">
        <v>239</v>
      </c>
    </row>
    <row r="40" spans="1:5" ht="15.5" x14ac:dyDescent="0.35">
      <c r="A40" s="104">
        <v>27</v>
      </c>
      <c r="B40" s="122" t="s">
        <v>281</v>
      </c>
      <c r="C40" s="39">
        <v>1</v>
      </c>
      <c r="D40" s="41">
        <v>10</v>
      </c>
      <c r="E40" s="41">
        <f t="shared" ref="E40:E45" si="3">C40*D40</f>
        <v>10</v>
      </c>
    </row>
    <row r="41" spans="1:5" ht="15.5" x14ac:dyDescent="0.35">
      <c r="A41" s="104">
        <v>28</v>
      </c>
      <c r="B41" s="122" t="s">
        <v>282</v>
      </c>
      <c r="C41" s="39">
        <v>12</v>
      </c>
      <c r="D41" s="41">
        <v>10.18</v>
      </c>
      <c r="E41" s="41">
        <f t="shared" si="3"/>
        <v>122.16</v>
      </c>
    </row>
    <row r="42" spans="1:5" ht="15.5" x14ac:dyDescent="0.35">
      <c r="A42" s="104">
        <v>29</v>
      </c>
      <c r="B42" s="122" t="s">
        <v>283</v>
      </c>
      <c r="C42" s="39">
        <v>1</v>
      </c>
      <c r="D42" s="41">
        <v>70</v>
      </c>
      <c r="E42" s="41">
        <f t="shared" si="3"/>
        <v>70</v>
      </c>
    </row>
    <row r="43" spans="1:5" ht="15.5" x14ac:dyDescent="0.35">
      <c r="A43" s="104">
        <v>30</v>
      </c>
      <c r="B43" s="122" t="s">
        <v>284</v>
      </c>
      <c r="C43" s="39">
        <v>1</v>
      </c>
      <c r="D43" s="41">
        <v>10</v>
      </c>
      <c r="E43" s="41">
        <f t="shared" si="3"/>
        <v>10</v>
      </c>
    </row>
    <row r="44" spans="1:5" ht="15.5" x14ac:dyDescent="0.35">
      <c r="A44" s="104">
        <v>31</v>
      </c>
      <c r="B44" s="122" t="s">
        <v>290</v>
      </c>
      <c r="C44" s="39">
        <v>1</v>
      </c>
      <c r="D44" s="41">
        <v>70</v>
      </c>
      <c r="E44" s="41">
        <f t="shared" si="3"/>
        <v>70</v>
      </c>
    </row>
    <row r="45" spans="1:5" ht="15.5" x14ac:dyDescent="0.35">
      <c r="A45" s="104">
        <v>32</v>
      </c>
      <c r="B45" s="122" t="s">
        <v>285</v>
      </c>
      <c r="C45" s="39">
        <v>1</v>
      </c>
      <c r="D45" s="41">
        <v>15.83</v>
      </c>
      <c r="E45" s="41">
        <f t="shared" si="3"/>
        <v>15.83</v>
      </c>
    </row>
    <row r="46" spans="1:5" ht="15.5" x14ac:dyDescent="0.35">
      <c r="A46" s="104">
        <v>33</v>
      </c>
      <c r="B46" s="122" t="s">
        <v>286</v>
      </c>
      <c r="C46" s="39">
        <v>1</v>
      </c>
      <c r="D46" s="41">
        <v>42</v>
      </c>
      <c r="E46" s="41">
        <f>C46*D46</f>
        <v>42</v>
      </c>
    </row>
    <row r="47" spans="1:5" ht="15.5" x14ac:dyDescent="0.35">
      <c r="A47" s="104">
        <v>34</v>
      </c>
      <c r="B47" s="122" t="s">
        <v>291</v>
      </c>
      <c r="C47" s="39">
        <v>1</v>
      </c>
      <c r="D47" s="41">
        <v>40</v>
      </c>
      <c r="E47" s="41">
        <f>C47*D47</f>
        <v>40</v>
      </c>
    </row>
    <row r="48" spans="1:5" ht="15.5" x14ac:dyDescent="0.35">
      <c r="A48" s="104">
        <v>35</v>
      </c>
      <c r="B48" s="122" t="s">
        <v>292</v>
      </c>
      <c r="C48" s="39">
        <v>12</v>
      </c>
      <c r="D48" s="41">
        <v>1</v>
      </c>
      <c r="E48" s="41">
        <f>C48*D48</f>
        <v>12</v>
      </c>
    </row>
    <row r="49" spans="1:5" ht="17.25" customHeight="1" x14ac:dyDescent="0.35">
      <c r="A49" s="104">
        <v>36</v>
      </c>
      <c r="B49" s="122" t="s">
        <v>288</v>
      </c>
      <c r="C49" s="39">
        <v>1</v>
      </c>
      <c r="D49" s="41">
        <v>100</v>
      </c>
      <c r="E49" s="41">
        <f>D49*C49</f>
        <v>100</v>
      </c>
    </row>
    <row r="50" spans="1:5" ht="17.25" customHeight="1" x14ac:dyDescent="0.35">
      <c r="A50" s="193" t="s">
        <v>244</v>
      </c>
      <c r="B50" s="193"/>
      <c r="C50" s="193"/>
      <c r="D50" s="193"/>
      <c r="E50" s="41">
        <f>SUM(E40:E49)</f>
        <v>491.98999999999995</v>
      </c>
    </row>
    <row r="51" spans="1:5" ht="17.25" customHeight="1" x14ac:dyDescent="0.45">
      <c r="A51" s="193" t="s">
        <v>278</v>
      </c>
      <c r="B51" s="193"/>
      <c r="C51" s="193"/>
      <c r="D51" s="193"/>
      <c r="E51" s="102">
        <f>E50/12</f>
        <v>40.99916666666666</v>
      </c>
    </row>
    <row r="53" spans="1:5" ht="15.5" x14ac:dyDescent="0.35">
      <c r="A53" s="101" t="s">
        <v>265</v>
      </c>
      <c r="B53" s="101" t="s">
        <v>293</v>
      </c>
      <c r="C53" s="101" t="s">
        <v>267</v>
      </c>
      <c r="D53" s="101" t="s">
        <v>268</v>
      </c>
      <c r="E53" s="101" t="s">
        <v>239</v>
      </c>
    </row>
    <row r="54" spans="1:5" ht="15.5" x14ac:dyDescent="0.35">
      <c r="A54" s="105">
        <v>37</v>
      </c>
      <c r="B54" s="123" t="s">
        <v>294</v>
      </c>
      <c r="C54" s="39">
        <v>1</v>
      </c>
      <c r="D54" s="14">
        <v>2176</v>
      </c>
      <c r="E54" s="14">
        <f>C54*D54</f>
        <v>2176</v>
      </c>
    </row>
    <row r="55" spans="1:5" x14ac:dyDescent="0.35">
      <c r="A55" s="195" t="s">
        <v>295</v>
      </c>
      <c r="B55" s="196"/>
      <c r="C55" s="196"/>
      <c r="D55" s="197"/>
      <c r="E55" s="14">
        <f>E54/10</f>
        <v>217.6</v>
      </c>
    </row>
    <row r="56" spans="1:5" ht="18.5" x14ac:dyDescent="0.45">
      <c r="A56" s="195" t="s">
        <v>278</v>
      </c>
      <c r="B56" s="196"/>
      <c r="C56" s="196"/>
      <c r="D56" s="197"/>
      <c r="E56" s="102">
        <f>E55/12</f>
        <v>18.133333333333333</v>
      </c>
    </row>
    <row r="58" spans="1:5" ht="15.5" x14ac:dyDescent="0.35">
      <c r="A58" s="101" t="s">
        <v>265</v>
      </c>
      <c r="B58" s="101" t="s">
        <v>296</v>
      </c>
      <c r="C58" s="101" t="s">
        <v>267</v>
      </c>
      <c r="D58" s="101" t="s">
        <v>268</v>
      </c>
      <c r="E58" s="101" t="s">
        <v>239</v>
      </c>
    </row>
    <row r="59" spans="1:5" ht="15.5" x14ac:dyDescent="0.35">
      <c r="A59" s="104">
        <v>38</v>
      </c>
      <c r="B59" s="122" t="s">
        <v>297</v>
      </c>
      <c r="C59" s="39">
        <v>1</v>
      </c>
      <c r="D59" s="41">
        <v>680.5</v>
      </c>
      <c r="E59" s="42">
        <f>D59</f>
        <v>680.5</v>
      </c>
    </row>
    <row r="60" spans="1:5" x14ac:dyDescent="0.35">
      <c r="A60" s="195" t="s">
        <v>298</v>
      </c>
      <c r="B60" s="196"/>
      <c r="C60" s="196"/>
      <c r="D60" s="197"/>
      <c r="E60" s="42">
        <f>(E59/100)*20</f>
        <v>136.1</v>
      </c>
    </row>
    <row r="61" spans="1:5" ht="18.5" x14ac:dyDescent="0.45">
      <c r="A61" s="195" t="s">
        <v>278</v>
      </c>
      <c r="B61" s="196"/>
      <c r="C61" s="196"/>
      <c r="D61" s="197"/>
      <c r="E61" s="102">
        <f>E60/12</f>
        <v>11.341666666666667</v>
      </c>
    </row>
    <row r="63" spans="1:5" ht="15.5" x14ac:dyDescent="0.35">
      <c r="A63" s="101" t="s">
        <v>265</v>
      </c>
      <c r="B63" s="101" t="s">
        <v>299</v>
      </c>
      <c r="C63" s="101" t="s">
        <v>267</v>
      </c>
      <c r="D63" s="101" t="s">
        <v>268</v>
      </c>
      <c r="E63" s="101" t="s">
        <v>239</v>
      </c>
    </row>
    <row r="64" spans="1:5" ht="29.25" customHeight="1" x14ac:dyDescent="0.35">
      <c r="A64" s="104">
        <v>39</v>
      </c>
      <c r="B64" s="124" t="s">
        <v>300</v>
      </c>
      <c r="C64" s="43">
        <v>1</v>
      </c>
      <c r="D64" s="44">
        <v>588.54999999999995</v>
      </c>
      <c r="E64" s="45">
        <f>D64</f>
        <v>588.54999999999995</v>
      </c>
    </row>
    <row r="65" spans="1:5" x14ac:dyDescent="0.35">
      <c r="A65" s="198" t="s">
        <v>301</v>
      </c>
      <c r="B65" s="199"/>
      <c r="C65" s="199"/>
      <c r="D65" s="200"/>
      <c r="E65" s="45">
        <f>E64/2</f>
        <v>294.27499999999998</v>
      </c>
    </row>
    <row r="66" spans="1:5" x14ac:dyDescent="0.35">
      <c r="A66" s="195" t="s">
        <v>302</v>
      </c>
      <c r="B66" s="196"/>
      <c r="C66" s="196"/>
      <c r="D66" s="197"/>
      <c r="E66" s="45">
        <f>(E65/100)*50</f>
        <v>147.13749999999999</v>
      </c>
    </row>
    <row r="67" spans="1:5" ht="18.5" x14ac:dyDescent="0.45">
      <c r="A67" s="195" t="s">
        <v>278</v>
      </c>
      <c r="B67" s="196"/>
      <c r="C67" s="196"/>
      <c r="D67" s="197"/>
      <c r="E67" s="102">
        <f>E66/12</f>
        <v>12.261458333333332</v>
      </c>
    </row>
    <row r="68" spans="1:5" x14ac:dyDescent="0.35">
      <c r="A68" s="40"/>
      <c r="B68" s="40"/>
      <c r="C68" s="40"/>
      <c r="D68" s="40"/>
      <c r="E68" s="40"/>
    </row>
    <row r="69" spans="1:5" ht="18.5" x14ac:dyDescent="0.45">
      <c r="A69" s="192" t="s">
        <v>303</v>
      </c>
      <c r="B69" s="192"/>
      <c r="C69" s="192"/>
      <c r="D69" s="192"/>
      <c r="E69" s="102">
        <f>E12+E37+E56+E61+E67</f>
        <v>126.90229166666668</v>
      </c>
    </row>
    <row r="70" spans="1:5" ht="18.5" x14ac:dyDescent="0.45">
      <c r="A70" s="192" t="s">
        <v>304</v>
      </c>
      <c r="B70" s="192"/>
      <c r="C70" s="192"/>
      <c r="D70" s="192"/>
      <c r="E70" s="102">
        <f>E25+E51+E56+E61+E67</f>
        <v>136.06895833333334</v>
      </c>
    </row>
  </sheetData>
  <mergeCells count="17">
    <mergeCell ref="A24:D24"/>
    <mergeCell ref="A25:D25"/>
    <mergeCell ref="A50:D50"/>
    <mergeCell ref="A51:D51"/>
    <mergeCell ref="A70:D70"/>
    <mergeCell ref="A11:D11"/>
    <mergeCell ref="A12:D12"/>
    <mergeCell ref="A69:D69"/>
    <mergeCell ref="A60:D60"/>
    <mergeCell ref="A61:D61"/>
    <mergeCell ref="A65:D65"/>
    <mergeCell ref="A66:D66"/>
    <mergeCell ref="A67:D67"/>
    <mergeCell ref="A36:D36"/>
    <mergeCell ref="A37:D37"/>
    <mergeCell ref="A55:D55"/>
    <mergeCell ref="A56:D56"/>
  </mergeCells>
  <pageMargins left="0.37" right="0.36" top="0.37" bottom="0.28000000000000003" header="0.31496062000000002" footer="0.2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2</vt:i4>
      </vt:variant>
    </vt:vector>
  </HeadingPairs>
  <TitlesOfParts>
    <vt:vector size="8" baseType="lpstr">
      <vt:lpstr>Pesquisa de Preço</vt:lpstr>
      <vt:lpstr>Vigilante Diurno Guanambi</vt:lpstr>
      <vt:lpstr>Vigilante Noturno Guanambi</vt:lpstr>
      <vt:lpstr>Vigilante Diurno São Desidério</vt:lpstr>
      <vt:lpstr>Vigilante Noturno São Desidério</vt:lpstr>
      <vt:lpstr>MATERIAIS, EQUIPAMENTOS UNIFORM</vt:lpstr>
      <vt:lpstr>'Vigilante Noturno Guanambi'!Area_de_impressao</vt:lpstr>
      <vt:lpstr>'Vigilante Noturno São Desidério'!Area_de_impressao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Patrick</dc:creator>
  <cp:keywords/>
  <dc:description/>
  <cp:lastModifiedBy>Tiago Severo Coelho de Oliveira</cp:lastModifiedBy>
  <cp:revision/>
  <dcterms:created xsi:type="dcterms:W3CDTF">2010-12-08T17:56:29Z</dcterms:created>
  <dcterms:modified xsi:type="dcterms:W3CDTF">2023-06-26T17:10:07Z</dcterms:modified>
  <cp:category/>
  <cp:contentStatus/>
</cp:coreProperties>
</file>