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COORDENAÇÃO DE COMPRAS\4. Bruno\1 - Processos de Compras e Contratações\27 - Facilities\"/>
    </mc:Choice>
  </mc:AlternateContent>
  <xr:revisionPtr revIDLastSave="0" documentId="13_ncr:1_{A52F374F-CB5D-4A5E-8DCC-E1B48599AEC3}" xr6:coauthVersionLast="47" xr6:coauthVersionMax="47" xr10:uidLastSave="{00000000-0000-0000-0000-000000000000}"/>
  <bookViews>
    <workbookView xWindow="28680" yWindow="-120" windowWidth="29040" windowHeight="15990" tabRatio="759" xr2:uid="{00000000-000D-0000-FFFF-FFFF00000000}"/>
  </bookViews>
  <sheets>
    <sheet name="Consolidação" sheetId="19" r:id="rId1"/>
    <sheet name="Grupo 1 - Servente de Limpeza" sheetId="14" r:id="rId2"/>
    <sheet name="Grupo 1 - Copeiragem" sheetId="20" r:id="rId3"/>
    <sheet name="Grupo 1 - Garçonaria" sheetId="21" r:id="rId4"/>
    <sheet name="Grupo 1 - Carregador" sheetId="23" r:id="rId5"/>
    <sheet name="Grupo 1 - Supervisão" sheetId="22" r:id="rId6"/>
    <sheet name="Grupo 1 - Uniformes" sheetId="25" r:id="rId7"/>
    <sheet name="Grupo 1 - Insumos de Limpeza" sheetId="26" r:id="rId8"/>
    <sheet name="Grupo 1 - Insumos de Copeiragem" sheetId="24" r:id="rId9"/>
    <sheet name="Grupo 2 - Motorista" sheetId="10" r:id="rId10"/>
    <sheet name="Grupo 2 - Horas-extras" sheetId="16" r:id="rId11"/>
    <sheet name="Grupo 2 - Diárias" sheetId="17" r:id="rId12"/>
    <sheet name="Grupo 2 - Uniformes" sheetId="11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9" l="1"/>
  <c r="D10" i="24"/>
  <c r="D9" i="24"/>
  <c r="F13" i="24" l="1"/>
  <c r="F12" i="24"/>
  <c r="F11" i="24"/>
  <c r="F10" i="24"/>
  <c r="F9" i="24"/>
  <c r="F8" i="24"/>
  <c r="F7" i="24"/>
  <c r="F6" i="24"/>
  <c r="F5" i="24"/>
  <c r="F4" i="24"/>
  <c r="D117" i="10"/>
  <c r="D117" i="22"/>
  <c r="D117" i="23"/>
  <c r="D117" i="21"/>
  <c r="D117" i="20"/>
  <c r="D117" i="14"/>
  <c r="D92" i="14" l="1"/>
  <c r="D85" i="14"/>
  <c r="F57" i="16"/>
  <c r="E57" i="16"/>
  <c r="E48" i="16"/>
  <c r="D57" i="16"/>
  <c r="D85" i="10"/>
  <c r="D85" i="22"/>
  <c r="D85" i="23"/>
  <c r="D85" i="21"/>
  <c r="D85" i="20"/>
  <c r="F67" i="16" l="1"/>
  <c r="F66" i="16"/>
  <c r="E67" i="16"/>
  <c r="E66" i="16"/>
  <c r="D67" i="16"/>
  <c r="D66" i="16"/>
  <c r="F58" i="16"/>
  <c r="E58" i="16"/>
  <c r="D58" i="16"/>
  <c r="D93" i="10"/>
  <c r="D92" i="10"/>
  <c r="D86" i="10"/>
  <c r="F72" i="26"/>
  <c r="F71" i="26"/>
  <c r="F70" i="26"/>
  <c r="F69" i="26"/>
  <c r="F68" i="26"/>
  <c r="F67" i="26"/>
  <c r="F66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D93" i="22"/>
  <c r="D92" i="22"/>
  <c r="D92" i="23"/>
  <c r="D86" i="22"/>
  <c r="D55" i="23"/>
  <c r="D93" i="23"/>
  <c r="D92" i="21"/>
  <c r="D86" i="23"/>
  <c r="D93" i="21"/>
  <c r="D86" i="21"/>
  <c r="D93" i="20"/>
  <c r="D92" i="20"/>
  <c r="D86" i="20"/>
  <c r="C118" i="21"/>
  <c r="D34" i="24" l="1"/>
  <c r="G34" i="24" s="1"/>
  <c r="D35" i="24"/>
  <c r="G35" i="24" s="1"/>
  <c r="D36" i="24"/>
  <c r="G36" i="24" s="1"/>
  <c r="D37" i="24"/>
  <c r="G37" i="24" s="1"/>
  <c r="D33" i="24"/>
  <c r="G33" i="24" s="1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15" i="24"/>
  <c r="D5" i="24"/>
  <c r="D6" i="24"/>
  <c r="D7" i="24"/>
  <c r="D8" i="24"/>
  <c r="D11" i="24"/>
  <c r="D12" i="24"/>
  <c r="D13" i="24"/>
  <c r="D67" i="26"/>
  <c r="G67" i="26" s="1"/>
  <c r="H67" i="26" s="1"/>
  <c r="D68" i="26"/>
  <c r="G68" i="26" s="1"/>
  <c r="H68" i="26" s="1"/>
  <c r="D69" i="26"/>
  <c r="G69" i="26" s="1"/>
  <c r="H69" i="26" s="1"/>
  <c r="D70" i="26"/>
  <c r="G70" i="26" s="1"/>
  <c r="H70" i="26" s="1"/>
  <c r="D71" i="26"/>
  <c r="G71" i="26" s="1"/>
  <c r="H71" i="26" s="1"/>
  <c r="D72" i="26"/>
  <c r="G72" i="26" s="1"/>
  <c r="H72" i="26" s="1"/>
  <c r="D66" i="26"/>
  <c r="D43" i="26"/>
  <c r="H43" i="26" s="1"/>
  <c r="G43" i="26" s="1"/>
  <c r="D44" i="26"/>
  <c r="H44" i="26" s="1"/>
  <c r="G44" i="26" s="1"/>
  <c r="D45" i="26"/>
  <c r="H45" i="26" s="1"/>
  <c r="G45" i="26" s="1"/>
  <c r="D46" i="26"/>
  <c r="H46" i="26" s="1"/>
  <c r="G46" i="26" s="1"/>
  <c r="D47" i="26"/>
  <c r="H47" i="26" s="1"/>
  <c r="G47" i="26" s="1"/>
  <c r="D48" i="26"/>
  <c r="H48" i="26" s="1"/>
  <c r="G48" i="26" s="1"/>
  <c r="D49" i="26"/>
  <c r="H49" i="26" s="1"/>
  <c r="G49" i="26" s="1"/>
  <c r="D50" i="26"/>
  <c r="H50" i="26" s="1"/>
  <c r="G50" i="26" s="1"/>
  <c r="D51" i="26"/>
  <c r="H51" i="26" s="1"/>
  <c r="G51" i="26" s="1"/>
  <c r="D52" i="26"/>
  <c r="H52" i="26" s="1"/>
  <c r="G52" i="26" s="1"/>
  <c r="D53" i="26"/>
  <c r="H53" i="26" s="1"/>
  <c r="G53" i="26" s="1"/>
  <c r="D54" i="26"/>
  <c r="H54" i="26" s="1"/>
  <c r="G54" i="26" s="1"/>
  <c r="D55" i="26"/>
  <c r="H55" i="26" s="1"/>
  <c r="G55" i="26" s="1"/>
  <c r="D56" i="26"/>
  <c r="H56" i="26" s="1"/>
  <c r="G56" i="26" s="1"/>
  <c r="D57" i="26"/>
  <c r="H57" i="26" s="1"/>
  <c r="G57" i="26" s="1"/>
  <c r="D58" i="26"/>
  <c r="H58" i="26" s="1"/>
  <c r="G58" i="26" s="1"/>
  <c r="D59" i="26"/>
  <c r="H59" i="26" s="1"/>
  <c r="G59" i="26" s="1"/>
  <c r="D60" i="26"/>
  <c r="H60" i="26" s="1"/>
  <c r="G60" i="26" s="1"/>
  <c r="D61" i="26"/>
  <c r="H61" i="26" s="1"/>
  <c r="G61" i="26" s="1"/>
  <c r="D62" i="26"/>
  <c r="H62" i="26" s="1"/>
  <c r="G62" i="26" s="1"/>
  <c r="D63" i="26"/>
  <c r="H63" i="26" s="1"/>
  <c r="G63" i="26" s="1"/>
  <c r="D64" i="26"/>
  <c r="H64" i="26" s="1"/>
  <c r="G64" i="26" s="1"/>
  <c r="D42" i="26"/>
  <c r="H42" i="26" s="1"/>
  <c r="D6" i="26"/>
  <c r="G6" i="26" s="1"/>
  <c r="H6" i="26" s="1"/>
  <c r="D8" i="26"/>
  <c r="G8" i="26" s="1"/>
  <c r="H8" i="26" s="1"/>
  <c r="D9" i="26"/>
  <c r="G9" i="26" s="1"/>
  <c r="H9" i="26" s="1"/>
  <c r="D10" i="26"/>
  <c r="G10" i="26" s="1"/>
  <c r="H10" i="26" s="1"/>
  <c r="D11" i="26"/>
  <c r="G11" i="26" s="1"/>
  <c r="H11" i="26" s="1"/>
  <c r="D14" i="26"/>
  <c r="G14" i="26" s="1"/>
  <c r="H14" i="26" s="1"/>
  <c r="D15" i="26"/>
  <c r="G15" i="26" s="1"/>
  <c r="H15" i="26" s="1"/>
  <c r="D16" i="26"/>
  <c r="G16" i="26" s="1"/>
  <c r="H16" i="26" s="1"/>
  <c r="D17" i="26"/>
  <c r="G17" i="26" s="1"/>
  <c r="H17" i="26" s="1"/>
  <c r="D18" i="26"/>
  <c r="G18" i="26" s="1"/>
  <c r="H18" i="26" s="1"/>
  <c r="D20" i="26"/>
  <c r="G20" i="26" s="1"/>
  <c r="H20" i="26" s="1"/>
  <c r="D22" i="26"/>
  <c r="G22" i="26" s="1"/>
  <c r="H22" i="26" s="1"/>
  <c r="D24" i="26"/>
  <c r="G24" i="26" s="1"/>
  <c r="H24" i="26" s="1"/>
  <c r="D25" i="26"/>
  <c r="G25" i="26" s="1"/>
  <c r="H25" i="26" s="1"/>
  <c r="D26" i="26"/>
  <c r="G26" i="26" s="1"/>
  <c r="H26" i="26" s="1"/>
  <c r="D27" i="26"/>
  <c r="G27" i="26" s="1"/>
  <c r="H27" i="26" s="1"/>
  <c r="D31" i="26"/>
  <c r="G31" i="26" s="1"/>
  <c r="H31" i="26" s="1"/>
  <c r="D32" i="26"/>
  <c r="G32" i="26" s="1"/>
  <c r="H32" i="26" s="1"/>
  <c r="C8" i="11"/>
  <c r="C9" i="11"/>
  <c r="C10" i="11"/>
  <c r="C11" i="11"/>
  <c r="C12" i="11"/>
  <c r="C58" i="25"/>
  <c r="C59" i="25"/>
  <c r="C60" i="25"/>
  <c r="C57" i="25"/>
  <c r="C51" i="25"/>
  <c r="C52" i="25"/>
  <c r="C53" i="25"/>
  <c r="C50" i="25"/>
  <c r="C40" i="25"/>
  <c r="C41" i="25"/>
  <c r="C42" i="25"/>
  <c r="C43" i="25"/>
  <c r="C44" i="25"/>
  <c r="C45" i="25"/>
  <c r="C32" i="25"/>
  <c r="C33" i="25"/>
  <c r="C34" i="25"/>
  <c r="C35" i="25"/>
  <c r="C36" i="25"/>
  <c r="C37" i="25"/>
  <c r="C21" i="25"/>
  <c r="C22" i="25"/>
  <c r="C23" i="25"/>
  <c r="C24" i="25"/>
  <c r="C25" i="25"/>
  <c r="C26" i="25"/>
  <c r="C20" i="25"/>
  <c r="C14" i="25"/>
  <c r="C16" i="25"/>
  <c r="C17" i="25"/>
  <c r="C18" i="25"/>
  <c r="C8" i="25"/>
  <c r="C9" i="25"/>
  <c r="C118" i="10"/>
  <c r="C119" i="10"/>
  <c r="C120" i="10"/>
  <c r="C121" i="10"/>
  <c r="C122" i="10"/>
  <c r="C123" i="10"/>
  <c r="C124" i="10"/>
  <c r="C125" i="10"/>
  <c r="C126" i="10"/>
  <c r="C127" i="10"/>
  <c r="C128" i="10"/>
  <c r="C161" i="14"/>
  <c r="C160" i="14"/>
  <c r="C157" i="14"/>
  <c r="C156" i="14"/>
  <c r="C160" i="20"/>
  <c r="C159" i="20"/>
  <c r="C156" i="20"/>
  <c r="C155" i="20"/>
  <c r="C160" i="21"/>
  <c r="C159" i="21"/>
  <c r="C156" i="21"/>
  <c r="C155" i="21"/>
  <c r="C156" i="23"/>
  <c r="C159" i="23"/>
  <c r="C160" i="23"/>
  <c r="C155" i="23"/>
  <c r="C156" i="22"/>
  <c r="C159" i="22"/>
  <c r="C160" i="22"/>
  <c r="C155" i="22"/>
  <c r="C118" i="23"/>
  <c r="C119" i="23"/>
  <c r="C120" i="23"/>
  <c r="C121" i="23"/>
  <c r="C122" i="23"/>
  <c r="C123" i="23"/>
  <c r="C124" i="23"/>
  <c r="C125" i="23"/>
  <c r="C126" i="23"/>
  <c r="C127" i="23"/>
  <c r="C128" i="23"/>
  <c r="C119" i="21"/>
  <c r="C120" i="21"/>
  <c r="C121" i="21"/>
  <c r="C122" i="21"/>
  <c r="C123" i="21"/>
  <c r="C124" i="21"/>
  <c r="C125" i="21"/>
  <c r="C126" i="21"/>
  <c r="C127" i="21"/>
  <c r="C128" i="21"/>
  <c r="C118" i="20"/>
  <c r="C119" i="20"/>
  <c r="C120" i="20"/>
  <c r="C121" i="20"/>
  <c r="C122" i="20"/>
  <c r="C123" i="20"/>
  <c r="C124" i="20"/>
  <c r="C125" i="20"/>
  <c r="C126" i="20"/>
  <c r="C127" i="20"/>
  <c r="C128" i="20"/>
  <c r="C118" i="14"/>
  <c r="C119" i="14"/>
  <c r="C120" i="14"/>
  <c r="C121" i="14"/>
  <c r="C122" i="14"/>
  <c r="C123" i="14"/>
  <c r="C124" i="14"/>
  <c r="C125" i="14"/>
  <c r="C126" i="14"/>
  <c r="C127" i="14"/>
  <c r="C128" i="14"/>
  <c r="C118" i="22"/>
  <c r="C119" i="22"/>
  <c r="C120" i="22"/>
  <c r="C121" i="22"/>
  <c r="C122" i="22"/>
  <c r="C123" i="22"/>
  <c r="C124" i="22"/>
  <c r="C125" i="22"/>
  <c r="C126" i="22"/>
  <c r="C127" i="22"/>
  <c r="C128" i="22"/>
  <c r="C100" i="16" l="1"/>
  <c r="C160" i="10"/>
  <c r="C30" i="17"/>
  <c r="C13" i="17"/>
  <c r="C12" i="17"/>
  <c r="C29" i="17"/>
  <c r="C99" i="16"/>
  <c r="C159" i="10"/>
  <c r="C9" i="17"/>
  <c r="C156" i="10"/>
  <c r="C26" i="17"/>
  <c r="C96" i="16"/>
  <c r="C8" i="17"/>
  <c r="C95" i="16"/>
  <c r="C25" i="17"/>
  <c r="C155" i="10"/>
  <c r="G66" i="26"/>
  <c r="G73" i="26" s="1"/>
  <c r="D150" i="14" s="1" a="1"/>
  <c r="D150" i="14" s="1"/>
  <c r="H65" i="26"/>
  <c r="G42" i="26"/>
  <c r="G65" i="26" s="1"/>
  <c r="D149" i="14" s="1" a="1"/>
  <c r="D149" i="14" s="1"/>
  <c r="H66" i="26" l="1"/>
  <c r="H73" i="26" s="1"/>
  <c r="C6" i="11" l="1"/>
  <c r="C7" i="11"/>
  <c r="C39" i="25" l="1"/>
  <c r="C13" i="25" l="1"/>
  <c r="C15" i="25"/>
  <c r="D38" i="26" l="1"/>
  <c r="G38" i="26" s="1"/>
  <c r="H38" i="26" s="1"/>
  <c r="D34" i="26"/>
  <c r="G34" i="26" s="1"/>
  <c r="H34" i="26" s="1"/>
  <c r="D39" i="26"/>
  <c r="G39" i="26" s="1"/>
  <c r="H39" i="26" s="1"/>
  <c r="D36" i="26"/>
  <c r="G36" i="26" s="1"/>
  <c r="H36" i="26" s="1"/>
  <c r="D13" i="26"/>
  <c r="G13" i="26" s="1"/>
  <c r="H13" i="26" s="1"/>
  <c r="D35" i="26"/>
  <c r="G35" i="26" s="1"/>
  <c r="H35" i="26" s="1"/>
  <c r="D37" i="26"/>
  <c r="G37" i="26" s="1"/>
  <c r="H37" i="26" s="1"/>
  <c r="D4" i="24"/>
  <c r="C31" i="25"/>
  <c r="D4" i="26" l="1"/>
  <c r="G4" i="26" s="1"/>
  <c r="D19" i="26"/>
  <c r="G19" i="26" s="1"/>
  <c r="H19" i="26" s="1"/>
  <c r="D23" i="26"/>
  <c r="G23" i="26" s="1"/>
  <c r="H23" i="26" s="1"/>
  <c r="D28" i="26"/>
  <c r="G28" i="26" s="1"/>
  <c r="H28" i="26" s="1"/>
  <c r="D12" i="26"/>
  <c r="G12" i="26" s="1"/>
  <c r="H12" i="26" s="1"/>
  <c r="D29" i="26"/>
  <c r="G29" i="26" s="1"/>
  <c r="H29" i="26" s="1"/>
  <c r="H4" i="26" l="1"/>
  <c r="D40" i="26"/>
  <c r="G40" i="26" s="1"/>
  <c r="H40" i="26" s="1"/>
  <c r="D30" i="26"/>
  <c r="G30" i="26" s="1"/>
  <c r="H30" i="26" s="1"/>
  <c r="C7" i="25"/>
  <c r="C6" i="25"/>
  <c r="D7" i="26" l="1"/>
  <c r="G7" i="26" s="1"/>
  <c r="H7" i="26" s="1"/>
  <c r="D33" i="26" l="1"/>
  <c r="G33" i="26" s="1"/>
  <c r="H33" i="26" s="1"/>
  <c r="D21" i="26"/>
  <c r="G21" i="26" s="1"/>
  <c r="H21" i="26" s="1"/>
  <c r="D5" i="26"/>
  <c r="G5" i="26" s="1"/>
  <c r="H5" i="26" l="1"/>
  <c r="H41" i="26" s="1"/>
  <c r="H74" i="26" s="1"/>
  <c r="G41" i="26"/>
  <c r="D148" i="14" l="1" a="1"/>
  <c r="D148" i="14" s="1"/>
  <c r="G74" i="26"/>
  <c r="F16" i="24"/>
  <c r="H16" i="24" s="1"/>
  <c r="G16" i="24" s="1"/>
  <c r="F17" i="24"/>
  <c r="H17" i="24" s="1"/>
  <c r="G17" i="24" s="1"/>
  <c r="F18" i="24"/>
  <c r="H18" i="24" s="1"/>
  <c r="G18" i="24" s="1"/>
  <c r="F19" i="24"/>
  <c r="H19" i="24" s="1"/>
  <c r="G19" i="24" s="1"/>
  <c r="F20" i="24"/>
  <c r="H20" i="24" s="1"/>
  <c r="G20" i="24" s="1"/>
  <c r="F21" i="24"/>
  <c r="H21" i="24" s="1"/>
  <c r="G21" i="24" s="1"/>
  <c r="F22" i="24"/>
  <c r="H22" i="24" s="1"/>
  <c r="G22" i="24" s="1"/>
  <c r="F23" i="24"/>
  <c r="H23" i="24" s="1"/>
  <c r="G23" i="24" s="1"/>
  <c r="F24" i="24"/>
  <c r="H24" i="24" s="1"/>
  <c r="G24" i="24" s="1"/>
  <c r="F25" i="24"/>
  <c r="H25" i="24" s="1"/>
  <c r="G25" i="24" s="1"/>
  <c r="F26" i="24"/>
  <c r="H26" i="24" s="1"/>
  <c r="G26" i="24" s="1"/>
  <c r="F27" i="24"/>
  <c r="H27" i="24" s="1"/>
  <c r="G27" i="24" s="1"/>
  <c r="F28" i="24"/>
  <c r="H28" i="24" s="1"/>
  <c r="G28" i="24" s="1"/>
  <c r="F29" i="24"/>
  <c r="H29" i="24" s="1"/>
  <c r="G29" i="24" s="1"/>
  <c r="F30" i="24"/>
  <c r="H30" i="24" s="1"/>
  <c r="G30" i="24" s="1"/>
  <c r="F31" i="24"/>
  <c r="H31" i="24" s="1"/>
  <c r="G31" i="24" s="1"/>
  <c r="F15" i="24"/>
  <c r="H15" i="24" s="1"/>
  <c r="G15" i="24" s="1"/>
  <c r="G4" i="24"/>
  <c r="H37" i="24"/>
  <c r="H36" i="24"/>
  <c r="H35" i="24"/>
  <c r="H34" i="24"/>
  <c r="G5" i="24"/>
  <c r="H5" i="24" s="1"/>
  <c r="G6" i="24"/>
  <c r="H6" i="24" s="1"/>
  <c r="G7" i="24"/>
  <c r="H7" i="24" s="1"/>
  <c r="G8" i="24"/>
  <c r="H8" i="24" s="1"/>
  <c r="G9" i="24"/>
  <c r="H9" i="24" s="1"/>
  <c r="G10" i="24"/>
  <c r="H10" i="24" s="1"/>
  <c r="G11" i="24"/>
  <c r="H11" i="24" s="1"/>
  <c r="G12" i="24"/>
  <c r="H12" i="24" s="1"/>
  <c r="G13" i="24"/>
  <c r="H13" i="24" s="1"/>
  <c r="D11" i="19"/>
  <c r="D7" i="19"/>
  <c r="D6" i="19"/>
  <c r="D5" i="19"/>
  <c r="D4" i="19"/>
  <c r="E60" i="25"/>
  <c r="F60" i="25" s="1"/>
  <c r="E59" i="25"/>
  <c r="F59" i="25" s="1"/>
  <c r="E58" i="25"/>
  <c r="F58" i="25" s="1"/>
  <c r="E57" i="25"/>
  <c r="F57" i="25" s="1"/>
  <c r="E53" i="25"/>
  <c r="F53" i="25" s="1"/>
  <c r="E52" i="25"/>
  <c r="F52" i="25" s="1"/>
  <c r="E51" i="25"/>
  <c r="F51" i="25" s="1"/>
  <c r="E50" i="25"/>
  <c r="F50" i="25" s="1"/>
  <c r="E36" i="25"/>
  <c r="F36" i="25" s="1"/>
  <c r="E45" i="25"/>
  <c r="F45" i="25" s="1"/>
  <c r="E44" i="25"/>
  <c r="F44" i="25" s="1"/>
  <c r="E43" i="25"/>
  <c r="F43" i="25" s="1"/>
  <c r="E42" i="25"/>
  <c r="F42" i="25" s="1"/>
  <c r="E41" i="25"/>
  <c r="F41" i="25" s="1"/>
  <c r="E40" i="25"/>
  <c r="F40" i="25" s="1"/>
  <c r="E39" i="25"/>
  <c r="F39" i="25" s="1"/>
  <c r="E37" i="25"/>
  <c r="F37" i="25" s="1"/>
  <c r="E35" i="25"/>
  <c r="F35" i="25" s="1"/>
  <c r="E34" i="25"/>
  <c r="F34" i="25" s="1"/>
  <c r="E33" i="25"/>
  <c r="F33" i="25" s="1"/>
  <c r="E32" i="25"/>
  <c r="F32" i="25" s="1"/>
  <c r="E31" i="25"/>
  <c r="F31" i="25" s="1"/>
  <c r="E24" i="25"/>
  <c r="F24" i="25" s="1"/>
  <c r="E26" i="25"/>
  <c r="F26" i="25" s="1"/>
  <c r="E25" i="25"/>
  <c r="F25" i="25" s="1"/>
  <c r="E23" i="25"/>
  <c r="F23" i="25" s="1"/>
  <c r="E22" i="25"/>
  <c r="F22" i="25" s="1"/>
  <c r="E21" i="25"/>
  <c r="F21" i="25" s="1"/>
  <c r="E20" i="25"/>
  <c r="F20" i="25" s="1"/>
  <c r="E18" i="25"/>
  <c r="F18" i="25" s="1"/>
  <c r="E17" i="25"/>
  <c r="F17" i="25" s="1"/>
  <c r="E16" i="25"/>
  <c r="F16" i="25" s="1"/>
  <c r="E15" i="25"/>
  <c r="F15" i="25" s="1"/>
  <c r="E14" i="25"/>
  <c r="F14" i="25" s="1"/>
  <c r="E13" i="25"/>
  <c r="F13" i="25" s="1"/>
  <c r="E9" i="25"/>
  <c r="F9" i="25" s="1"/>
  <c r="E8" i="25"/>
  <c r="F8" i="25" s="1"/>
  <c r="E7" i="25"/>
  <c r="F7" i="25" s="1"/>
  <c r="E6" i="25"/>
  <c r="F6" i="25" s="1"/>
  <c r="E6" i="11"/>
  <c r="C173" i="23"/>
  <c r="C172" i="23"/>
  <c r="C171" i="23"/>
  <c r="C170" i="23"/>
  <c r="C162" i="23"/>
  <c r="C158" i="23"/>
  <c r="C157" i="23" s="1"/>
  <c r="C141" i="23"/>
  <c r="D135" i="23"/>
  <c r="D141" i="23" s="1"/>
  <c r="C109" i="23"/>
  <c r="C108" i="23"/>
  <c r="C107" i="23"/>
  <c r="C77" i="23"/>
  <c r="D67" i="23"/>
  <c r="D69" i="23" s="1"/>
  <c r="D65" i="23"/>
  <c r="D66" i="23" s="1"/>
  <c r="D64" i="23"/>
  <c r="D61" i="23"/>
  <c r="D63" i="23" s="1"/>
  <c r="D59" i="23"/>
  <c r="D58" i="23"/>
  <c r="D60" i="23" s="1"/>
  <c r="C48" i="23"/>
  <c r="C50" i="23" s="1"/>
  <c r="C35" i="23"/>
  <c r="D22" i="23"/>
  <c r="D27" i="23" s="1"/>
  <c r="D22" i="22"/>
  <c r="D22" i="21"/>
  <c r="D27" i="21" s="1"/>
  <c r="C173" i="22"/>
  <c r="C172" i="22"/>
  <c r="C171" i="22"/>
  <c r="C170" i="22"/>
  <c r="C162" i="22"/>
  <c r="C141" i="22"/>
  <c r="D135" i="22"/>
  <c r="D141" i="22" s="1"/>
  <c r="C109" i="22"/>
  <c r="C108" i="22"/>
  <c r="C107" i="22"/>
  <c r="C77" i="22"/>
  <c r="D67" i="22"/>
  <c r="D69" i="22" s="1"/>
  <c r="D66" i="22"/>
  <c r="D65" i="22"/>
  <c r="D64" i="22"/>
  <c r="D61" i="22"/>
  <c r="D63" i="22" s="1"/>
  <c r="D59" i="22"/>
  <c r="D58" i="22"/>
  <c r="D60" i="22" s="1"/>
  <c r="D55" i="22"/>
  <c r="C48" i="22"/>
  <c r="C50" i="22" s="1"/>
  <c r="C35" i="22"/>
  <c r="D27" i="22"/>
  <c r="D34" i="22" s="1"/>
  <c r="C173" i="21"/>
  <c r="C172" i="21"/>
  <c r="C171" i="21"/>
  <c r="C170" i="21"/>
  <c r="C162" i="21"/>
  <c r="C158" i="21"/>
  <c r="C157" i="21" s="1"/>
  <c r="C141" i="21"/>
  <c r="D135" i="21"/>
  <c r="D141" i="21" s="1"/>
  <c r="C109" i="21"/>
  <c r="C108" i="21"/>
  <c r="C107" i="21"/>
  <c r="C77" i="21"/>
  <c r="D67" i="21"/>
  <c r="D69" i="21" s="1"/>
  <c r="D66" i="21"/>
  <c r="D65" i="21"/>
  <c r="D64" i="21"/>
  <c r="D61" i="21"/>
  <c r="D63" i="21" s="1"/>
  <c r="D59" i="21"/>
  <c r="D58" i="21"/>
  <c r="D60" i="21" s="1"/>
  <c r="D55" i="21"/>
  <c r="C48" i="21"/>
  <c r="C50" i="21" s="1"/>
  <c r="C35" i="21"/>
  <c r="C173" i="20"/>
  <c r="C172" i="20"/>
  <c r="C171" i="20"/>
  <c r="C170" i="20"/>
  <c r="C162" i="20"/>
  <c r="C141" i="20"/>
  <c r="D135" i="20"/>
  <c r="D141" i="20" s="1"/>
  <c r="C109" i="20"/>
  <c r="C108" i="20"/>
  <c r="C107" i="20"/>
  <c r="C77" i="20"/>
  <c r="D67" i="20"/>
  <c r="D69" i="20" s="1"/>
  <c r="D66" i="20"/>
  <c r="D65" i="20"/>
  <c r="D64" i="20"/>
  <c r="D61" i="20"/>
  <c r="D63" i="20" s="1"/>
  <c r="D59" i="20"/>
  <c r="D58" i="20"/>
  <c r="D60" i="20" s="1"/>
  <c r="D55" i="20"/>
  <c r="C48" i="20"/>
  <c r="C50" i="20" s="1"/>
  <c r="C35" i="20"/>
  <c r="D22" i="20"/>
  <c r="D27" i="20" s="1"/>
  <c r="D99" i="10"/>
  <c r="H4" i="24" l="1"/>
  <c r="H14" i="24" s="1"/>
  <c r="G14" i="24"/>
  <c r="F46" i="25"/>
  <c r="G38" i="24"/>
  <c r="G32" i="24"/>
  <c r="H32" i="24"/>
  <c r="H33" i="24"/>
  <c r="H38" i="24" s="1"/>
  <c r="F61" i="25"/>
  <c r="D147" i="22" s="1"/>
  <c r="D150" i="22" s="1"/>
  <c r="D173" i="22" s="1"/>
  <c r="F54" i="25"/>
  <c r="D147" i="23" s="1"/>
  <c r="D150" i="23" s="1"/>
  <c r="D173" i="23" s="1"/>
  <c r="C158" i="20"/>
  <c r="C157" i="20" s="1"/>
  <c r="C164" i="20" s="1"/>
  <c r="C158" i="22"/>
  <c r="C157" i="22" s="1"/>
  <c r="C164" i="22" s="1"/>
  <c r="F38" i="25"/>
  <c r="F27" i="25"/>
  <c r="F10" i="25"/>
  <c r="D147" i="14" s="1"/>
  <c r="F19" i="25"/>
  <c r="C164" i="23"/>
  <c r="D56" i="23"/>
  <c r="D57" i="23" s="1"/>
  <c r="D70" i="23" s="1"/>
  <c r="D77" i="23" s="1"/>
  <c r="D34" i="23"/>
  <c r="D36" i="23" s="1"/>
  <c r="D75" i="23" s="1"/>
  <c r="D35" i="23"/>
  <c r="D169" i="23"/>
  <c r="D169" i="22"/>
  <c r="D44" i="22"/>
  <c r="D56" i="22"/>
  <c r="D57" i="22" s="1"/>
  <c r="D70" i="22" s="1"/>
  <c r="D77" i="22" s="1"/>
  <c r="D35" i="22"/>
  <c r="D36" i="22" s="1"/>
  <c r="D35" i="21"/>
  <c r="D34" i="21"/>
  <c r="D56" i="21"/>
  <c r="D57" i="21" s="1"/>
  <c r="D70" i="21" s="1"/>
  <c r="D77" i="21" s="1"/>
  <c r="D169" i="21"/>
  <c r="C164" i="21"/>
  <c r="D35" i="20"/>
  <c r="D34" i="20"/>
  <c r="D36" i="20" s="1"/>
  <c r="D75" i="20" s="1"/>
  <c r="D56" i="20"/>
  <c r="D57" i="20" s="1"/>
  <c r="D70" i="20" s="1"/>
  <c r="D77" i="20" s="1"/>
  <c r="D169" i="20"/>
  <c r="D43" i="20"/>
  <c r="D87" i="20"/>
  <c r="H39" i="24" l="1"/>
  <c r="F28" i="25"/>
  <c r="D147" i="20" s="1"/>
  <c r="D150" i="20" s="1"/>
  <c r="D173" i="20" s="1"/>
  <c r="F47" i="25"/>
  <c r="D147" i="21" s="1"/>
  <c r="D150" i="21" s="1"/>
  <c r="D173" i="21" s="1"/>
  <c r="G39" i="24"/>
  <c r="H9" i="19" s="1"/>
  <c r="I9" i="19" s="1"/>
  <c r="D47" i="23"/>
  <c r="D45" i="23"/>
  <c r="D46" i="23"/>
  <c r="D49" i="23"/>
  <c r="D41" i="23"/>
  <c r="D44" i="23"/>
  <c r="D42" i="23"/>
  <c r="D43" i="23"/>
  <c r="D48" i="23" s="1"/>
  <c r="D50" i="23" s="1"/>
  <c r="D36" i="21"/>
  <c r="D75" i="21" s="1"/>
  <c r="D94" i="22"/>
  <c r="D46" i="22"/>
  <c r="D49" i="22"/>
  <c r="D45" i="22"/>
  <c r="D42" i="22"/>
  <c r="D87" i="22"/>
  <c r="D75" i="22"/>
  <c r="D43" i="22"/>
  <c r="D41" i="22"/>
  <c r="D47" i="22"/>
  <c r="D99" i="20"/>
  <c r="D107" i="20"/>
  <c r="D94" i="20"/>
  <c r="D42" i="20"/>
  <c r="D49" i="20"/>
  <c r="D46" i="20"/>
  <c r="D45" i="20"/>
  <c r="D44" i="20"/>
  <c r="D41" i="20"/>
  <c r="D47" i="20"/>
  <c r="D76" i="23" l="1"/>
  <c r="D78" i="23" s="1"/>
  <c r="C76" i="23"/>
  <c r="D46" i="21"/>
  <c r="D41" i="21"/>
  <c r="D45" i="21"/>
  <c r="D94" i="21"/>
  <c r="D100" i="21" s="1"/>
  <c r="D87" i="21"/>
  <c r="D99" i="21" s="1"/>
  <c r="D49" i="21"/>
  <c r="D44" i="21"/>
  <c r="D43" i="21"/>
  <c r="D47" i="21"/>
  <c r="D42" i="21"/>
  <c r="D48" i="21" s="1"/>
  <c r="D50" i="21" s="1"/>
  <c r="D76" i="21" s="1"/>
  <c r="D78" i="21" s="1"/>
  <c r="D99" i="22"/>
  <c r="D107" i="22"/>
  <c r="D48" i="22"/>
  <c r="D50" i="22" s="1"/>
  <c r="D108" i="22"/>
  <c r="D100" i="22"/>
  <c r="D108" i="20"/>
  <c r="D100" i="20"/>
  <c r="D101" i="20" s="1"/>
  <c r="D102" i="20" s="1"/>
  <c r="D109" i="20" s="1"/>
  <c r="D110" i="20" s="1"/>
  <c r="D171" i="20" s="1"/>
  <c r="D48" i="20"/>
  <c r="D50" i="20" s="1"/>
  <c r="D94" i="23" l="1"/>
  <c r="D87" i="23"/>
  <c r="D170" i="23"/>
  <c r="D108" i="21"/>
  <c r="D107" i="21"/>
  <c r="D76" i="22"/>
  <c r="D78" i="22" s="1"/>
  <c r="C76" i="22"/>
  <c r="D101" i="22"/>
  <c r="D102" i="22" s="1"/>
  <c r="D109" i="22" s="1"/>
  <c r="D110" i="22" s="1"/>
  <c r="D171" i="22" s="1"/>
  <c r="C76" i="21"/>
  <c r="D101" i="21"/>
  <c r="D102" i="21" s="1"/>
  <c r="D109" i="21" s="1"/>
  <c r="D170" i="21"/>
  <c r="D76" i="20"/>
  <c r="D78" i="20" s="1"/>
  <c r="C76" i="20"/>
  <c r="D99" i="23" l="1"/>
  <c r="D107" i="23"/>
  <c r="D108" i="23"/>
  <c r="D100" i="23"/>
  <c r="D110" i="21"/>
  <c r="D124" i="21" s="1"/>
  <c r="D170" i="22"/>
  <c r="D121" i="22"/>
  <c r="C117" i="22"/>
  <c r="D125" i="22"/>
  <c r="D128" i="22"/>
  <c r="D124" i="22"/>
  <c r="D120" i="22"/>
  <c r="D122" i="22"/>
  <c r="D119" i="22"/>
  <c r="D126" i="22"/>
  <c r="D123" i="22"/>
  <c r="D118" i="22"/>
  <c r="D127" i="22"/>
  <c r="D170" i="20"/>
  <c r="D119" i="20"/>
  <c r="D128" i="20"/>
  <c r="D118" i="20"/>
  <c r="D123" i="20"/>
  <c r="D121" i="20"/>
  <c r="D124" i="20"/>
  <c r="C117" i="20"/>
  <c r="D120" i="20"/>
  <c r="D126" i="20"/>
  <c r="D125" i="20"/>
  <c r="D127" i="20"/>
  <c r="D122" i="20"/>
  <c r="C32" i="17"/>
  <c r="D101" i="23" l="1"/>
  <c r="D102" i="23" s="1"/>
  <c r="D109" i="23" s="1"/>
  <c r="D110" i="23"/>
  <c r="D119" i="23" s="1"/>
  <c r="D120" i="23"/>
  <c r="D171" i="23"/>
  <c r="D126" i="23"/>
  <c r="D122" i="23"/>
  <c r="D129" i="20"/>
  <c r="D140" i="20" s="1"/>
  <c r="D142" i="20" s="1"/>
  <c r="D172" i="20" s="1"/>
  <c r="D174" i="20" s="1"/>
  <c r="D119" i="21"/>
  <c r="D120" i="21"/>
  <c r="D123" i="21"/>
  <c r="D127" i="21"/>
  <c r="D121" i="21"/>
  <c r="D171" i="21"/>
  <c r="D128" i="21"/>
  <c r="D118" i="21"/>
  <c r="D125" i="21"/>
  <c r="C117" i="21"/>
  <c r="D122" i="21"/>
  <c r="D126" i="21"/>
  <c r="D129" i="22"/>
  <c r="D140" i="22" s="1"/>
  <c r="D142" i="22" s="1"/>
  <c r="D172" i="22" s="1"/>
  <c r="D174" i="22" s="1"/>
  <c r="C28" i="17"/>
  <c r="C27" i="17" s="1"/>
  <c r="C34" i="17" s="1"/>
  <c r="D25" i="17"/>
  <c r="D128" i="23" l="1"/>
  <c r="D121" i="23"/>
  <c r="D123" i="23"/>
  <c r="D124" i="23"/>
  <c r="D127" i="23"/>
  <c r="D125" i="23"/>
  <c r="C117" i="23"/>
  <c r="D118" i="23"/>
  <c r="D129" i="21"/>
  <c r="D140" i="21" s="1"/>
  <c r="D142" i="21" s="1"/>
  <c r="D172" i="21" s="1"/>
  <c r="D174" i="21" s="1"/>
  <c r="D155" i="21" s="1"/>
  <c r="D155" i="22"/>
  <c r="D155" i="20"/>
  <c r="D156" i="20" s="1"/>
  <c r="D163" i="20" s="1"/>
  <c r="D162" i="20" s="1"/>
  <c r="D26" i="17"/>
  <c r="D129" i="23" l="1"/>
  <c r="D140" i="23" s="1"/>
  <c r="D142" i="23" s="1"/>
  <c r="D172" i="23" s="1"/>
  <c r="D174" i="23" s="1"/>
  <c r="D155" i="23" s="1"/>
  <c r="D156" i="23" s="1"/>
  <c r="D159" i="23" s="1"/>
  <c r="D156" i="21"/>
  <c r="D160" i="21" s="1"/>
  <c r="D156" i="22"/>
  <c r="D161" i="22" s="1"/>
  <c r="D159" i="20"/>
  <c r="D160" i="20"/>
  <c r="D161" i="20"/>
  <c r="D163" i="23" l="1"/>
  <c r="D162" i="23" s="1"/>
  <c r="D160" i="23"/>
  <c r="D158" i="23" s="1"/>
  <c r="D161" i="23"/>
  <c r="D161" i="21"/>
  <c r="D159" i="21"/>
  <c r="D158" i="21" s="1"/>
  <c r="D163" i="21"/>
  <c r="D162" i="21" s="1"/>
  <c r="D159" i="22"/>
  <c r="D163" i="22"/>
  <c r="D162" i="22" s="1"/>
  <c r="D160" i="22"/>
  <c r="D158" i="20"/>
  <c r="D157" i="20" s="1"/>
  <c r="D164" i="20" s="1"/>
  <c r="D157" i="23" l="1"/>
  <c r="D164" i="23" s="1"/>
  <c r="D175" i="23" s="1"/>
  <c r="D176" i="23" s="1"/>
  <c r="D177" i="23" s="1"/>
  <c r="G8" i="19" s="1"/>
  <c r="D157" i="21"/>
  <c r="D164" i="21" s="1"/>
  <c r="D175" i="21" s="1"/>
  <c r="D176" i="21" s="1"/>
  <c r="G6" i="19" s="1"/>
  <c r="H6" i="19" s="1"/>
  <c r="I6" i="19" s="1"/>
  <c r="D158" i="22"/>
  <c r="D157" i="22" s="1"/>
  <c r="D164" i="22" s="1"/>
  <c r="D175" i="20"/>
  <c r="D176" i="20" s="1"/>
  <c r="G5" i="19" s="1"/>
  <c r="C175" i="20"/>
  <c r="C175" i="23" l="1"/>
  <c r="C175" i="21"/>
  <c r="D175" i="22"/>
  <c r="D176" i="22" s="1"/>
  <c r="G7" i="19" s="1"/>
  <c r="C175" i="22"/>
  <c r="D67" i="14" l="1"/>
  <c r="D65" i="14"/>
  <c r="D64" i="14"/>
  <c r="D61" i="14"/>
  <c r="D59" i="14"/>
  <c r="D58" i="10"/>
  <c r="D58" i="14"/>
  <c r="D55" i="14"/>
  <c r="E8" i="11"/>
  <c r="E9" i="11"/>
  <c r="E10" i="11"/>
  <c r="E11" i="11"/>
  <c r="E12" i="11"/>
  <c r="E7" i="11"/>
  <c r="F6" i="11"/>
  <c r="D68" i="10" l="1"/>
  <c r="D67" i="10"/>
  <c r="D64" i="10"/>
  <c r="D65" i="10" s="1"/>
  <c r="D62" i="10"/>
  <c r="D61" i="10"/>
  <c r="D59" i="10"/>
  <c r="D55" i="10"/>
  <c r="C113" i="16" l="1"/>
  <c r="C112" i="16"/>
  <c r="C102" i="16"/>
  <c r="C98" i="16"/>
  <c r="C97" i="16" s="1"/>
  <c r="C104" i="16" s="1"/>
  <c r="C87" i="16"/>
  <c r="C86" i="16"/>
  <c r="C37" i="16"/>
  <c r="C39" i="16" s="1"/>
  <c r="C22" i="16"/>
  <c r="C174" i="14" l="1"/>
  <c r="C173" i="14"/>
  <c r="C172" i="14"/>
  <c r="C171" i="14"/>
  <c r="C163" i="14"/>
  <c r="C159" i="14"/>
  <c r="C141" i="14"/>
  <c r="D135" i="14"/>
  <c r="D141" i="14" s="1"/>
  <c r="C109" i="14"/>
  <c r="C108" i="14"/>
  <c r="C107" i="14"/>
  <c r="C77" i="14"/>
  <c r="D69" i="14"/>
  <c r="D66" i="14"/>
  <c r="D63" i="14"/>
  <c r="D60" i="14"/>
  <c r="C48" i="14"/>
  <c r="C50" i="14" s="1"/>
  <c r="C35" i="14"/>
  <c r="D22" i="14"/>
  <c r="D27" i="14" s="1"/>
  <c r="D135" i="10"/>
  <c r="D141" i="10" s="1"/>
  <c r="D69" i="10"/>
  <c r="D66" i="10"/>
  <c r="D63" i="10"/>
  <c r="D60" i="10"/>
  <c r="D22" i="10"/>
  <c r="D56" i="14" l="1"/>
  <c r="D57" i="14" s="1"/>
  <c r="C158" i="14"/>
  <c r="C165" i="14" s="1"/>
  <c r="D70" i="14"/>
  <c r="D77" i="14" s="1"/>
  <c r="D27" i="10"/>
  <c r="F8" i="16"/>
  <c r="E8" i="16"/>
  <c r="D8" i="16"/>
  <c r="D9" i="16" s="1"/>
  <c r="D12" i="16" s="1"/>
  <c r="D170" i="14"/>
  <c r="D35" i="14"/>
  <c r="D34" i="14"/>
  <c r="D8" i="17"/>
  <c r="C15" i="17"/>
  <c r="C11" i="17"/>
  <c r="D34" i="10" l="1"/>
  <c r="D56" i="10"/>
  <c r="D57" i="10" s="1"/>
  <c r="D70" i="10" s="1"/>
  <c r="D77" i="10" s="1"/>
  <c r="D35" i="10"/>
  <c r="D100" i="10" s="1"/>
  <c r="D169" i="10"/>
  <c r="F11" i="16"/>
  <c r="F9" i="16"/>
  <c r="F12" i="16" s="1"/>
  <c r="D22" i="16"/>
  <c r="D21" i="16"/>
  <c r="D111" i="16"/>
  <c r="E9" i="16"/>
  <c r="E10" i="16" s="1"/>
  <c r="E12" i="16" s="1"/>
  <c r="D36" i="14"/>
  <c r="C10" i="17"/>
  <c r="C17" i="17" s="1"/>
  <c r="D9" i="17"/>
  <c r="D86" i="14" l="1"/>
  <c r="D93" i="14"/>
  <c r="D101" i="10"/>
  <c r="D102" i="10" s="1"/>
  <c r="D109" i="10" s="1"/>
  <c r="D36" i="10"/>
  <c r="D13" i="17"/>
  <c r="D31" i="17"/>
  <c r="D29" i="17"/>
  <c r="D30" i="17"/>
  <c r="D33" i="17"/>
  <c r="D32" i="17" s="1"/>
  <c r="D75" i="14"/>
  <c r="D44" i="14"/>
  <c r="D42" i="14"/>
  <c r="D43" i="14"/>
  <c r="D47" i="14"/>
  <c r="D46" i="14"/>
  <c r="D45" i="14"/>
  <c r="D49" i="14"/>
  <c r="D41" i="14"/>
  <c r="E111" i="16"/>
  <c r="E22" i="16"/>
  <c r="E21" i="16"/>
  <c r="D23" i="16"/>
  <c r="F111" i="16"/>
  <c r="F21" i="16"/>
  <c r="F22" i="16"/>
  <c r="D14" i="17"/>
  <c r="D12" i="17"/>
  <c r="D16" i="17"/>
  <c r="E23" i="16" l="1"/>
  <c r="E46" i="16" s="1"/>
  <c r="E38" i="16"/>
  <c r="E31" i="16"/>
  <c r="E32" i="16"/>
  <c r="D75" i="10"/>
  <c r="D87" i="10"/>
  <c r="D107" i="10" s="1"/>
  <c r="D44" i="10"/>
  <c r="D46" i="10"/>
  <c r="D94" i="10"/>
  <c r="D108" i="10" s="1"/>
  <c r="D43" i="10"/>
  <c r="D49" i="10"/>
  <c r="D42" i="10"/>
  <c r="D47" i="10"/>
  <c r="D41" i="10"/>
  <c r="D45" i="10"/>
  <c r="E36" i="16"/>
  <c r="E30" i="16"/>
  <c r="F23" i="16"/>
  <c r="F46" i="16" s="1"/>
  <c r="E33" i="16"/>
  <c r="D48" i="14"/>
  <c r="D28" i="17"/>
  <c r="D27" i="17" s="1"/>
  <c r="D34" i="17" s="1"/>
  <c r="D35" i="17" s="1"/>
  <c r="F33" i="16"/>
  <c r="F38" i="16"/>
  <c r="F36" i="16"/>
  <c r="F35" i="16"/>
  <c r="F30" i="16"/>
  <c r="E35" i="16"/>
  <c r="F34" i="16"/>
  <c r="F31" i="16"/>
  <c r="F32" i="16"/>
  <c r="D46" i="16"/>
  <c r="D35" i="16"/>
  <c r="D33" i="16"/>
  <c r="D38" i="16"/>
  <c r="D30" i="16"/>
  <c r="D31" i="16"/>
  <c r="D34" i="16"/>
  <c r="D36" i="16"/>
  <c r="D32" i="16"/>
  <c r="E34" i="16"/>
  <c r="D110" i="10" l="1"/>
  <c r="D171" i="10" s="1"/>
  <c r="D50" i="14"/>
  <c r="E37" i="16"/>
  <c r="E39" i="16" s="1"/>
  <c r="E47" i="16" s="1"/>
  <c r="D48" i="10"/>
  <c r="D50" i="10" s="1"/>
  <c r="D76" i="10" s="1"/>
  <c r="D78" i="10" s="1"/>
  <c r="F37" i="16"/>
  <c r="F39" i="16" s="1"/>
  <c r="F47" i="16" s="1"/>
  <c r="F48" i="16" s="1"/>
  <c r="F68" i="16" s="1"/>
  <c r="D76" i="14"/>
  <c r="D78" i="14" s="1"/>
  <c r="D87" i="14" s="1"/>
  <c r="C76" i="14"/>
  <c r="D37" i="16"/>
  <c r="D39" i="16" s="1"/>
  <c r="E68" i="16"/>
  <c r="E112" i="16"/>
  <c r="E59" i="16"/>
  <c r="D107" i="14" l="1"/>
  <c r="D99" i="14"/>
  <c r="D94" i="14"/>
  <c r="F112" i="16"/>
  <c r="F59" i="16"/>
  <c r="F85" i="16" s="1"/>
  <c r="D120" i="10"/>
  <c r="D121" i="10"/>
  <c r="D128" i="10"/>
  <c r="D122" i="10"/>
  <c r="D125" i="10"/>
  <c r="D124" i="10"/>
  <c r="D126" i="10"/>
  <c r="D127" i="10"/>
  <c r="D123" i="10"/>
  <c r="C117" i="10"/>
  <c r="D118" i="10"/>
  <c r="D119" i="10"/>
  <c r="D171" i="14"/>
  <c r="E85" i="16"/>
  <c r="E75" i="16"/>
  <c r="E76" i="16"/>
  <c r="E86" i="16"/>
  <c r="F76" i="16"/>
  <c r="F86" i="16"/>
  <c r="D47" i="16"/>
  <c r="D48" i="16" s="1"/>
  <c r="C47" i="16"/>
  <c r="D100" i="14" l="1"/>
  <c r="D108" i="14"/>
  <c r="D101" i="14"/>
  <c r="D102" i="14" s="1"/>
  <c r="D109" i="14" s="1"/>
  <c r="D110" i="14" s="1"/>
  <c r="F75" i="16"/>
  <c r="D129" i="10"/>
  <c r="D140" i="10" s="1"/>
  <c r="D142" i="10" s="1"/>
  <c r="D172" i="10" s="1"/>
  <c r="F77" i="16"/>
  <c r="F78" i="16" s="1"/>
  <c r="F87" i="16" s="1"/>
  <c r="F88" i="16" s="1"/>
  <c r="F113" i="16" s="1"/>
  <c r="F114" i="16" s="1"/>
  <c r="E77" i="16"/>
  <c r="E78" i="16" s="1"/>
  <c r="E87" i="16" s="1"/>
  <c r="E88" i="16" s="1"/>
  <c r="E113" i="16" s="1"/>
  <c r="E114" i="16" s="1"/>
  <c r="D112" i="16"/>
  <c r="D68" i="16"/>
  <c r="D59" i="16"/>
  <c r="D120" i="14" l="1"/>
  <c r="D126" i="14"/>
  <c r="D172" i="14"/>
  <c r="D118" i="14"/>
  <c r="D122" i="14"/>
  <c r="D124" i="14"/>
  <c r="D121" i="14"/>
  <c r="D125" i="14"/>
  <c r="D128" i="14"/>
  <c r="D119" i="14"/>
  <c r="D123" i="14"/>
  <c r="D127" i="14"/>
  <c r="D85" i="16"/>
  <c r="D75" i="16"/>
  <c r="D86" i="16"/>
  <c r="D76" i="16"/>
  <c r="E95" i="16"/>
  <c r="F95" i="16"/>
  <c r="D15" i="17"/>
  <c r="D129" i="14" l="1"/>
  <c r="D140" i="14" s="1"/>
  <c r="D142" i="14" s="1"/>
  <c r="D173" i="14" s="1"/>
  <c r="C117" i="14"/>
  <c r="E96" i="16"/>
  <c r="E101" i="16" s="1"/>
  <c r="D77" i="16"/>
  <c r="D78" i="16" s="1"/>
  <c r="D87" i="16" s="1"/>
  <c r="D88" i="16" s="1"/>
  <c r="D113" i="16" s="1"/>
  <c r="D114" i="16" s="1"/>
  <c r="F96" i="16"/>
  <c r="F101" i="16" s="1"/>
  <c r="D11" i="17"/>
  <c r="E100" i="16" l="1"/>
  <c r="D95" i="16"/>
  <c r="D96" i="16" s="1"/>
  <c r="E99" i="16"/>
  <c r="F100" i="16"/>
  <c r="F99" i="16"/>
  <c r="F103" i="16"/>
  <c r="F102" i="16" s="1"/>
  <c r="E103" i="16"/>
  <c r="E102" i="16" s="1"/>
  <c r="D10" i="17"/>
  <c r="D17" i="17" s="1"/>
  <c r="D18" i="17" s="1"/>
  <c r="G12" i="19" s="1"/>
  <c r="E98" i="16" l="1"/>
  <c r="E97" i="16" s="1"/>
  <c r="E104" i="16" s="1"/>
  <c r="E115" i="16" s="1"/>
  <c r="E116" i="16" s="1"/>
  <c r="D101" i="16"/>
  <c r="D103" i="16"/>
  <c r="D102" i="16" s="1"/>
  <c r="F98" i="16"/>
  <c r="F97" i="16" s="1"/>
  <c r="F104" i="16" s="1"/>
  <c r="F115" i="16" s="1"/>
  <c r="F116" i="16" s="1"/>
  <c r="D99" i="16"/>
  <c r="D100" i="16"/>
  <c r="G15" i="19" l="1"/>
  <c r="H15" i="19" s="1"/>
  <c r="I15" i="19" s="1"/>
  <c r="H8" i="19"/>
  <c r="I8" i="19" s="1"/>
  <c r="G14" i="19"/>
  <c r="H14" i="19" s="1"/>
  <c r="I14" i="19" s="1"/>
  <c r="D98" i="16"/>
  <c r="D97" i="16" s="1"/>
  <c r="D104" i="16" s="1"/>
  <c r="C115" i="16" s="1"/>
  <c r="D115" i="16" l="1"/>
  <c r="D116" i="16" s="1"/>
  <c r="F10" i="11"/>
  <c r="F7" i="11"/>
  <c r="F8" i="11"/>
  <c r="F9" i="11"/>
  <c r="F11" i="11"/>
  <c r="F12" i="11"/>
  <c r="H7" i="19" l="1"/>
  <c r="I7" i="19" s="1"/>
  <c r="G13" i="19"/>
  <c r="H13" i="19" s="1"/>
  <c r="I13" i="19" s="1"/>
  <c r="F13" i="11"/>
  <c r="D147" i="10" s="1"/>
  <c r="D151" i="14"/>
  <c r="D174" i="14" s="1"/>
  <c r="D175" i="14" s="1"/>
  <c r="D156" i="14" s="1"/>
  <c r="D157" i="14" s="1"/>
  <c r="C162" i="10"/>
  <c r="C158" i="10"/>
  <c r="C141" i="10"/>
  <c r="C48" i="10"/>
  <c r="C50" i="10" s="1"/>
  <c r="D160" i="14" l="1"/>
  <c r="D162" i="14"/>
  <c r="D164" i="14"/>
  <c r="D163" i="14" s="1"/>
  <c r="D161" i="14"/>
  <c r="C173" i="10"/>
  <c r="D150" i="10"/>
  <c r="D173" i="10" s="1"/>
  <c r="C157" i="10"/>
  <c r="C77" i="10"/>
  <c r="D159" i="14" l="1"/>
  <c r="D158" i="14" s="1"/>
  <c r="D165" i="14" s="1"/>
  <c r="C35" i="10"/>
  <c r="H12" i="19" l="1"/>
  <c r="I12" i="19" s="1"/>
  <c r="D176" i="14"/>
  <c r="D177" i="14" s="1"/>
  <c r="C176" i="14"/>
  <c r="C109" i="10"/>
  <c r="H5" i="19" l="1"/>
  <c r="I5" i="19" s="1"/>
  <c r="G4" i="19"/>
  <c r="C76" i="10" l="1"/>
  <c r="D170" i="10"/>
  <c r="D174" i="10" s="1"/>
  <c r="C170" i="10"/>
  <c r="C108" i="10"/>
  <c r="C107" i="10"/>
  <c r="C171" i="10" l="1"/>
  <c r="C172" i="10" l="1"/>
  <c r="D155" i="10" l="1"/>
  <c r="C164" i="10" l="1"/>
  <c r="D156" i="10" l="1"/>
  <c r="D159" i="10" l="1"/>
  <c r="D160" i="10"/>
  <c r="D161" i="10"/>
  <c r="D163" i="10"/>
  <c r="D162" i="10" s="1"/>
  <c r="D158" i="10" l="1"/>
  <c r="D157" i="10" s="1"/>
  <c r="D164" i="10" l="1"/>
  <c r="C175" i="10" s="1"/>
  <c r="D175" i="10" l="1"/>
  <c r="D176" i="10" s="1"/>
  <c r="G11" i="19" s="1"/>
  <c r="H11" i="19" s="1"/>
  <c r="H16" i="19" s="1"/>
  <c r="I11" i="19" l="1"/>
  <c r="I16" i="19" s="1"/>
  <c r="H4" i="19"/>
  <c r="H10" i="19" s="1"/>
  <c r="H17" i="19" s="1"/>
  <c r="I4" i="19" l="1"/>
  <c r="I17" i="19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<sst xmlns="http://schemas.openxmlformats.org/spreadsheetml/2006/main" count="2023" uniqueCount="375">
  <si>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</si>
  <si>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</si>
  <si>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</si>
  <si>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</si>
  <si>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</si>
  <si>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</si>
  <si>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</si>
  <si>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</si>
  <si>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</si>
  <si>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</si>
  <si>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</si>
  <si>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</si>
  <si>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</si>
  <si>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Total</t>
  </si>
  <si>
    <t>Módulo 2 - Encargos e Benefícios Anuais, Mensais e Diários</t>
  </si>
  <si>
    <t>Submódulo 2.1 - 13º (décimo terceiro) Salário e Adicional de Férias</t>
  </si>
  <si>
    <t>2.1</t>
  </si>
  <si>
    <t>13º (décimo terceiro) Salário</t>
  </si>
  <si>
    <t>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</si>
  <si>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</si>
  <si>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</si>
  <si>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</si>
  <si>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</si>
  <si>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</si>
  <si>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</si>
  <si>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</si>
  <si>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</si>
  <si>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</si>
  <si>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</si>
  <si>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</si>
  <si>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G</t>
  </si>
  <si>
    <t>INCRA</t>
  </si>
  <si>
    <t>Subtotal - GPS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</si>
  <si>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</si>
  <si>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</si>
  <si>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</si>
  <si>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</si>
  <si>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</si>
  <si>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</si>
  <si>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</si>
  <si>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Desconto</t>
  </si>
  <si>
    <t>Custo Efetivo do Vale Transporte</t>
  </si>
  <si>
    <t>Auxílio-Refeição/Alimentação</t>
  </si>
  <si>
    <t>Custo Efetivo do Auxílio-Refeição/Alimentação</t>
  </si>
  <si>
    <t>Quadro-Resumo do Módulo 2 - Encargos e Benefícios anuais, mensais e diários</t>
  </si>
  <si>
    <t>Encargos e Benefícios Anuais, Mensais e Diários</t>
  </si>
  <si>
    <t>13º (décimo terceiro) Salário e Adicional de Férias</t>
  </si>
  <si>
    <t>Módulo 3 - Rescisão</t>
  </si>
  <si>
    <t>Submódulo 3.1 - Custo do Aviso Prévio Indenizado</t>
  </si>
  <si>
    <t>3.1</t>
  </si>
  <si>
    <t>Aviso Prévio Indenizado</t>
  </si>
  <si>
    <t>Multa do FGTS sobre o Aviso Prévio Indenizado</t>
  </si>
  <si>
    <t>Submódulo 3.2 - Custo do Aviso Prévio Trabalhado</t>
  </si>
  <si>
    <t>3.2</t>
  </si>
  <si>
    <t>Aviso Prévio Trabalhado</t>
  </si>
  <si>
    <t>Multa do FGTS sobre o Aviso Prévio Trabalhado</t>
  </si>
  <si>
    <t>Submódulo 3.3 - Custo da Demissão com Justa Causa</t>
  </si>
  <si>
    <t>Demissões por Justa Causa</t>
  </si>
  <si>
    <t>Valor Provisionado do 13º Salário</t>
  </si>
  <si>
    <t>Valor Provisionado do Adicional de Férias</t>
  </si>
  <si>
    <t>Subtotal das Provisões</t>
  </si>
  <si>
    <t>Custo da Demissão com Justa Causa</t>
  </si>
  <si>
    <t>Quadro-Resumo do Módulo 3 - Rescisão</t>
  </si>
  <si>
    <t>Rescisão</t>
  </si>
  <si>
    <t>Custo do Aviso Prévio Indenizado</t>
  </si>
  <si>
    <t>Custo do Aviso Prévio Trabalhado</t>
  </si>
  <si>
    <t>3.3</t>
  </si>
  <si>
    <t>Módulo 4 - Custo de Reposição do Profissional Ausente</t>
  </si>
  <si>
    <t>Submódulo 4.1 - Ausências Legais</t>
  </si>
  <si>
    <t>4.1</t>
  </si>
  <si>
    <t>Ausências Legais</t>
  </si>
  <si>
    <t>Férias</t>
  </si>
  <si>
    <t>Ausência Justificada</t>
  </si>
  <si>
    <t>Ausência por Acidente de Trabalho</t>
  </si>
  <si>
    <t>Afastamento por Doença</t>
  </si>
  <si>
    <t>Ausência para Consulta Médica de Filho</t>
  </si>
  <si>
    <t>Ausência por Óbitos na Família</t>
  </si>
  <si>
    <t>Licença para Casamento</t>
  </si>
  <si>
    <t>Ausência para Doação de Sangue</t>
  </si>
  <si>
    <t>I</t>
  </si>
  <si>
    <t>Ausência para Testemunho</t>
  </si>
  <si>
    <t>J</t>
  </si>
  <si>
    <t>Licença Paternidade</t>
  </si>
  <si>
    <t>K</t>
  </si>
  <si>
    <t>Afastamento Maternidade</t>
  </si>
  <si>
    <t>L</t>
  </si>
  <si>
    <t>Ausência para Consulta Pré-Natal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</si>
  <si>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</si>
  <si>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</si>
  <si>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</si>
  <si>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</si>
  <si>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</si>
  <si>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</si>
  <si>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</si>
  <si>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</si>
  <si>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</si>
  <si>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</si>
  <si>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</si>
  <si>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</si>
  <si>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</si>
  <si>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</si>
  <si>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</si>
  <si>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</si>
  <si>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 xml:space="preserve">   Tributos Federais</t>
  </si>
  <si>
    <t xml:space="preserve">        PIS</t>
  </si>
  <si>
    <t xml:space="preserve">        COFINS</t>
  </si>
  <si>
    <t xml:space="preserve">   Tributos Estaduais</t>
  </si>
  <si>
    <t xml:space="preserve">   Tributos Municipais</t>
  </si>
  <si>
    <t xml:space="preserve">        ISSQN</t>
  </si>
  <si>
    <t>Mão de obra vinculada à execução contratual (valor por empregado)</t>
  </si>
  <si>
    <t>Módulo 3 - Provisão para Rescisão</t>
  </si>
  <si>
    <t>Módulo 6 – Custos Indiretos, Tributos e Lucro</t>
  </si>
  <si>
    <t xml:space="preserve">Valor Total por Empregado </t>
  </si>
  <si>
    <t>Discriminação dos Serviços</t>
  </si>
  <si>
    <t>Município</t>
  </si>
  <si>
    <t>ACT, CCT ou Dissídio Coletivo de Trabalho</t>
  </si>
  <si>
    <t>Nº de Meses de Execução Contratual</t>
  </si>
  <si>
    <t>Identificação do Serviço</t>
  </si>
  <si>
    <t>Tipo de Serviço</t>
  </si>
  <si>
    <t>Unidade de Medida</t>
  </si>
  <si>
    <t>Quantidade a Contratar</t>
  </si>
  <si>
    <t>Classificação Brasileira de Ocupações (CBO)</t>
  </si>
  <si>
    <t>Salário Base da Categoria Profissional</t>
  </si>
  <si>
    <t>Categoria Profissional</t>
  </si>
  <si>
    <t>Data-base da Categoria</t>
  </si>
  <si>
    <t>Posto de Trabalho</t>
  </si>
  <si>
    <t>Brasília/DF</t>
  </si>
  <si>
    <t>Condução de Veículos Rodoviários</t>
  </si>
  <si>
    <t>7823-05</t>
  </si>
  <si>
    <t>Custo Efetivo do Plano de Saúde</t>
  </si>
  <si>
    <t>Plano de Saúde</t>
  </si>
  <si>
    <t>Desconto - Participação do Empregado</t>
  </si>
  <si>
    <t>Desconto - Contribuição PAT</t>
  </si>
  <si>
    <t>Plano de Assistência Odontológica</t>
  </si>
  <si>
    <t>Custo Efetivo do Plano de Assistência Odontológica</t>
  </si>
  <si>
    <t>Seguro de Vida e Assistência Funeral</t>
  </si>
  <si>
    <t>Custo Efetivo do Seguro de Vida e Assistência Funeral</t>
  </si>
  <si>
    <t>Motorista Executivo</t>
  </si>
  <si>
    <t>Categoria</t>
  </si>
  <si>
    <t>Descrição</t>
  </si>
  <si>
    <t xml:space="preserve"> Custo Unitário Estimado</t>
  </si>
  <si>
    <t>Quantidade Fornecida por ano</t>
  </si>
  <si>
    <t>Custo Anual Estimado por profissional</t>
  </si>
  <si>
    <t>Custo Mensal Estimado por Profissional</t>
  </si>
  <si>
    <t>MOTORISTA</t>
  </si>
  <si>
    <t>Paletó</t>
  </si>
  <si>
    <t>Calças</t>
  </si>
  <si>
    <t>Camisa</t>
  </si>
  <si>
    <t>Gravata</t>
  </si>
  <si>
    <t>Cinto</t>
  </si>
  <si>
    <t>Meias</t>
  </si>
  <si>
    <t>Sapatos</t>
  </si>
  <si>
    <t>Calça</t>
  </si>
  <si>
    <t>TOTAL - MOTORISTA</t>
  </si>
  <si>
    <t>Pagamento em Dobro</t>
  </si>
  <si>
    <t>Dias Normais</t>
  </si>
  <si>
    <t>Domingos e Feriados</t>
  </si>
  <si>
    <t>-</t>
  </si>
  <si>
    <t>Módulo 2 - Encargos Anuais, Mensais e Diários</t>
  </si>
  <si>
    <t xml:space="preserve">Valor Total por Hora-Extra </t>
  </si>
  <si>
    <t>Mão de obra vinculada à execução contratual</t>
  </si>
  <si>
    <t>Valor da Diária</t>
  </si>
  <si>
    <t>Diária</t>
  </si>
  <si>
    <t>Salário Base</t>
  </si>
  <si>
    <t>Valor Mensal</t>
  </si>
  <si>
    <t>Motorista</t>
  </si>
  <si>
    <t>Hora-Extra - Dias Normais</t>
  </si>
  <si>
    <t>Hora-Extra - Domingos e Feriados</t>
  </si>
  <si>
    <t>Diárias de Viagem</t>
  </si>
  <si>
    <t>Custo Unitário</t>
  </si>
  <si>
    <t>Quantidade Mensal</t>
  </si>
  <si>
    <r>
      <t>BRASÍLIA</t>
    </r>
    <r>
      <rPr>
        <b/>
        <sz val="9"/>
        <rFont val="Calibri"/>
        <family val="2"/>
        <scheme val="minor"/>
      </rPr>
      <t xml:space="preserve"> - CUSTO ANUAL ESTIMADO COM UNIFORMES</t>
    </r>
  </si>
  <si>
    <t>Valor de Referência</t>
  </si>
  <si>
    <t>QUADRO-RESUMO DO CUSTO POR EMPREGADO</t>
  </si>
  <si>
    <t>Módulo 4 - Custos Indiretos, Tributos e Lucro</t>
  </si>
  <si>
    <t>QUADRO-RESUMO DO CUSTO DA HORA-EXTRA</t>
  </si>
  <si>
    <t>Módulo 4 – Custos Indiretos, Tributos e Lucro</t>
  </si>
  <si>
    <t>Subtotal (A + B + C + D + E)</t>
  </si>
  <si>
    <t>Subtotal (A + B + C)</t>
  </si>
  <si>
    <t xml:space="preserve">Valor Total por Diária </t>
  </si>
  <si>
    <t>Horário Regular</t>
  </si>
  <si>
    <t>Trabalho Noturno</t>
  </si>
  <si>
    <t>Adicional de Hora-Extra</t>
  </si>
  <si>
    <t>Hora-Extra Noturna - Dias Normais</t>
  </si>
  <si>
    <t>%</t>
  </si>
  <si>
    <r>
      <t xml:space="preserve">BRASÍLIA - </t>
    </r>
    <r>
      <rPr>
        <b/>
        <sz val="9"/>
        <color theme="1"/>
        <rFont val="Calibri"/>
        <family val="2"/>
        <scheme val="minor"/>
      </rPr>
      <t>DIÁRIAS DE VIAGEM</t>
    </r>
    <r>
      <rPr>
        <b/>
        <sz val="12"/>
        <color theme="1"/>
        <rFont val="Calibri"/>
        <family val="2"/>
        <scheme val="minor"/>
      </rPr>
      <t xml:space="preserve"> (COM PERNOITE)</t>
    </r>
  </si>
  <si>
    <r>
      <t xml:space="preserve">BRASÍLIA - </t>
    </r>
    <r>
      <rPr>
        <b/>
        <sz val="9"/>
        <color theme="1"/>
        <rFont val="Calibri"/>
        <family val="2"/>
        <scheme val="minor"/>
      </rPr>
      <t>DIÁRIAS DE VIAGEM</t>
    </r>
    <r>
      <rPr>
        <b/>
        <sz val="12"/>
        <color theme="1"/>
        <rFont val="Calibri"/>
        <family val="2"/>
        <scheme val="minor"/>
      </rPr>
      <t xml:space="preserve"> (SEM PERNOITE)</t>
    </r>
  </si>
  <si>
    <t>CUSTOS DE MÃO DE OBRA - GRUPO 2 - MOTORISTA</t>
  </si>
  <si>
    <t>DF000220/2023</t>
  </si>
  <si>
    <t>CUSTOS DE MÃO DE OBRA - GRUPO 1 - SERVENTE DE LIMPEZA</t>
  </si>
  <si>
    <t>DF000037/2023</t>
  </si>
  <si>
    <t>Limpeza e Conservação</t>
  </si>
  <si>
    <t>Servente de Limpeza</t>
  </si>
  <si>
    <t>5143-20</t>
  </si>
  <si>
    <t>Copeiragem</t>
  </si>
  <si>
    <t>Copeiro(a)</t>
  </si>
  <si>
    <t>5134-05</t>
  </si>
  <si>
    <t>Garçonaria</t>
  </si>
  <si>
    <t>Garçom/Garçonete</t>
  </si>
  <si>
    <t>CUSTOS DE MÃO DE OBRA - GRUPO 1 - COPEIRAGEM</t>
  </si>
  <si>
    <t>CUSTOS DE MÃO DE OBRA - GRUPO 1 - GARÇONARIA</t>
  </si>
  <si>
    <t>CUSTOS DE MÃO DE OBRA - GRUPO 1 - SUPERVISÃO</t>
  </si>
  <si>
    <t>Supervisão Administrativa</t>
  </si>
  <si>
    <t>Supervisor(a) Administrativo(a)</t>
  </si>
  <si>
    <t>4101-05</t>
  </si>
  <si>
    <t>Movimentação de Mobiliário</t>
  </si>
  <si>
    <t>Homem/Hora</t>
  </si>
  <si>
    <t>Carregador</t>
  </si>
  <si>
    <t>7832-10</t>
  </si>
  <si>
    <t>Valor Unitário do Homem/Hora (220 Horas Mensais)</t>
  </si>
  <si>
    <t>DEPESAS EVENTUAIS - GRUPO 2 - HORA-EXTRAS - MOTORISTAS</t>
  </si>
  <si>
    <t>UNIFORMES - GRUPO 2 - MOTORISTAS</t>
  </si>
  <si>
    <t>UNIFORMES - GRUPO 1</t>
  </si>
  <si>
    <t>SERVENTE DE LIMPEZA</t>
  </si>
  <si>
    <t>Camiseta</t>
  </si>
  <si>
    <t>Calçados</t>
  </si>
  <si>
    <t>TOTAL - SERVENTE DE LIMPEZA</t>
  </si>
  <si>
    <t>COPEIRO</t>
  </si>
  <si>
    <t>Blusa</t>
  </si>
  <si>
    <t>Avental</t>
  </si>
  <si>
    <t>SUBTOTAL - COPEIRO</t>
  </si>
  <si>
    <t>COPEIRA</t>
  </si>
  <si>
    <t>Calça/Saia</t>
  </si>
  <si>
    <t>Touca</t>
  </si>
  <si>
    <t>SUBTOTAL - COPEIRA</t>
  </si>
  <si>
    <t>TOTAL - COPEIRAGEM</t>
  </si>
  <si>
    <t>GARÇOM</t>
  </si>
  <si>
    <t>Terno</t>
  </si>
  <si>
    <t>Summer</t>
  </si>
  <si>
    <t>SUBTOTAL - GARÇOM</t>
  </si>
  <si>
    <t>Lenço</t>
  </si>
  <si>
    <t>Presilha</t>
  </si>
  <si>
    <t>SUBTOTAL - GARÇONETE</t>
  </si>
  <si>
    <t>TOTAL - GARÇONARIA</t>
  </si>
  <si>
    <t>GARÇONETE</t>
  </si>
  <si>
    <t>CARREGADOR</t>
  </si>
  <si>
    <t>TOTAL - CARREGADOR</t>
  </si>
  <si>
    <t>SUPERVISOR(A)</t>
  </si>
  <si>
    <t>TOTAL - SUPERVISÃO ADMINISTRATIVA</t>
  </si>
  <si>
    <t>Grupo</t>
  </si>
  <si>
    <t>Serviço</t>
  </si>
  <si>
    <t>Valor Global (30 meses)</t>
  </si>
  <si>
    <t>Facilities</t>
  </si>
  <si>
    <t>Motoristas</t>
  </si>
  <si>
    <t>Serviços sob Demanda de Carregadores</t>
  </si>
  <si>
    <t>Materiais, Utensílios e Equipamentos de Copeiragem</t>
  </si>
  <si>
    <t>Subtotal - Grupo 1</t>
  </si>
  <si>
    <t>Subtotal - Grupo 2</t>
  </si>
  <si>
    <t>Valor Global da Contratação</t>
  </si>
  <si>
    <t>Posto</t>
  </si>
  <si>
    <t>Unidade</t>
  </si>
  <si>
    <t>Açúcar Cristal</t>
  </si>
  <si>
    <t>Kg</t>
  </si>
  <si>
    <t>Material de Consumo</t>
  </si>
  <si>
    <t>Café em Pó</t>
  </si>
  <si>
    <t>Chá</t>
  </si>
  <si>
    <t>Caixa</t>
  </si>
  <si>
    <t>Coador</t>
  </si>
  <si>
    <t>Copo Biodegradável - 200ml</t>
  </si>
  <si>
    <t>Copo Biodegradável - 110ml</t>
  </si>
  <si>
    <t>Forro para Bandeja</t>
  </si>
  <si>
    <t>Guardanapo - 50 unidades</t>
  </si>
  <si>
    <t>Pacote</t>
  </si>
  <si>
    <t>Pano de Prato</t>
  </si>
  <si>
    <t>Toalha de Papel - 6 rolos de 200m</t>
  </si>
  <si>
    <t>Açucareiro - 300g</t>
  </si>
  <si>
    <t>Bandeja Redonda - 35cm</t>
  </si>
  <si>
    <t>Bandeja Retangular - 30x 20cm</t>
  </si>
  <si>
    <t>Caneca - 2,5l</t>
  </si>
  <si>
    <t>Colher de Café</t>
  </si>
  <si>
    <t>Colher de Chá</t>
  </si>
  <si>
    <t>Colher de Servir - 31,7cm</t>
  </si>
  <si>
    <t>Copo de Vidro - 400ml</t>
  </si>
  <si>
    <t>Desentupidor de Pia</t>
  </si>
  <si>
    <t>Garrafa Térmica - 1l</t>
  </si>
  <si>
    <t>Garrafa Térmica - 1,8l</t>
  </si>
  <si>
    <t>Jarra com Tampa - 2,8l</t>
  </si>
  <si>
    <t>Porta Copo</t>
  </si>
  <si>
    <t>Pote Plástico - 5l</t>
  </si>
  <si>
    <t>Refil de Filtro para Purificador de Água Elétrico</t>
  </si>
  <si>
    <t>Xícara de Café - 80ml</t>
  </si>
  <si>
    <t>Xícara de Chá - 180ml</t>
  </si>
  <si>
    <t>Carrinho de Distribuição de Chá e Café - 90x40x80cm (AxLxP)</t>
  </si>
  <si>
    <t>Forno Micro-ondas - 25l</t>
  </si>
  <si>
    <t>Máquina de Café - 8l</t>
  </si>
  <si>
    <t>Purificador de Água Elétrico - 40x30x35cm</t>
  </si>
  <si>
    <t>Refrigerador - 330l</t>
  </si>
  <si>
    <t>Utensílios</t>
  </si>
  <si>
    <t>Produto</t>
  </si>
  <si>
    <t>Custo Unitário (R$)</t>
  </si>
  <si>
    <t>Valor Mensal (R$)</t>
  </si>
  <si>
    <t>Quantidade Gobal (30 Meses)</t>
  </si>
  <si>
    <t>Valor Global (30 Meses)</t>
  </si>
  <si>
    <t>Adoçante Líquido - 100ml</t>
  </si>
  <si>
    <t>Subtotal - Material de Consumo</t>
  </si>
  <si>
    <t>Subtotal - Utensílios</t>
  </si>
  <si>
    <t>Subtotal - Equipamentos</t>
  </si>
  <si>
    <t>TOTAL - INSUMOS DE COPEIRAGEM</t>
  </si>
  <si>
    <t>Água Sanitária -1l</t>
  </si>
  <si>
    <t>Litro</t>
  </si>
  <si>
    <t>Álcool em Gel - 800ml</t>
  </si>
  <si>
    <t>Refil</t>
  </si>
  <si>
    <t>Álcool Líquido 70%</t>
  </si>
  <si>
    <t>Desinfetante Concentrado - 5l</t>
  </si>
  <si>
    <t>Galão</t>
  </si>
  <si>
    <t>Desodorizador de Ar - 360ml</t>
  </si>
  <si>
    <t>Frasco</t>
  </si>
  <si>
    <t>Desodorizador de Mictório</t>
  </si>
  <si>
    <t>Desodorizador de Vaso Sanitário</t>
  </si>
  <si>
    <t>Detergente Desincrustante - 5l</t>
  </si>
  <si>
    <t>Detergente Lava Louças - 500ml</t>
  </si>
  <si>
    <t>Detergente Concentrado - 5l</t>
  </si>
  <si>
    <t>Disco Abrasivo de 350mm</t>
  </si>
  <si>
    <t>Disco Abrasivo de 510mm</t>
  </si>
  <si>
    <t>Escova de Limpeza Geral</t>
  </si>
  <si>
    <t>Escova de 350mm</t>
  </si>
  <si>
    <t>Esponja de Aço - 8 Unidades</t>
  </si>
  <si>
    <t>Esponja de Limpeza</t>
  </si>
  <si>
    <t>Flanela - 30x40cm</t>
  </si>
  <si>
    <t>Limpa Vidros - 1l</t>
  </si>
  <si>
    <t>Limpador de Cerâmicas e Azulejos - 5l</t>
  </si>
  <si>
    <t>Limpador Multiuso - 500ml</t>
  </si>
  <si>
    <t>Lustra-Móveis - 200ml</t>
  </si>
  <si>
    <t>Luvas de Proteção - P</t>
  </si>
  <si>
    <t>Par</t>
  </si>
  <si>
    <t>Luvas de Proteção - M</t>
  </si>
  <si>
    <t>Luvas de Proteção - G</t>
  </si>
  <si>
    <t>Máscara de Proteção</t>
  </si>
  <si>
    <t>Pano de Chão Alvejado - 50x70cm</t>
  </si>
  <si>
    <t>Papel Higiênico - 8 rolos de 250m</t>
  </si>
  <si>
    <t>Sabão em Barra - 200g - 5 unidades</t>
  </si>
  <si>
    <t>Sabão Líquido - 5l</t>
  </si>
  <si>
    <t>Sabonete Líquido - 800ml</t>
  </si>
  <si>
    <t>Saco Plástico - 50l - Marrom - 100 unidades</t>
  </si>
  <si>
    <t>Saco Plástico - 50l - Cinza - 100 unidades</t>
  </si>
  <si>
    <r>
      <t>Saco Plástico - 100l -</t>
    </r>
    <r>
      <rPr>
        <b/>
        <sz val="11"/>
        <color rgb="FF000000"/>
        <rFont val="Calibri"/>
        <family val="2"/>
      </rPr>
      <t> Azul</t>
    </r>
    <r>
      <rPr>
        <sz val="11"/>
        <color rgb="FF000000"/>
        <rFont val="Calibri"/>
        <family val="2"/>
      </rPr>
      <t> - 100 unidades</t>
    </r>
  </si>
  <si>
    <r>
      <t>Saco Plástico - 100l -</t>
    </r>
    <r>
      <rPr>
        <b/>
        <sz val="11"/>
        <color rgb="FF000000"/>
        <rFont val="Calibri"/>
        <family val="2"/>
      </rPr>
      <t> Vermelho</t>
    </r>
    <r>
      <rPr>
        <sz val="11"/>
        <color rgb="FF000000"/>
        <rFont val="Calibri"/>
        <family val="2"/>
      </rPr>
      <t> - 100 unidades</t>
    </r>
  </si>
  <si>
    <r>
      <t>Saco Plástico - 100l -</t>
    </r>
    <r>
      <rPr>
        <b/>
        <sz val="11"/>
        <color rgb="FF000000"/>
        <rFont val="Calibri"/>
        <family val="2"/>
      </rPr>
      <t> Marrom</t>
    </r>
    <r>
      <rPr>
        <sz val="11"/>
        <color rgb="FF000000"/>
        <rFont val="Calibri"/>
        <family val="2"/>
      </rPr>
      <t> - 100 unidades</t>
    </r>
  </si>
  <si>
    <r>
      <t>Saco Plástico - 100l -</t>
    </r>
    <r>
      <rPr>
        <b/>
        <sz val="11"/>
        <color rgb="FF000000"/>
        <rFont val="Calibri"/>
        <family val="2"/>
      </rPr>
      <t> Cinza</t>
    </r>
    <r>
      <rPr>
        <sz val="11"/>
        <color rgb="FF000000"/>
        <rFont val="Calibri"/>
        <family val="2"/>
      </rPr>
      <t> - 100 unidades</t>
    </r>
  </si>
  <si>
    <t>Balde Plástico - 10l</t>
  </si>
  <si>
    <t>Balde Plástico - 50l</t>
  </si>
  <si>
    <t>Borrifador - 500ml</t>
  </si>
  <si>
    <t>Desentupidor de Vaso Sanitário</t>
  </si>
  <si>
    <t>Dispensador de Sabonete Líquido - 800ml</t>
  </si>
  <si>
    <t>Dispensador de Álcool em Gel - 800ml</t>
  </si>
  <si>
    <t>Escova Sanitária</t>
  </si>
  <si>
    <t>Espanador de Penas</t>
  </si>
  <si>
    <r>
      <t>Lixeira - 40l -</t>
    </r>
    <r>
      <rPr>
        <b/>
        <sz val="11"/>
        <color rgb="FF000000"/>
        <rFont val="Calibri"/>
        <family val="2"/>
      </rPr>
      <t> Azul</t>
    </r>
  </si>
  <si>
    <r>
      <t>Lixeira - 25l - </t>
    </r>
    <r>
      <rPr>
        <b/>
        <sz val="11"/>
        <color rgb="FF000000"/>
        <rFont val="Calibri"/>
        <family val="2"/>
      </rPr>
      <t>Vermelha</t>
    </r>
  </si>
  <si>
    <r>
      <t>Lixeira - 25l - </t>
    </r>
    <r>
      <rPr>
        <b/>
        <sz val="11"/>
        <color rgb="FF000000"/>
        <rFont val="Calibri"/>
        <family val="2"/>
      </rPr>
      <t>Marrom</t>
    </r>
  </si>
  <si>
    <r>
      <t>Lixeira - 25l - </t>
    </r>
    <r>
      <rPr>
        <b/>
        <sz val="11"/>
        <color rgb="FF000000"/>
        <rFont val="Calibri"/>
        <family val="2"/>
      </rPr>
      <t>Cinza</t>
    </r>
  </si>
  <si>
    <r>
      <t>Lixeira - 15l - </t>
    </r>
    <r>
      <rPr>
        <b/>
        <sz val="11"/>
        <color rgb="FF000000"/>
        <rFont val="Calibri"/>
        <family val="2"/>
      </rPr>
      <t>Marrom</t>
    </r>
  </si>
  <si>
    <r>
      <t>Lixeira para Pilhas e Baterias - 20l - L</t>
    </r>
    <r>
      <rPr>
        <b/>
        <sz val="11"/>
        <color rgb="FF000000"/>
        <rFont val="Calibri"/>
        <family val="2"/>
      </rPr>
      <t>aranja</t>
    </r>
  </si>
  <si>
    <t>Lixeira Cinzeiro - 300x700mm</t>
  </si>
  <si>
    <t>Pá de Lixo, com cabo longo</t>
  </si>
  <si>
    <t>Placa de Sinalização de Piso Molhado</t>
  </si>
  <si>
    <t>Rodo - 40cm</t>
  </si>
  <si>
    <t>Rodo - 60cm</t>
  </si>
  <si>
    <t>Suporte para Papel Higiênico - Rolo de 300m</t>
  </si>
  <si>
    <t>Suporte para Papel Toalha - Bobina de 200m</t>
  </si>
  <si>
    <t>Vassoura de Pelo - 40cm</t>
  </si>
  <si>
    <t>Vassoura de Pelo - 60cm</t>
  </si>
  <si>
    <t>Aspirador de Pó - 1400w</t>
  </si>
  <si>
    <t>Balança Mecânica - 300kg</t>
  </si>
  <si>
    <t>Carro Coletor de Lixo - 120l</t>
  </si>
  <si>
    <t>Carro Plataforma - 300kg</t>
  </si>
  <si>
    <t>Container Não Metálico - 1200l</t>
  </si>
  <si>
    <t>Enceradeira Industrial - 350mm</t>
  </si>
  <si>
    <t>Enceradeira Industrial - 510mm</t>
  </si>
  <si>
    <t>TOTAL - INSUMOS DE LIMPEZA E CONSERVAÇÃO</t>
  </si>
  <si>
    <t>DEPESAS EVENTUAIS - GRUPO 2 - MOTORISTAS - DIÁRIAS DE VIAGEM</t>
  </si>
  <si>
    <r>
      <t xml:space="preserve">CONSOLIDAÇÃO DOS CUSTOS - </t>
    </r>
    <r>
      <rPr>
        <b/>
        <i/>
        <sz val="12"/>
        <color theme="1"/>
        <rFont val="Calibri"/>
        <family val="2"/>
        <scheme val="minor"/>
      </rPr>
      <t>FACILITIES</t>
    </r>
    <r>
      <rPr>
        <b/>
        <sz val="12"/>
        <color theme="1"/>
        <rFont val="Calibri"/>
        <family val="2"/>
        <scheme val="minor"/>
      </rPr>
      <t xml:space="preserve"> E MOTORISTA</t>
    </r>
  </si>
  <si>
    <t>CUSTOS DE MÃO DE OBRA - GRUPO 1 - CARREGADOR</t>
  </si>
  <si>
    <t>GRUPO 1 - RELAÇÃO DE INSUMOS DE COPEIRAGEM</t>
  </si>
  <si>
    <t>GRUPO 1 - RELAÇÃO DE INSUMOS DE LIMPEZA E CONSERVAÇÃO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</si>
</sst>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&quot;R$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9" fontId="1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9" applyNumberFormat="0" applyAlignment="0" applyProtection="0"/>
    <xf numFmtId="0" fontId="11" fillId="7" borderId="10" applyNumberFormat="0" applyAlignment="0" applyProtection="0"/>
    <xf numFmtId="0" fontId="12" fillId="7" borderId="9" applyNumberFormat="0" applyAlignment="0" applyProtection="0"/>
    <xf numFmtId="0" fontId="13" fillId="0" borderId="11" applyNumberFormat="0" applyFill="0" applyAlignment="0" applyProtection="0"/>
    <xf numFmtId="0" fontId="14" fillId="8" borderId="12" applyNumberFormat="0" applyAlignment="0" applyProtection="0"/>
    <xf numFmtId="0" fontId="15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36" borderId="0" xfId="0" applyFill="1"/>
    <xf numFmtId="0" fontId="17" fillId="36" borderId="20" xfId="0" applyFont="1" applyFill="1" applyBorder="1" applyAlignment="1">
      <alignment horizontal="center" vertical="center" wrapText="1"/>
    </xf>
    <xf numFmtId="165" fontId="17" fillId="36" borderId="20" xfId="0" applyNumberFormat="1" applyFont="1" applyFill="1" applyBorder="1" applyAlignment="1">
      <alignment horizontal="center" vertical="center" wrapText="1"/>
    </xf>
    <xf numFmtId="0" fontId="0" fillId="36" borderId="20" xfId="0" applyFill="1" applyBorder="1" applyAlignment="1">
      <alignment vertical="center"/>
    </xf>
    <xf numFmtId="165" fontId="0" fillId="36" borderId="20" xfId="0" applyNumberFormat="1" applyFill="1" applyBorder="1" applyAlignment="1">
      <alignment horizontal="center" vertical="center"/>
    </xf>
    <xf numFmtId="0" fontId="0" fillId="36" borderId="20" xfId="0" applyFill="1" applyBorder="1" applyAlignment="1">
      <alignment horizontal="center" vertical="center"/>
    </xf>
    <xf numFmtId="165" fontId="17" fillId="36" borderId="20" xfId="0" applyNumberFormat="1" applyFont="1" applyFill="1" applyBorder="1" applyAlignment="1">
      <alignment horizontal="center" vertical="center"/>
    </xf>
    <xf numFmtId="165" fontId="20" fillId="36" borderId="20" xfId="0" applyNumberFormat="1" applyFont="1" applyFill="1" applyBorder="1" applyAlignment="1">
      <alignment horizontal="center" vertical="center"/>
    </xf>
    <xf numFmtId="165" fontId="0" fillId="36" borderId="0" xfId="0" applyNumberFormat="1" applyFill="1"/>
    <xf numFmtId="0" fontId="21" fillId="36" borderId="0" xfId="0" applyFont="1" applyFill="1"/>
    <xf numFmtId="0" fontId="21" fillId="36" borderId="18" xfId="0" applyFont="1" applyFill="1" applyBorder="1"/>
    <xf numFmtId="0" fontId="21" fillId="36" borderId="17" xfId="0" applyFont="1" applyFill="1" applyBorder="1"/>
    <xf numFmtId="0" fontId="20" fillId="36" borderId="3" xfId="0" applyFont="1" applyFill="1" applyBorder="1" applyAlignment="1">
      <alignment horizontal="center" vertical="center" wrapText="1"/>
    </xf>
    <xf numFmtId="0" fontId="20" fillId="36" borderId="2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vertical="center" wrapText="1"/>
    </xf>
    <xf numFmtId="165" fontId="21" fillId="36" borderId="15" xfId="52" applyNumberFormat="1" applyFont="1" applyFill="1" applyBorder="1" applyAlignment="1">
      <alignment horizontal="center" vertical="center" wrapText="1"/>
    </xf>
    <xf numFmtId="165" fontId="20" fillId="36" borderId="15" xfId="52" applyNumberFormat="1" applyFont="1" applyFill="1" applyBorder="1" applyAlignment="1">
      <alignment horizontal="center" vertical="center" wrapText="1"/>
    </xf>
    <xf numFmtId="0" fontId="20" fillId="36" borderId="0" xfId="0" applyFont="1" applyFill="1" applyAlignment="1">
      <alignment vertical="center"/>
    </xf>
    <xf numFmtId="165" fontId="21" fillId="36" borderId="15" xfId="0" applyNumberFormat="1" applyFont="1" applyFill="1" applyBorder="1" applyAlignment="1">
      <alignment horizontal="center" vertical="center" wrapText="1"/>
    </xf>
    <xf numFmtId="165" fontId="20" fillId="36" borderId="15" xfId="0" applyNumberFormat="1" applyFont="1" applyFill="1" applyBorder="1" applyAlignment="1">
      <alignment horizontal="center" vertical="center" wrapText="1"/>
    </xf>
    <xf numFmtId="10" fontId="21" fillId="36" borderId="15" xfId="0" applyNumberFormat="1" applyFont="1" applyFill="1" applyBorder="1" applyAlignment="1">
      <alignment horizontal="center" vertical="center" wrapText="1"/>
    </xf>
    <xf numFmtId="10" fontId="20" fillId="36" borderId="15" xfId="0" applyNumberFormat="1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vertical="center" wrapText="1"/>
    </xf>
    <xf numFmtId="0" fontId="21" fillId="36" borderId="0" xfId="0" applyFont="1" applyFill="1" applyAlignment="1">
      <alignment vertical="center"/>
    </xf>
    <xf numFmtId="165" fontId="22" fillId="36" borderId="15" xfId="0" applyNumberFormat="1" applyFont="1" applyFill="1" applyBorder="1" applyAlignment="1">
      <alignment horizontal="center" vertical="center" wrapText="1"/>
    </xf>
    <xf numFmtId="165" fontId="23" fillId="36" borderId="15" xfId="0" applyNumberFormat="1" applyFont="1" applyFill="1" applyBorder="1" applyAlignment="1">
      <alignment horizontal="center" vertical="center" wrapText="1"/>
    </xf>
    <xf numFmtId="0" fontId="20" fillId="36" borderId="2" xfId="0" applyFont="1" applyFill="1" applyBorder="1" applyAlignment="1">
      <alignment vertical="center" wrapText="1"/>
    </xf>
    <xf numFmtId="10" fontId="21" fillId="36" borderId="15" xfId="1" applyNumberFormat="1" applyFont="1" applyFill="1" applyBorder="1" applyAlignment="1">
      <alignment horizontal="center" vertical="center" wrapText="1"/>
    </xf>
    <xf numFmtId="10" fontId="20" fillId="36" borderId="15" xfId="1" applyNumberFormat="1" applyFont="1" applyFill="1" applyBorder="1" applyAlignment="1">
      <alignment horizontal="center" vertical="center" wrapText="1"/>
    </xf>
    <xf numFmtId="10" fontId="21" fillId="36" borderId="0" xfId="0" applyNumberFormat="1" applyFont="1" applyFill="1"/>
    <xf numFmtId="0" fontId="20" fillId="36" borderId="5" xfId="0" applyFont="1" applyFill="1" applyBorder="1" applyAlignment="1">
      <alignment horizontal="center" vertical="center" wrapText="1"/>
    </xf>
    <xf numFmtId="0" fontId="20" fillId="36" borderId="0" xfId="0" applyFont="1" applyFill="1" applyAlignment="1">
      <alignment horizontal="center" vertical="center"/>
    </xf>
    <xf numFmtId="0" fontId="21" fillId="34" borderId="0" xfId="0" applyFont="1" applyFill="1"/>
    <xf numFmtId="0" fontId="25" fillId="36" borderId="0" xfId="0" applyFont="1" applyFill="1" applyAlignment="1">
      <alignment horizontal="center" vertical="center"/>
    </xf>
    <xf numFmtId="0" fontId="15" fillId="36" borderId="0" xfId="0" applyFont="1" applyFill="1"/>
    <xf numFmtId="0" fontId="25" fillId="36" borderId="0" xfId="0" applyFont="1" applyFill="1" applyAlignment="1" applyProtection="1">
      <alignment horizontal="center" vertical="center" wrapText="1"/>
      <protection locked="0"/>
    </xf>
    <xf numFmtId="0" fontId="25" fillId="36" borderId="0" xfId="0" applyFont="1" applyFill="1" applyAlignment="1">
      <alignment horizontal="center" vertical="center" wrapText="1"/>
    </xf>
    <xf numFmtId="0" fontId="20" fillId="36" borderId="21" xfId="0" applyFont="1" applyFill="1" applyBorder="1" applyAlignment="1">
      <alignment horizontal="center" vertical="center"/>
    </xf>
    <xf numFmtId="0" fontId="20" fillId="36" borderId="3" xfId="0" applyFont="1" applyFill="1" applyBorder="1" applyAlignment="1">
      <alignment horizontal="center"/>
    </xf>
    <xf numFmtId="9" fontId="21" fillId="36" borderId="15" xfId="1" applyFont="1" applyFill="1" applyBorder="1" applyAlignment="1">
      <alignment horizontal="center" vertical="center" wrapText="1"/>
    </xf>
    <xf numFmtId="0" fontId="20" fillId="36" borderId="4" xfId="0" applyFont="1" applyFill="1" applyBorder="1" applyAlignment="1">
      <alignment horizontal="center"/>
    </xf>
    <xf numFmtId="0" fontId="21" fillId="36" borderId="28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vertical="center" wrapText="1"/>
    </xf>
    <xf numFmtId="9" fontId="21" fillId="36" borderId="3" xfId="1" applyFont="1" applyFill="1" applyBorder="1" applyAlignment="1">
      <alignment horizontal="center" vertical="center" wrapText="1"/>
    </xf>
    <xf numFmtId="9" fontId="22" fillId="36" borderId="15" xfId="1" applyFont="1" applyFill="1" applyBorder="1" applyAlignment="1">
      <alignment horizontal="center" vertical="center" wrapText="1"/>
    </xf>
    <xf numFmtId="165" fontId="22" fillId="36" borderId="15" xfId="52" applyNumberFormat="1" applyFont="1" applyFill="1" applyBorder="1" applyAlignment="1">
      <alignment horizontal="center" vertical="center" wrapText="1"/>
    </xf>
    <xf numFmtId="0" fontId="27" fillId="36" borderId="20" xfId="0" applyFont="1" applyFill="1" applyBorder="1" applyAlignment="1">
      <alignment horizontal="center" vertical="center"/>
    </xf>
    <xf numFmtId="0" fontId="27" fillId="36" borderId="20" xfId="0" applyFont="1" applyFill="1" applyBorder="1" applyAlignment="1">
      <alignment horizontal="center" vertical="center" wrapText="1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0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/>
    </xf>
    <xf numFmtId="165" fontId="28" fillId="36" borderId="20" xfId="52" applyNumberFormat="1" applyFont="1" applyFill="1" applyBorder="1" applyAlignment="1" applyProtection="1">
      <alignment horizontal="center" vertical="center" wrapText="1"/>
    </xf>
    <xf numFmtId="165" fontId="28" fillId="36" borderId="20" xfId="52" applyNumberFormat="1" applyFont="1" applyFill="1" applyBorder="1" applyAlignment="1" applyProtection="1">
      <alignment horizontal="center" vertical="center"/>
    </xf>
    <xf numFmtId="165" fontId="27" fillId="35" borderId="20" xfId="52" applyNumberFormat="1" applyFont="1" applyFill="1" applyBorder="1" applyAlignment="1" applyProtection="1">
      <alignment horizontal="center" vertical="center" wrapText="1"/>
    </xf>
    <xf numFmtId="165" fontId="21" fillId="36" borderId="0" xfId="0" applyNumberFormat="1" applyFont="1" applyFill="1"/>
    <xf numFmtId="0" fontId="0" fillId="36" borderId="22" xfId="0" applyFill="1" applyBorder="1" applyAlignment="1">
      <alignment vertical="center"/>
    </xf>
    <xf numFmtId="0" fontId="0" fillId="36" borderId="24" xfId="0" applyFill="1" applyBorder="1" applyAlignment="1">
      <alignment horizontal="center" vertical="center"/>
    </xf>
    <xf numFmtId="0" fontId="21" fillId="0" borderId="0" xfId="0" applyFont="1"/>
    <xf numFmtId="0" fontId="28" fillId="36" borderId="20" xfId="0" applyFont="1" applyFill="1" applyBorder="1" applyAlignment="1">
      <alignment horizontal="left"/>
    </xf>
    <xf numFmtId="165" fontId="27" fillId="36" borderId="20" xfId="0" applyNumberFormat="1" applyFont="1" applyFill="1" applyBorder="1" applyAlignment="1">
      <alignment horizontal="center" vertical="center" wrapText="1"/>
    </xf>
    <xf numFmtId="165" fontId="28" fillId="36" borderId="20" xfId="0" applyNumberFormat="1" applyFont="1" applyFill="1" applyBorder="1" applyAlignment="1">
      <alignment horizontal="center"/>
    </xf>
    <xf numFmtId="165" fontId="21" fillId="0" borderId="0" xfId="0" applyNumberFormat="1" applyFont="1"/>
    <xf numFmtId="3" fontId="27" fillId="36" borderId="20" xfId="0" applyNumberFormat="1" applyFont="1" applyFill="1" applyBorder="1" applyAlignment="1" applyProtection="1">
      <alignment horizontal="center" vertical="center" wrapText="1"/>
      <protection locked="0"/>
    </xf>
    <xf numFmtId="3" fontId="27" fillId="36" borderId="20" xfId="0" applyNumberFormat="1" applyFont="1" applyFill="1" applyBorder="1" applyAlignment="1">
      <alignment horizontal="center" vertical="center" wrapText="1"/>
    </xf>
    <xf numFmtId="3" fontId="28" fillId="36" borderId="20" xfId="0" applyNumberFormat="1" applyFont="1" applyFill="1" applyBorder="1" applyAlignment="1">
      <alignment horizontal="center"/>
    </xf>
    <xf numFmtId="3" fontId="21" fillId="0" borderId="0" xfId="0" applyNumberFormat="1" applyFont="1"/>
    <xf numFmtId="165" fontId="27" fillId="36" borderId="20" xfId="0" applyNumberFormat="1" applyFont="1" applyFill="1" applyBorder="1" applyAlignment="1">
      <alignment horizontal="center"/>
    </xf>
    <xf numFmtId="3" fontId="28" fillId="34" borderId="20" xfId="0" applyNumberFormat="1" applyFont="1" applyFill="1" applyBorder="1" applyAlignment="1">
      <alignment horizontal="center"/>
    </xf>
    <xf numFmtId="165" fontId="27" fillId="34" borderId="24" xfId="0" applyNumberFormat="1" applyFont="1" applyFill="1" applyBorder="1" applyAlignment="1">
      <alignment horizontal="center"/>
    </xf>
    <xf numFmtId="0" fontId="32" fillId="36" borderId="0" xfId="0" applyFont="1" applyFill="1"/>
    <xf numFmtId="0" fontId="17" fillId="36" borderId="22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/>
    </xf>
    <xf numFmtId="0" fontId="17" fillId="36" borderId="24" xfId="0" applyFont="1" applyFill="1" applyBorder="1" applyAlignment="1">
      <alignment horizontal="center" vertical="center"/>
    </xf>
    <xf numFmtId="0" fontId="0" fillId="36" borderId="22" xfId="0" applyFill="1" applyBorder="1" applyAlignment="1">
      <alignment horizontal="left" vertical="center"/>
    </xf>
    <xf numFmtId="0" fontId="0" fillId="36" borderId="23" xfId="0" applyFill="1" applyBorder="1" applyAlignment="1">
      <alignment horizontal="left" vertical="center"/>
    </xf>
    <xf numFmtId="0" fontId="0" fillId="36" borderId="24" xfId="0" applyFill="1" applyBorder="1" applyAlignment="1">
      <alignment horizontal="left" vertical="center"/>
    </xf>
    <xf numFmtId="0" fontId="20" fillId="2" borderId="0" xfId="0" applyFont="1" applyFill="1" applyAlignment="1">
      <alignment horizontal="center"/>
    </xf>
    <xf numFmtId="0" fontId="0" fillId="36" borderId="25" xfId="0" applyFill="1" applyBorder="1" applyAlignment="1">
      <alignment horizontal="center" vertical="center"/>
    </xf>
    <xf numFmtId="0" fontId="0" fillId="36" borderId="26" xfId="0" applyFill="1" applyBorder="1" applyAlignment="1">
      <alignment horizontal="center" vertical="center"/>
    </xf>
    <xf numFmtId="0" fontId="0" fillId="36" borderId="27" xfId="0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vertical="center"/>
    </xf>
    <xf numFmtId="0" fontId="29" fillId="36" borderId="26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0" fillId="36" borderId="22" xfId="0" applyFill="1" applyBorder="1" applyAlignment="1">
      <alignment vertical="center"/>
    </xf>
    <xf numFmtId="0" fontId="0" fillId="36" borderId="24" xfId="0" applyFill="1" applyBorder="1" applyAlignment="1">
      <alignment vertical="center"/>
    </xf>
    <xf numFmtId="0" fontId="21" fillId="36" borderId="1" xfId="0" applyFont="1" applyFill="1" applyBorder="1" applyAlignment="1">
      <alignment horizontal="left" vertical="center" wrapText="1"/>
    </xf>
    <xf numFmtId="0" fontId="21" fillId="36" borderId="2" xfId="0" applyFont="1" applyFill="1" applyBorder="1" applyAlignment="1">
      <alignment horizontal="left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9" xfId="0" applyFont="1" applyFill="1" applyBorder="1" applyAlignment="1">
      <alignment horizontal="center" vertical="center" wrapText="1"/>
    </xf>
    <xf numFmtId="0" fontId="20" fillId="36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36" borderId="4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center"/>
    </xf>
    <xf numFmtId="0" fontId="21" fillId="36" borderId="3" xfId="0" applyFont="1" applyFill="1" applyBorder="1" applyAlignment="1">
      <alignment horizontal="left"/>
    </xf>
    <xf numFmtId="0" fontId="21" fillId="36" borderId="1" xfId="0" applyFont="1" applyFill="1" applyBorder="1" applyAlignment="1">
      <alignment horizontal="center"/>
    </xf>
    <xf numFmtId="0" fontId="21" fillId="36" borderId="2" xfId="0" applyFont="1" applyFill="1" applyBorder="1" applyAlignment="1">
      <alignment horizontal="center"/>
    </xf>
    <xf numFmtId="0" fontId="21" fillId="36" borderId="19" xfId="0" applyFont="1" applyFill="1" applyBorder="1" applyAlignment="1">
      <alignment horizontal="center"/>
    </xf>
    <xf numFmtId="165" fontId="21" fillId="36" borderId="1" xfId="0" applyNumberFormat="1" applyFont="1" applyFill="1" applyBorder="1" applyAlignment="1">
      <alignment horizontal="center"/>
    </xf>
    <xf numFmtId="165" fontId="21" fillId="36" borderId="2" xfId="0" applyNumberFormat="1" applyFont="1" applyFill="1" applyBorder="1" applyAlignment="1">
      <alignment horizontal="center"/>
    </xf>
    <xf numFmtId="14" fontId="21" fillId="36" borderId="1" xfId="0" applyNumberFormat="1" applyFont="1" applyFill="1" applyBorder="1" applyAlignment="1">
      <alignment horizontal="center"/>
    </xf>
    <xf numFmtId="14" fontId="21" fillId="36" borderId="19" xfId="0" applyNumberFormat="1" applyFont="1" applyFill="1" applyBorder="1" applyAlignment="1">
      <alignment horizontal="center"/>
    </xf>
    <xf numFmtId="0" fontId="20" fillId="34" borderId="0" xfId="0" applyFont="1" applyFill="1" applyAlignment="1">
      <alignment horizontal="center" vertical="center" wrapText="1"/>
    </xf>
    <xf numFmtId="0" fontId="27" fillId="36" borderId="20" xfId="0" applyFont="1" applyFill="1" applyBorder="1" applyAlignment="1">
      <alignment horizontal="center" vertical="center" wrapText="1"/>
    </xf>
    <xf numFmtId="0" fontId="27" fillId="35" borderId="20" xfId="0" applyFont="1" applyFill="1" applyBorder="1" applyAlignment="1">
      <alignment horizontal="center" vertical="center"/>
    </xf>
    <xf numFmtId="0" fontId="27" fillId="36" borderId="29" xfId="0" applyFont="1" applyFill="1" applyBorder="1" applyAlignment="1">
      <alignment horizontal="center" vertical="center" wrapText="1"/>
    </xf>
    <xf numFmtId="0" fontId="27" fillId="36" borderId="30" xfId="0" applyFont="1" applyFill="1" applyBorder="1" applyAlignment="1">
      <alignment horizontal="center" vertical="center" wrapText="1"/>
    </xf>
    <xf numFmtId="0" fontId="27" fillId="36" borderId="31" xfId="0" applyFont="1" applyFill="1" applyBorder="1" applyAlignment="1">
      <alignment horizontal="center" vertical="center" wrapText="1"/>
    </xf>
    <xf numFmtId="0" fontId="27" fillId="34" borderId="22" xfId="0" applyFont="1" applyFill="1" applyBorder="1" applyAlignment="1">
      <alignment horizontal="center"/>
    </xf>
    <xf numFmtId="0" fontId="27" fillId="34" borderId="23" xfId="0" applyFont="1" applyFill="1" applyBorder="1" applyAlignment="1">
      <alignment horizontal="center"/>
    </xf>
    <xf numFmtId="0" fontId="27" fillId="34" borderId="24" xfId="0" applyFont="1" applyFill="1" applyBorder="1" applyAlignment="1">
      <alignment horizontal="center"/>
    </xf>
    <xf numFmtId="0" fontId="27" fillId="36" borderId="22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0" fontId="27" fillId="36" borderId="24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7" fillId="36" borderId="25" xfId="0" applyFont="1" applyFill="1" applyBorder="1" applyAlignment="1">
      <alignment horizontal="center" vertical="center" wrapText="1"/>
    </xf>
    <xf numFmtId="0" fontId="27" fillId="36" borderId="26" xfId="0" applyFont="1" applyFill="1" applyBorder="1" applyAlignment="1">
      <alignment horizontal="center" vertical="center" wrapText="1"/>
    </xf>
    <xf numFmtId="0" fontId="27" fillId="36" borderId="27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/>
    </xf>
    <xf numFmtId="0" fontId="20" fillId="36" borderId="2" xfId="0" applyFont="1" applyFill="1" applyBorder="1" applyAlignment="1">
      <alignment horizontal="center"/>
    </xf>
    <xf numFmtId="0" fontId="20" fillId="36" borderId="4" xfId="0" applyFont="1" applyFill="1" applyBorder="1" applyAlignment="1">
      <alignment horizontal="center" vertical="center"/>
    </xf>
    <xf numFmtId="0" fontId="20" fillId="36" borderId="5" xfId="0" applyFont="1" applyFill="1" applyBorder="1" applyAlignment="1">
      <alignment horizontal="center" vertical="center"/>
    </xf>
    <xf numFmtId="0" fontId="20" fillId="36" borderId="1" xfId="0" applyFont="1" applyFill="1" applyBorder="1" applyAlignment="1">
      <alignment horizontal="left" vertical="center" wrapText="1"/>
    </xf>
    <xf numFmtId="0" fontId="20" fillId="36" borderId="2" xfId="0" applyFont="1" applyFill="1" applyBorder="1" applyAlignment="1">
      <alignment horizontal="left" vertical="center" wrapText="1"/>
    </xf>
    <xf numFmtId="0" fontId="20" fillId="36" borderId="15" xfId="0" applyFont="1" applyFill="1" applyBorder="1" applyAlignment="1">
      <alignment horizontal="center" vertical="center"/>
    </xf>
    <xf numFmtId="0" fontId="27" fillId="36" borderId="20" xfId="0" applyFont="1" applyFill="1" applyBorder="1" applyAlignment="1">
      <alignment horizontal="center" vertical="center"/>
    </xf>
  </cellXfs>
  <cellStyles count="53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52" builtinId="4"/>
    <cellStyle name="Neutro" xfId="12" builtinId="28" customBuiltin="1"/>
    <cellStyle name="Normal" xfId="0" builtinId="0"/>
    <cellStyle name="Normal 2" xfId="47" xr:uid="{00000000-0005-0000-0000-000021000000}"/>
    <cellStyle name="Nota" xfId="19" builtinId="10" customBuiltin="1"/>
    <cellStyle name="Porcentagem" xfId="1" builtinId="5"/>
    <cellStyle name="Ruim" xfId="11" builtinId="27" customBuiltin="1"/>
    <cellStyle name="Saída" xfId="14" builtinId="21" customBuiltin="1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 2" xfId="2" xr:uid="{00000000-0005-0000-0000-00002E000000}"/>
    <cellStyle name="Vírgula 3" xfId="4" xr:uid="{00000000-0005-0000-0000-00002F000000}"/>
    <cellStyle name="Vírgula 3 2" xfId="50" xr:uid="{00000000-0005-0000-0000-000030000000}"/>
    <cellStyle name="Vírgula 4" xfId="3" xr:uid="{00000000-0005-0000-0000-000031000000}"/>
    <cellStyle name="Vírgula 4 2" xfId="49" xr:uid="{00000000-0005-0000-0000-000032000000}"/>
    <cellStyle name="Vírgula 5" xfId="46" xr:uid="{00000000-0005-0000-0000-000033000000}"/>
    <cellStyle name="Vírgula 5 2" xfId="51" xr:uid="{00000000-0005-0000-0000-000034000000}"/>
    <cellStyle name="Vírgula 6" xfId="48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ORDENA&#199;&#195;O%20DE%20COMPRAS\4.%20Bruno\1%20-%20Processos%20de%20Compras%20e%20Contrata&#231;&#245;es\27%20-%20Facilities\Mapa%20Comparativo%20de%20Pre&#231;os.xlsx" TargetMode="External"/><Relationship Id="rId1" Type="http://schemas.openxmlformats.org/officeDocument/2006/relationships/externalLinkPath" Target="Mapa%20Comparativo%20de%20Pre&#231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 - Servente"/>
      <sheetName val="MO - Copeiro(a)"/>
      <sheetName val="MO - Garçom-Garçonete"/>
      <sheetName val="MO - Carregador"/>
      <sheetName val="MO - Supervisor(a)"/>
      <sheetName val="MO - Motorista"/>
      <sheetName val="Insumos de Limpeza"/>
      <sheetName val="Uniformes"/>
      <sheetName val="Insumos de Copeiragem"/>
    </sheetNames>
    <sheetDataSet>
      <sheetData sheetId="0">
        <row r="35">
          <cell r="Q35">
            <v>2.8E-3</v>
          </cell>
        </row>
        <row r="36">
          <cell r="Q36">
            <v>3.3E-3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2.0000000000000001E-4</v>
          </cell>
        </row>
        <row r="44">
          <cell r="Q44">
            <v>2.0000000000000001E-4</v>
          </cell>
        </row>
        <row r="45">
          <cell r="Q45">
            <v>0</v>
          </cell>
        </row>
        <row r="49">
          <cell r="Q49">
            <v>2.5000000000000001E-2</v>
          </cell>
        </row>
        <row r="50">
          <cell r="Q50">
            <v>1.7999999999999999E-2</v>
          </cell>
        </row>
        <row r="51">
          <cell r="Q51">
            <v>6.4999999999999997E-3</v>
          </cell>
        </row>
        <row r="52">
          <cell r="Q52">
            <v>0.03</v>
          </cell>
        </row>
      </sheetData>
      <sheetData sheetId="1">
        <row r="35">
          <cell r="Q35">
            <v>2.8E-3</v>
          </cell>
        </row>
        <row r="36">
          <cell r="Q36">
            <v>6.9999999999999999E-4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2.0000000000000001E-4</v>
          </cell>
        </row>
        <row r="44">
          <cell r="Q44">
            <v>2.9999999999999997E-4</v>
          </cell>
        </row>
        <row r="45">
          <cell r="Q45">
            <v>0</v>
          </cell>
        </row>
        <row r="49">
          <cell r="Q49">
            <v>2.01E-2</v>
          </cell>
        </row>
        <row r="50">
          <cell r="Q50">
            <v>1.01E-2</v>
          </cell>
        </row>
        <row r="51">
          <cell r="Q51">
            <v>6.4999999999999997E-3</v>
          </cell>
        </row>
        <row r="52">
          <cell r="Q52">
            <v>0.03</v>
          </cell>
        </row>
      </sheetData>
      <sheetData sheetId="2">
        <row r="35">
          <cell r="Q35">
            <v>2.8E-3</v>
          </cell>
        </row>
        <row r="36">
          <cell r="Q36">
            <v>1E-3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2.9999999999999997E-4</v>
          </cell>
        </row>
        <row r="44">
          <cell r="Q44">
            <v>2.9999999999999997E-4</v>
          </cell>
        </row>
        <row r="45">
          <cell r="Q45">
            <v>0</v>
          </cell>
        </row>
        <row r="49">
          <cell r="Q49">
            <v>2.01E-2</v>
          </cell>
        </row>
        <row r="50">
          <cell r="Q50">
            <v>1.0999999999999999E-2</v>
          </cell>
        </row>
        <row r="51">
          <cell r="Q51">
            <v>6.4999999999999997E-3</v>
          </cell>
        </row>
        <row r="52">
          <cell r="Q52">
            <v>0.03</v>
          </cell>
        </row>
      </sheetData>
      <sheetData sheetId="3">
        <row r="35">
          <cell r="P35">
            <v>2.8E-3</v>
          </cell>
        </row>
        <row r="36">
          <cell r="P36">
            <v>5.0000000000000001E-4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2.0000000000000001E-4</v>
          </cell>
        </row>
        <row r="44">
          <cell r="P44">
            <v>2.5000000000000001E-4</v>
          </cell>
        </row>
        <row r="45">
          <cell r="P45">
            <v>0</v>
          </cell>
        </row>
        <row r="49">
          <cell r="P49">
            <v>7.0309999999999999E-3</v>
          </cell>
        </row>
        <row r="50">
          <cell r="P50">
            <v>5.0500000000000007E-3</v>
          </cell>
        </row>
        <row r="51">
          <cell r="P51">
            <v>6.4999999999999997E-3</v>
          </cell>
        </row>
        <row r="52">
          <cell r="P52">
            <v>0.03</v>
          </cell>
        </row>
      </sheetData>
      <sheetData sheetId="4">
        <row r="35">
          <cell r="P35">
            <v>2.8E-3</v>
          </cell>
        </row>
        <row r="36">
          <cell r="P36">
            <v>3.5E-4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2.0000000000000001E-4</v>
          </cell>
        </row>
        <row r="44">
          <cell r="P44">
            <v>2.5000000000000001E-4</v>
          </cell>
        </row>
        <row r="45">
          <cell r="P45">
            <v>0</v>
          </cell>
        </row>
        <row r="49">
          <cell r="P49">
            <v>1.2500000000000001E-2</v>
          </cell>
        </row>
        <row r="50">
          <cell r="P50">
            <v>9.9500000000000005E-3</v>
          </cell>
        </row>
        <row r="51">
          <cell r="P51">
            <v>6.4999999999999997E-3</v>
          </cell>
        </row>
        <row r="52">
          <cell r="P52">
            <v>2.9249999999999998E-2</v>
          </cell>
        </row>
      </sheetData>
      <sheetData sheetId="5">
        <row r="35">
          <cell r="P35">
            <v>1.9499999999999999E-3</v>
          </cell>
        </row>
        <row r="36">
          <cell r="P36">
            <v>1.3500000000000001E-3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2.0000000000000001E-4</v>
          </cell>
        </row>
        <row r="44">
          <cell r="P44">
            <v>2.9999999999999997E-4</v>
          </cell>
        </row>
        <row r="45">
          <cell r="P45">
            <v>0</v>
          </cell>
        </row>
        <row r="49">
          <cell r="P49">
            <v>1.1900000000000001E-2</v>
          </cell>
        </row>
        <row r="50">
          <cell r="P50">
            <v>0.01</v>
          </cell>
        </row>
        <row r="51">
          <cell r="P51">
            <v>6.4999999999999997E-3</v>
          </cell>
        </row>
        <row r="52">
          <cell r="P52">
            <v>0.03</v>
          </cell>
        </row>
      </sheetData>
      <sheetData sheetId="6">
        <row r="10">
          <cell r="X10">
            <v>1.9</v>
          </cell>
        </row>
        <row r="11">
          <cell r="X11">
            <v>8.102238925</v>
          </cell>
        </row>
        <row r="12">
          <cell r="X12">
            <v>5.8550000000000004</v>
          </cell>
        </row>
        <row r="13">
          <cell r="X13">
            <v>28.82</v>
          </cell>
        </row>
        <row r="14">
          <cell r="X14">
            <v>7.5250000000000004</v>
          </cell>
        </row>
        <row r="15">
          <cell r="X15">
            <v>3.7</v>
          </cell>
        </row>
        <row r="16">
          <cell r="X16">
            <v>2.665</v>
          </cell>
        </row>
        <row r="17">
          <cell r="X17">
            <v>37.200000000000003</v>
          </cell>
        </row>
        <row r="18">
          <cell r="X18">
            <v>2.98</v>
          </cell>
        </row>
        <row r="19">
          <cell r="X19">
            <v>40.49</v>
          </cell>
        </row>
        <row r="20">
          <cell r="X20">
            <v>19.48</v>
          </cell>
        </row>
        <row r="21">
          <cell r="X21">
            <v>35.9</v>
          </cell>
        </row>
        <row r="22">
          <cell r="X22">
            <v>4.3</v>
          </cell>
        </row>
        <row r="23">
          <cell r="X23">
            <v>68</v>
          </cell>
        </row>
        <row r="24">
          <cell r="X24">
            <v>1.9699999999999998</v>
          </cell>
        </row>
        <row r="25">
          <cell r="X25">
            <v>0.73</v>
          </cell>
        </row>
        <row r="26">
          <cell r="X26">
            <v>1.85</v>
          </cell>
        </row>
        <row r="27">
          <cell r="X27">
            <v>8.1999999999999993</v>
          </cell>
        </row>
        <row r="28">
          <cell r="X28">
            <v>43.66</v>
          </cell>
        </row>
        <row r="29">
          <cell r="X29">
            <v>4.165</v>
          </cell>
        </row>
        <row r="30">
          <cell r="X30">
            <v>3.53</v>
          </cell>
        </row>
        <row r="31">
          <cell r="X31">
            <v>4.5200000000000005</v>
          </cell>
        </row>
        <row r="32">
          <cell r="X32">
            <v>4.95</v>
          </cell>
        </row>
        <row r="33">
          <cell r="X33">
            <v>4.95</v>
          </cell>
        </row>
        <row r="34">
          <cell r="X34">
            <v>1.3900000000000001</v>
          </cell>
        </row>
        <row r="35">
          <cell r="X35">
            <v>3.95</v>
          </cell>
        </row>
        <row r="36">
          <cell r="X36">
            <v>94.085000000000008</v>
          </cell>
        </row>
        <row r="37">
          <cell r="X37">
            <v>6.5</v>
          </cell>
        </row>
        <row r="38">
          <cell r="X38">
            <v>28.191596174999997</v>
          </cell>
        </row>
        <row r="39">
          <cell r="X39">
            <v>6.1</v>
          </cell>
        </row>
        <row r="40">
          <cell r="X40">
            <v>18.899999999999999</v>
          </cell>
        </row>
        <row r="41">
          <cell r="X41">
            <v>16.924999999999997</v>
          </cell>
        </row>
        <row r="42">
          <cell r="X42">
            <v>29.1</v>
          </cell>
        </row>
        <row r="43">
          <cell r="X43">
            <v>30.5</v>
          </cell>
        </row>
        <row r="44">
          <cell r="X44">
            <v>30.5</v>
          </cell>
        </row>
        <row r="45">
          <cell r="X45">
            <v>30.5</v>
          </cell>
        </row>
        <row r="46">
          <cell r="X46">
            <v>93.67</v>
          </cell>
        </row>
        <row r="50">
          <cell r="X50">
            <v>9.1999999999999993</v>
          </cell>
        </row>
        <row r="51">
          <cell r="X51">
            <v>24.868624375000003</v>
          </cell>
        </row>
        <row r="52">
          <cell r="X52">
            <v>6.9810441500000007</v>
          </cell>
        </row>
        <row r="53">
          <cell r="X53">
            <v>4.67</v>
          </cell>
        </row>
        <row r="54">
          <cell r="X54">
            <v>24.5</v>
          </cell>
        </row>
        <row r="55">
          <cell r="X55">
            <v>24.5</v>
          </cell>
        </row>
        <row r="56">
          <cell r="X56">
            <v>4.2079015750000002</v>
          </cell>
        </row>
        <row r="57">
          <cell r="X57">
            <v>15.913885475000001</v>
          </cell>
        </row>
        <row r="58">
          <cell r="X58">
            <v>98.69</v>
          </cell>
        </row>
        <row r="59">
          <cell r="X59">
            <v>115.11</v>
          </cell>
        </row>
        <row r="60">
          <cell r="X60">
            <v>126.9</v>
          </cell>
        </row>
        <row r="61">
          <cell r="X61">
            <v>104.41</v>
          </cell>
        </row>
        <row r="62">
          <cell r="X62">
            <v>64.917298974999994</v>
          </cell>
        </row>
        <row r="63">
          <cell r="X63">
            <v>74.099999999999994</v>
          </cell>
        </row>
        <row r="64">
          <cell r="X64">
            <v>112.78</v>
          </cell>
        </row>
        <row r="65">
          <cell r="X65">
            <v>8.6</v>
          </cell>
        </row>
        <row r="66">
          <cell r="X66">
            <v>34.1</v>
          </cell>
        </row>
        <row r="67">
          <cell r="X67">
            <v>16</v>
          </cell>
        </row>
        <row r="68">
          <cell r="X68">
            <v>14.365</v>
          </cell>
        </row>
        <row r="69">
          <cell r="X69">
            <v>49.9</v>
          </cell>
        </row>
        <row r="70">
          <cell r="X70">
            <v>314</v>
          </cell>
        </row>
        <row r="71">
          <cell r="X71">
            <v>12.15</v>
          </cell>
        </row>
        <row r="72">
          <cell r="X72">
            <v>13.69</v>
          </cell>
        </row>
        <row r="76">
          <cell r="X76">
            <v>380</v>
          </cell>
        </row>
        <row r="77">
          <cell r="X77">
            <v>1231.8200000000002</v>
          </cell>
        </row>
        <row r="78">
          <cell r="X78">
            <v>414.5</v>
          </cell>
        </row>
        <row r="79">
          <cell r="X79">
            <v>919.95230624999999</v>
          </cell>
        </row>
        <row r="80">
          <cell r="X80">
            <v>2012.5331175000001</v>
          </cell>
        </row>
        <row r="81">
          <cell r="X81">
            <v>1929.17</v>
          </cell>
        </row>
        <row r="82">
          <cell r="X82">
            <v>2392</v>
          </cell>
        </row>
      </sheetData>
      <sheetData sheetId="7">
        <row r="10">
          <cell r="AV10">
            <v>41.321285000000003</v>
          </cell>
        </row>
        <row r="11">
          <cell r="AV11">
            <v>24.02</v>
          </cell>
        </row>
        <row r="12">
          <cell r="AV12">
            <v>4.5</v>
          </cell>
        </row>
        <row r="13">
          <cell r="AV13">
            <v>42.105000000000004</v>
          </cell>
        </row>
        <row r="17">
          <cell r="AV17">
            <v>48.800903249999998</v>
          </cell>
        </row>
        <row r="18">
          <cell r="AV18">
            <v>42.854417499999997</v>
          </cell>
        </row>
        <row r="19">
          <cell r="AV19">
            <v>39</v>
          </cell>
        </row>
        <row r="20">
          <cell r="AV20">
            <v>18.566265000000001</v>
          </cell>
        </row>
        <row r="21">
          <cell r="AV21">
            <v>8</v>
          </cell>
        </row>
        <row r="22">
          <cell r="AV22">
            <v>53</v>
          </cell>
        </row>
        <row r="26">
          <cell r="AV26">
            <v>44.400451625000002</v>
          </cell>
        </row>
        <row r="27">
          <cell r="AV27">
            <v>40</v>
          </cell>
        </row>
        <row r="28">
          <cell r="AV28">
            <v>39</v>
          </cell>
        </row>
        <row r="29">
          <cell r="AV29">
            <v>16.132529999999999</v>
          </cell>
        </row>
        <row r="30">
          <cell r="AV30">
            <v>9.1999999999999993</v>
          </cell>
        </row>
        <row r="31">
          <cell r="AV31">
            <v>8.16</v>
          </cell>
        </row>
        <row r="32">
          <cell r="AV32">
            <v>45.581576124999998</v>
          </cell>
        </row>
        <row r="36">
          <cell r="AV36">
            <v>122</v>
          </cell>
        </row>
        <row r="37">
          <cell r="AV37">
            <v>40</v>
          </cell>
        </row>
        <row r="38">
          <cell r="AV38">
            <v>10</v>
          </cell>
        </row>
        <row r="39">
          <cell r="AV39">
            <v>8</v>
          </cell>
        </row>
        <row r="40">
          <cell r="AV40">
            <v>15.566265</v>
          </cell>
        </row>
        <row r="41">
          <cell r="AV41">
            <v>53</v>
          </cell>
        </row>
        <row r="42">
          <cell r="AV42">
            <v>122.3383525</v>
          </cell>
        </row>
        <row r="46">
          <cell r="AV46">
            <v>135</v>
          </cell>
        </row>
        <row r="47">
          <cell r="AV47">
            <v>40</v>
          </cell>
        </row>
        <row r="48">
          <cell r="AV48">
            <v>9.3000000000000007</v>
          </cell>
        </row>
        <row r="49">
          <cell r="AV49">
            <v>7</v>
          </cell>
        </row>
        <row r="50">
          <cell r="AV50">
            <v>10</v>
          </cell>
        </row>
        <row r="51">
          <cell r="AV51">
            <v>52.5</v>
          </cell>
        </row>
        <row r="52">
          <cell r="AV52">
            <v>122.3383525</v>
          </cell>
        </row>
        <row r="56">
          <cell r="AV56">
            <v>50</v>
          </cell>
        </row>
        <row r="57">
          <cell r="AV57">
            <v>30</v>
          </cell>
        </row>
        <row r="58">
          <cell r="AV58">
            <v>10.5</v>
          </cell>
        </row>
        <row r="59">
          <cell r="AV59">
            <v>45</v>
          </cell>
        </row>
        <row r="63">
          <cell r="AV63">
            <v>43</v>
          </cell>
        </row>
        <row r="64">
          <cell r="AV64">
            <v>41.497615312500002</v>
          </cell>
        </row>
        <row r="65">
          <cell r="AV65">
            <v>5.3371786750000005</v>
          </cell>
        </row>
        <row r="66">
          <cell r="AV66">
            <v>50</v>
          </cell>
        </row>
        <row r="70">
          <cell r="AV70">
            <v>79.900000000000006</v>
          </cell>
        </row>
        <row r="71">
          <cell r="AV71">
            <v>47.76</v>
          </cell>
        </row>
        <row r="72">
          <cell r="AV72">
            <v>46.5</v>
          </cell>
        </row>
        <row r="73">
          <cell r="AV73">
            <v>15</v>
          </cell>
        </row>
        <row r="74">
          <cell r="AV74">
            <v>15.994999999999999</v>
          </cell>
        </row>
        <row r="75">
          <cell r="AV75">
            <v>6</v>
          </cell>
        </row>
        <row r="76">
          <cell r="AV76">
            <v>61.5</v>
          </cell>
        </row>
      </sheetData>
      <sheetData sheetId="8">
        <row r="10">
          <cell r="W10">
            <v>3.65</v>
          </cell>
        </row>
        <row r="11">
          <cell r="W11">
            <v>5.49</v>
          </cell>
        </row>
        <row r="12">
          <cell r="W12">
            <v>17.52</v>
          </cell>
        </row>
        <row r="13">
          <cell r="W13">
            <v>3.8449999999999998</v>
          </cell>
        </row>
        <row r="14">
          <cell r="W14">
            <v>9.8000000000000007</v>
          </cell>
        </row>
        <row r="15">
          <cell r="W15">
            <v>4.1099999999999994</v>
          </cell>
        </row>
        <row r="16">
          <cell r="W16">
            <v>1.99</v>
          </cell>
        </row>
        <row r="17">
          <cell r="W17">
            <v>5.2549999999999999</v>
          </cell>
        </row>
        <row r="18">
          <cell r="W18">
            <v>1.99</v>
          </cell>
        </row>
        <row r="19">
          <cell r="W19">
            <v>3.9041666666666668</v>
          </cell>
        </row>
        <row r="23">
          <cell r="W23">
            <v>33.319477750000004</v>
          </cell>
        </row>
        <row r="24">
          <cell r="W24">
            <v>38.25</v>
          </cell>
        </row>
        <row r="25">
          <cell r="W25">
            <v>67.849999999999994</v>
          </cell>
        </row>
        <row r="26">
          <cell r="W26">
            <v>53.89</v>
          </cell>
        </row>
        <row r="27">
          <cell r="W27">
            <v>2.04</v>
          </cell>
        </row>
        <row r="28">
          <cell r="W28">
            <v>2.5044427625000001</v>
          </cell>
        </row>
        <row r="29">
          <cell r="W29">
            <v>7.73</v>
          </cell>
        </row>
        <row r="30">
          <cell r="W30">
            <v>5.6</v>
          </cell>
        </row>
        <row r="31">
          <cell r="W31">
            <v>13.49</v>
          </cell>
        </row>
        <row r="32">
          <cell r="W32">
            <v>69.900000000000006</v>
          </cell>
        </row>
        <row r="33">
          <cell r="W33">
            <v>96.2405468125</v>
          </cell>
        </row>
        <row r="34">
          <cell r="W34">
            <v>99</v>
          </cell>
        </row>
        <row r="35">
          <cell r="W35">
            <v>8.7050000000000001</v>
          </cell>
        </row>
        <row r="36">
          <cell r="W36">
            <v>21</v>
          </cell>
        </row>
        <row r="37">
          <cell r="W37">
            <v>99</v>
          </cell>
        </row>
        <row r="38">
          <cell r="W38">
            <v>8.42</v>
          </cell>
        </row>
        <row r="39">
          <cell r="W39">
            <v>9.3949999999999996</v>
          </cell>
        </row>
        <row r="43">
          <cell r="W43">
            <v>858.93622852499993</v>
          </cell>
        </row>
        <row r="44">
          <cell r="W44">
            <v>737.78</v>
          </cell>
        </row>
        <row r="45">
          <cell r="W45">
            <v>999.5</v>
          </cell>
        </row>
        <row r="46">
          <cell r="W46">
            <v>1226</v>
          </cell>
        </row>
        <row r="47">
          <cell r="W47">
            <v>2666.69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7"/>
  <sheetViews>
    <sheetView tabSelected="1" workbookViewId="0">
      <selection activeCell="A18" sqref="A18"/>
    </sheetView>
  </sheetViews>
  <sheetFormatPr defaultColWidth="9.1796875" defaultRowHeight="14.5" x14ac:dyDescent="0.35"/>
  <cols>
    <col min="1" max="1" width="9.1796875" style="1"/>
    <col min="2" max="2" width="11.26953125" style="1" customWidth="1"/>
    <col min="3" max="3" width="31" style="1" bestFit="1" customWidth="1"/>
    <col min="4" max="4" width="15.90625" style="9" customWidth="1"/>
    <col min="5" max="5" width="12.54296875" style="9" bestFit="1" customWidth="1"/>
    <col min="6" max="6" width="11.453125" style="1" customWidth="1"/>
    <col min="7" max="7" width="12.1796875" style="9" customWidth="1"/>
    <col min="8" max="8" width="13.7265625" style="9" bestFit="1" customWidth="1"/>
    <col min="9" max="9" width="15.36328125" style="9" bestFit="1" customWidth="1"/>
    <col min="10" max="16384" width="9.1796875" style="1"/>
  </cols>
  <sheetData>
    <row r="1" spans="1:9" ht="15.5" x14ac:dyDescent="0.35">
      <c r="A1" s="78" t="s">
        <v>371</v>
      </c>
      <c r="B1" s="78"/>
      <c r="C1" s="78"/>
      <c r="D1" s="78"/>
      <c r="E1" s="78"/>
      <c r="F1" s="78"/>
      <c r="G1" s="78"/>
      <c r="H1" s="78"/>
      <c r="I1" s="78"/>
    </row>
    <row r="2" spans="1:9" ht="6" customHeight="1" x14ac:dyDescent="0.35"/>
    <row r="3" spans="1:9" ht="29" x14ac:dyDescent="0.35">
      <c r="A3" s="2" t="s">
        <v>239</v>
      </c>
      <c r="B3" s="2" t="s">
        <v>139</v>
      </c>
      <c r="C3" s="2" t="s">
        <v>240</v>
      </c>
      <c r="D3" s="3" t="s">
        <v>163</v>
      </c>
      <c r="E3" s="3" t="s">
        <v>119</v>
      </c>
      <c r="F3" s="2" t="s">
        <v>170</v>
      </c>
      <c r="G3" s="3" t="s">
        <v>169</v>
      </c>
      <c r="H3" s="3" t="s">
        <v>164</v>
      </c>
      <c r="I3" s="3" t="s">
        <v>241</v>
      </c>
    </row>
    <row r="4" spans="1:9" x14ac:dyDescent="0.35">
      <c r="A4" s="79">
        <v>1</v>
      </c>
      <c r="B4" s="82" t="s">
        <v>242</v>
      </c>
      <c r="C4" s="4" t="s">
        <v>191</v>
      </c>
      <c r="D4" s="5">
        <f>'Grupo 1 - Servente de Limpeza'!C16</f>
        <v>1515.92</v>
      </c>
      <c r="E4" s="58" t="s">
        <v>249</v>
      </c>
      <c r="F4" s="6">
        <v>9</v>
      </c>
      <c r="G4" s="5">
        <f>ROUND('Grupo 1 - Servente de Limpeza'!D177,2)</f>
        <v>5890.48</v>
      </c>
      <c r="H4" s="5">
        <f>ROUND(G4*F4,2)</f>
        <v>53014.32</v>
      </c>
      <c r="I4" s="5">
        <f>ROUND(H4*30,2)</f>
        <v>1590429.6</v>
      </c>
    </row>
    <row r="5" spans="1:9" x14ac:dyDescent="0.35">
      <c r="A5" s="80"/>
      <c r="B5" s="83"/>
      <c r="C5" s="4" t="s">
        <v>194</v>
      </c>
      <c r="D5" s="5">
        <f>'Grupo 1 - Copeiragem'!C16</f>
        <v>1515.92</v>
      </c>
      <c r="E5" s="58" t="s">
        <v>249</v>
      </c>
      <c r="F5" s="6">
        <v>6</v>
      </c>
      <c r="G5" s="5">
        <f>ROUND('Grupo 1 - Copeiragem'!D176,2)</f>
        <v>4482.32</v>
      </c>
      <c r="H5" s="5">
        <f t="shared" ref="H5:H8" si="0">ROUND(G5*F5,2)</f>
        <v>26893.919999999998</v>
      </c>
      <c r="I5" s="5">
        <f t="shared" ref="I5:I9" si="1">ROUND(H5*30,2)</f>
        <v>806817.6</v>
      </c>
    </row>
    <row r="6" spans="1:9" x14ac:dyDescent="0.35">
      <c r="A6" s="80"/>
      <c r="B6" s="83"/>
      <c r="C6" s="57" t="s">
        <v>197</v>
      </c>
      <c r="D6" s="5">
        <f>'Grupo 1 - Garçonaria'!C16</f>
        <v>2238.1</v>
      </c>
      <c r="E6" s="58" t="s">
        <v>249</v>
      </c>
      <c r="F6" s="6">
        <v>4</v>
      </c>
      <c r="G6" s="5">
        <f>ROUND('Grupo 1 - Garçonaria'!D176,2)</f>
        <v>5852.07</v>
      </c>
      <c r="H6" s="5">
        <f t="shared" si="0"/>
        <v>23408.28</v>
      </c>
      <c r="I6" s="5">
        <f t="shared" si="1"/>
        <v>702248.4</v>
      </c>
    </row>
    <row r="7" spans="1:9" x14ac:dyDescent="0.35">
      <c r="A7" s="80"/>
      <c r="B7" s="83"/>
      <c r="C7" s="57" t="s">
        <v>202</v>
      </c>
      <c r="D7" s="5">
        <f>'Grupo 1 - Supervisão'!C16</f>
        <v>2997.58</v>
      </c>
      <c r="E7" s="58" t="s">
        <v>249</v>
      </c>
      <c r="F7" s="6">
        <v>1</v>
      </c>
      <c r="G7" s="5">
        <f>ROUND('Grupo 1 - Supervisão'!D176,2)</f>
        <v>7068.81</v>
      </c>
      <c r="H7" s="5">
        <f t="shared" si="0"/>
        <v>7068.81</v>
      </c>
      <c r="I7" s="5">
        <f t="shared" si="1"/>
        <v>212064.3</v>
      </c>
    </row>
    <row r="8" spans="1:9" x14ac:dyDescent="0.35">
      <c r="A8" s="80"/>
      <c r="B8" s="83"/>
      <c r="C8" s="75" t="s">
        <v>244</v>
      </c>
      <c r="D8" s="77"/>
      <c r="E8" s="58" t="s">
        <v>206</v>
      </c>
      <c r="F8" s="6">
        <v>27</v>
      </c>
      <c r="G8" s="5">
        <f>ROUND('Grupo 1 - Carregador'!D177,2)</f>
        <v>21.48</v>
      </c>
      <c r="H8" s="5">
        <f t="shared" si="0"/>
        <v>579.96</v>
      </c>
      <c r="I8" s="5">
        <f t="shared" si="1"/>
        <v>17398.8</v>
      </c>
    </row>
    <row r="9" spans="1:9" x14ac:dyDescent="0.35">
      <c r="A9" s="80"/>
      <c r="B9" s="83"/>
      <c r="C9" s="75" t="s">
        <v>245</v>
      </c>
      <c r="D9" s="76"/>
      <c r="E9" s="76"/>
      <c r="F9" s="76"/>
      <c r="G9" s="77"/>
      <c r="H9" s="5">
        <f>ROUND('Grupo 1 - Insumos de Copeiragem'!G39,2)</f>
        <v>11536.61</v>
      </c>
      <c r="I9" s="5">
        <f t="shared" si="1"/>
        <v>346098.3</v>
      </c>
    </row>
    <row r="10" spans="1:9" x14ac:dyDescent="0.35">
      <c r="A10" s="81"/>
      <c r="B10" s="84"/>
      <c r="C10" s="72" t="s">
        <v>246</v>
      </c>
      <c r="D10" s="73"/>
      <c r="E10" s="73"/>
      <c r="F10" s="73"/>
      <c r="G10" s="74"/>
      <c r="H10" s="7">
        <f>SUM(H4:H9)</f>
        <v>122501.9</v>
      </c>
      <c r="I10" s="7">
        <f>SUM(I4:I9)</f>
        <v>3675056.9999999995</v>
      </c>
    </row>
    <row r="11" spans="1:9" x14ac:dyDescent="0.35">
      <c r="A11" s="79">
        <v>2</v>
      </c>
      <c r="B11" s="79" t="s">
        <v>243</v>
      </c>
      <c r="C11" s="4" t="s">
        <v>165</v>
      </c>
      <c r="D11" s="5">
        <f>'Grupo 2 - Motorista'!C16</f>
        <v>3143.76</v>
      </c>
      <c r="E11" s="58" t="s">
        <v>249</v>
      </c>
      <c r="F11" s="6">
        <v>5</v>
      </c>
      <c r="G11" s="5">
        <f>'Grupo 2 - Motorista'!D176</f>
        <v>8218.8926306666672</v>
      </c>
      <c r="H11" s="5">
        <f>ROUND(F11*G11,2)</f>
        <v>41094.46</v>
      </c>
      <c r="I11" s="5">
        <f>ROUND(H11*30,2)</f>
        <v>1232833.8</v>
      </c>
    </row>
    <row r="12" spans="1:9" x14ac:dyDescent="0.35">
      <c r="A12" s="80"/>
      <c r="B12" s="80"/>
      <c r="C12" s="75" t="s">
        <v>168</v>
      </c>
      <c r="D12" s="77"/>
      <c r="E12" s="5" t="s">
        <v>250</v>
      </c>
      <c r="F12" s="6">
        <v>15</v>
      </c>
      <c r="G12" s="5">
        <f>'Grupo 2 - Diárias'!D18</f>
        <v>335.64</v>
      </c>
      <c r="H12" s="5">
        <f t="shared" ref="H12:H15" si="2">ROUND(F12*G12,2)</f>
        <v>5034.6000000000004</v>
      </c>
      <c r="I12" s="5">
        <f t="shared" ref="I12:I15" si="3">ROUND(H12*30,2)</f>
        <v>151038</v>
      </c>
    </row>
    <row r="13" spans="1:9" x14ac:dyDescent="0.35">
      <c r="A13" s="80"/>
      <c r="B13" s="80"/>
      <c r="C13" s="85" t="s">
        <v>166</v>
      </c>
      <c r="D13" s="86"/>
      <c r="E13" s="5" t="s">
        <v>250</v>
      </c>
      <c r="F13" s="6">
        <v>53</v>
      </c>
      <c r="G13" s="5">
        <f>'Grupo 2 - Horas-extras'!D116</f>
        <v>40.179999999999993</v>
      </c>
      <c r="H13" s="5">
        <f t="shared" si="2"/>
        <v>2129.54</v>
      </c>
      <c r="I13" s="5">
        <f t="shared" si="3"/>
        <v>63886.2</v>
      </c>
    </row>
    <row r="14" spans="1:9" x14ac:dyDescent="0.35">
      <c r="A14" s="80"/>
      <c r="B14" s="80"/>
      <c r="C14" s="85" t="s">
        <v>183</v>
      </c>
      <c r="D14" s="86"/>
      <c r="E14" s="5" t="s">
        <v>250</v>
      </c>
      <c r="F14" s="6">
        <v>4</v>
      </c>
      <c r="G14" s="5">
        <f>'Grupo 2 - Horas-extras'!E116</f>
        <v>48.18</v>
      </c>
      <c r="H14" s="5">
        <f t="shared" si="2"/>
        <v>192.72</v>
      </c>
      <c r="I14" s="5">
        <f t="shared" si="3"/>
        <v>5781.6</v>
      </c>
    </row>
    <row r="15" spans="1:9" x14ac:dyDescent="0.35">
      <c r="A15" s="80"/>
      <c r="B15" s="81"/>
      <c r="C15" s="85" t="s">
        <v>167</v>
      </c>
      <c r="D15" s="86"/>
      <c r="E15" s="5" t="s">
        <v>250</v>
      </c>
      <c r="F15" s="6">
        <v>8</v>
      </c>
      <c r="G15" s="5">
        <f>'Grupo 2 - Horas-extras'!F116</f>
        <v>53.519999999999996</v>
      </c>
      <c r="H15" s="5">
        <f t="shared" si="2"/>
        <v>428.16</v>
      </c>
      <c r="I15" s="5">
        <f t="shared" si="3"/>
        <v>12844.8</v>
      </c>
    </row>
    <row r="16" spans="1:9" x14ac:dyDescent="0.35">
      <c r="A16" s="80"/>
      <c r="B16" s="72" t="s">
        <v>247</v>
      </c>
      <c r="C16" s="73"/>
      <c r="D16" s="73"/>
      <c r="E16" s="73"/>
      <c r="F16" s="73"/>
      <c r="G16" s="74"/>
      <c r="H16" s="7">
        <f>SUM(H11:H15)</f>
        <v>48879.48</v>
      </c>
      <c r="I16" s="7">
        <f>SUM(I11:I15)</f>
        <v>1466384.4000000001</v>
      </c>
    </row>
    <row r="17" spans="1:9" ht="15.5" x14ac:dyDescent="0.35">
      <c r="A17" s="72" t="s">
        <v>248</v>
      </c>
      <c r="B17" s="73"/>
      <c r="C17" s="73"/>
      <c r="D17" s="73"/>
      <c r="E17" s="73"/>
      <c r="F17" s="73"/>
      <c r="G17" s="74"/>
      <c r="H17" s="8">
        <f>H10+H16</f>
        <v>171381.38</v>
      </c>
      <c r="I17" s="8">
        <f>I10+I16</f>
        <v>5141441.3999999994</v>
      </c>
    </row>
  </sheetData>
  <mergeCells count="14">
    <mergeCell ref="A17:G17"/>
    <mergeCell ref="C9:G9"/>
    <mergeCell ref="A1:I1"/>
    <mergeCell ref="A4:A10"/>
    <mergeCell ref="B4:B10"/>
    <mergeCell ref="B11:B15"/>
    <mergeCell ref="A11:A16"/>
    <mergeCell ref="C15:D15"/>
    <mergeCell ref="B16:G16"/>
    <mergeCell ref="C8:D8"/>
    <mergeCell ref="C12:D12"/>
    <mergeCell ref="C13:D13"/>
    <mergeCell ref="C14:D14"/>
    <mergeCell ref="C10:G10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6"/>
  <sheetViews>
    <sheetView workbookViewId="0">
      <selection activeCell="E5" sqref="E5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187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99"/>
    </row>
    <row r="6" spans="1:5" ht="16" thickBot="1" x14ac:dyDescent="0.4">
      <c r="A6" s="97" t="s">
        <v>115</v>
      </c>
      <c r="B6" s="97"/>
      <c r="C6" s="98" t="s">
        <v>188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127</v>
      </c>
      <c r="D11" s="99"/>
    </row>
    <row r="12" spans="1:5" ht="16" thickBot="1" x14ac:dyDescent="0.4">
      <c r="A12" s="97" t="s">
        <v>119</v>
      </c>
      <c r="B12" s="97"/>
      <c r="C12" s="98" t="s">
        <v>125</v>
      </c>
      <c r="D12" s="100"/>
      <c r="E12" s="12"/>
    </row>
    <row r="13" spans="1:5" ht="16" thickBot="1" x14ac:dyDescent="0.4">
      <c r="A13" s="97" t="s">
        <v>120</v>
      </c>
      <c r="B13" s="97"/>
      <c r="C13" s="98">
        <v>5</v>
      </c>
      <c r="D13" s="99"/>
    </row>
    <row r="14" spans="1:5" ht="16" thickBot="1" x14ac:dyDescent="0.4">
      <c r="A14" s="97" t="s">
        <v>123</v>
      </c>
      <c r="B14" s="97"/>
      <c r="C14" s="98" t="s">
        <v>137</v>
      </c>
      <c r="D14" s="99"/>
    </row>
    <row r="15" spans="1:5" ht="16" thickBot="1" x14ac:dyDescent="0.4">
      <c r="A15" s="97" t="s">
        <v>121</v>
      </c>
      <c r="B15" s="97"/>
      <c r="C15" s="98" t="s">
        <v>128</v>
      </c>
      <c r="D15" s="99"/>
    </row>
    <row r="16" spans="1:5" ht="16" thickBot="1" x14ac:dyDescent="0.4">
      <c r="A16" s="97" t="s">
        <v>122</v>
      </c>
      <c r="B16" s="97"/>
      <c r="C16" s="101">
        <v>3143.76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3143.76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3143.76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261.88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87.28</v>
      </c>
    </row>
    <row r="36" spans="1:4" ht="16" thickBot="1" x14ac:dyDescent="0.4">
      <c r="A36" s="89" t="s">
        <v>13</v>
      </c>
      <c r="B36" s="90"/>
      <c r="C36" s="91"/>
      <c r="D36" s="21">
        <f>D34+D35</f>
        <v>349.15999999999997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 t="shared" ref="D41:D47" si="0">ROUND(($D$27+$D$36)*C41,2)</f>
        <v>698.58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si="0"/>
        <v>87.32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104.79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52.39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34.93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20.96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6.99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1005.96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>ROUND(($D$27+$D$36)*C49,2)</f>
        <v>279.43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1285.3900000000001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ROUND(C55*2*22,2)</f>
        <v>242</v>
      </c>
    </row>
    <row r="56" spans="1:4" ht="16" thickBot="1" x14ac:dyDescent="0.4">
      <c r="A56" s="94"/>
      <c r="B56" s="16" t="s">
        <v>40</v>
      </c>
      <c r="C56" s="46">
        <v>0.06</v>
      </c>
      <c r="D56" s="47">
        <f>ROUND(D27*C56,2)</f>
        <v>188.63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53.370000000000005</v>
      </c>
    </row>
    <row r="58" spans="1:4" ht="16" thickBot="1" x14ac:dyDescent="0.4">
      <c r="A58" s="93" t="s">
        <v>5</v>
      </c>
      <c r="B58" s="16" t="s">
        <v>42</v>
      </c>
      <c r="C58" s="17">
        <v>44.43</v>
      </c>
      <c r="D58" s="17">
        <f>ROUND(C58*22,2)</f>
        <v>977.46</v>
      </c>
    </row>
    <row r="59" spans="1:4" ht="16" thickBot="1" x14ac:dyDescent="0.4">
      <c r="A59" s="94"/>
      <c r="B59" s="16" t="s">
        <v>132</v>
      </c>
      <c r="C59" s="47">
        <v>0.3</v>
      </c>
      <c r="D59" s="47">
        <f>C59</f>
        <v>0.3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977.16000000000008</v>
      </c>
    </row>
    <row r="61" spans="1:4" ht="16" thickBot="1" x14ac:dyDescent="0.4">
      <c r="A61" s="93" t="s">
        <v>7</v>
      </c>
      <c r="B61" s="16" t="s">
        <v>130</v>
      </c>
      <c r="C61" s="17">
        <v>371</v>
      </c>
      <c r="D61" s="17">
        <f>C61</f>
        <v>371</v>
      </c>
    </row>
    <row r="62" spans="1:4" ht="16" thickBot="1" x14ac:dyDescent="0.4">
      <c r="A62" s="94"/>
      <c r="B62" s="16" t="s">
        <v>131</v>
      </c>
      <c r="C62" s="47">
        <v>130</v>
      </c>
      <c r="D62" s="47">
        <f>C62</f>
        <v>130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241</v>
      </c>
    </row>
    <row r="64" spans="1:4" ht="16" thickBot="1" x14ac:dyDescent="0.4">
      <c r="A64" s="93" t="s">
        <v>9</v>
      </c>
      <c r="B64" s="16" t="s">
        <v>133</v>
      </c>
      <c r="C64" s="17">
        <v>37.47</v>
      </c>
      <c r="D64" s="17">
        <f>C64</f>
        <v>37.47</v>
      </c>
    </row>
    <row r="65" spans="1:4" ht="16" thickBot="1" x14ac:dyDescent="0.4">
      <c r="A65" s="94"/>
      <c r="B65" s="16" t="s">
        <v>131</v>
      </c>
      <c r="C65" s="47">
        <v>37.47</v>
      </c>
      <c r="D65" s="47">
        <f>D64</f>
        <v>37.47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0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f>C68</f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1274.2800000000002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349.15999999999997</v>
      </c>
    </row>
    <row r="76" spans="1:4" ht="16" thickBot="1" x14ac:dyDescent="0.4">
      <c r="A76" s="15" t="s">
        <v>20</v>
      </c>
      <c r="B76" s="87" t="s">
        <v>21</v>
      </c>
      <c r="C76" s="88">
        <f>D50</f>
        <v>1285.3900000000001</v>
      </c>
      <c r="D76" s="20">
        <f>D50</f>
        <v>1285.3900000000001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1274.2800000000002</v>
      </c>
    </row>
    <row r="78" spans="1:4" ht="16" thickBot="1" x14ac:dyDescent="0.4">
      <c r="A78" s="89" t="s">
        <v>13</v>
      </c>
      <c r="B78" s="90"/>
      <c r="C78" s="91"/>
      <c r="D78" s="21">
        <f>SUM(D75:D77)</f>
        <v>2908.8300000000004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6" ht="6" customHeight="1" x14ac:dyDescent="0.35"/>
    <row r="82" spans="1:6" x14ac:dyDescent="0.35">
      <c r="A82" s="96" t="s">
        <v>48</v>
      </c>
      <c r="B82" s="96"/>
      <c r="C82" s="96"/>
      <c r="D82" s="96"/>
    </row>
    <row r="83" spans="1:6" ht="6" customHeight="1" thickBot="1" x14ac:dyDescent="0.4"/>
    <row r="84" spans="1:6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6" ht="16" thickBot="1" x14ac:dyDescent="0.4">
      <c r="A85" s="15" t="s">
        <v>3</v>
      </c>
      <c r="B85" s="87" t="s">
        <v>50</v>
      </c>
      <c r="C85" s="88"/>
      <c r="D85" s="20">
        <f>ROUND(((D27+D78-D49)/12)*0.97*0.5,2)</f>
        <v>233.33</v>
      </c>
      <c r="F85" s="56"/>
    </row>
    <row r="86" spans="1:6" ht="16" thickBot="1" x14ac:dyDescent="0.4">
      <c r="A86" s="15" t="s">
        <v>5</v>
      </c>
      <c r="B86" s="87" t="s">
        <v>51</v>
      </c>
      <c r="C86" s="88"/>
      <c r="D86" s="20">
        <f>ROUND((D27+D36)*0.08*0.4*0.97*0.5,2)</f>
        <v>54.21</v>
      </c>
    </row>
    <row r="87" spans="1:6" ht="16" thickBot="1" x14ac:dyDescent="0.4">
      <c r="A87" s="89" t="s">
        <v>13</v>
      </c>
      <c r="B87" s="90"/>
      <c r="C87" s="91"/>
      <c r="D87" s="21">
        <f>D85+D86</f>
        <v>287.54000000000002</v>
      </c>
    </row>
    <row r="88" spans="1:6" ht="6" customHeight="1" x14ac:dyDescent="0.35"/>
    <row r="89" spans="1:6" x14ac:dyDescent="0.35">
      <c r="A89" s="96" t="s">
        <v>52</v>
      </c>
      <c r="B89" s="96"/>
      <c r="C89" s="96"/>
      <c r="D89" s="96"/>
    </row>
    <row r="90" spans="1:6" ht="6" customHeight="1" thickBot="1" x14ac:dyDescent="0.4"/>
    <row r="91" spans="1:6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6" ht="16" thickBot="1" x14ac:dyDescent="0.4">
      <c r="A92" s="15" t="s">
        <v>3</v>
      </c>
      <c r="B92" s="87" t="s">
        <v>54</v>
      </c>
      <c r="C92" s="88"/>
      <c r="D92" s="20">
        <f>ROUND(((D27+D78)/12)*0.97*0.5,2)</f>
        <v>244.63</v>
      </c>
    </row>
    <row r="93" spans="1:6" ht="16" thickBot="1" x14ac:dyDescent="0.4">
      <c r="A93" s="15" t="s">
        <v>5</v>
      </c>
      <c r="B93" s="87" t="s">
        <v>55</v>
      </c>
      <c r="C93" s="88"/>
      <c r="D93" s="20">
        <f>ROUND((D27+D36)*0.08*0.4*0.97*0.5,2)</f>
        <v>54.21</v>
      </c>
    </row>
    <row r="94" spans="1:6" ht="16" thickBot="1" x14ac:dyDescent="0.4">
      <c r="A94" s="89" t="s">
        <v>13</v>
      </c>
      <c r="B94" s="90"/>
      <c r="C94" s="91"/>
      <c r="D94" s="21">
        <f>D92+D93</f>
        <v>298.83999999999997</v>
      </c>
    </row>
    <row r="95" spans="1:6" ht="6" customHeight="1" x14ac:dyDescent="0.35"/>
    <row r="96" spans="1:6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-D34</f>
        <v>-261.88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-D35</f>
        <v>-87.28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-349.15999999999997</v>
      </c>
    </row>
    <row r="102" spans="1:4" ht="16.5" customHeight="1" thickBot="1" x14ac:dyDescent="0.4">
      <c r="A102" s="89" t="s">
        <v>61</v>
      </c>
      <c r="B102" s="90"/>
      <c r="C102" s="91"/>
      <c r="D102" s="27">
        <f>D101*0.0071</f>
        <v>-2.4790359999999998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287.54000000000002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298.83999999999997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-2.4790359999999998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583.90096400000004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0.16299272209074481</v>
      </c>
      <c r="D117" s="20">
        <f>ROUND(((($D$27+$D$78+$D$110)/22)*20.3836)/12,2)</f>
        <v>512.41</v>
      </c>
    </row>
    <row r="118" spans="1:4" ht="16" thickBot="1" x14ac:dyDescent="0.4">
      <c r="A118" s="15" t="s">
        <v>5</v>
      </c>
      <c r="B118" s="16" t="s">
        <v>72</v>
      </c>
      <c r="C118" s="29">
        <f>'[1]MO - Motorista'!$P$35</f>
        <v>1.9499999999999999E-3</v>
      </c>
      <c r="D118" s="20">
        <f>ROUND(($D$27+$D$78+$D$110)*C118,2)</f>
        <v>12.94</v>
      </c>
    </row>
    <row r="119" spans="1:4" ht="16" thickBot="1" x14ac:dyDescent="0.4">
      <c r="A119" s="15" t="s">
        <v>7</v>
      </c>
      <c r="B119" s="16" t="s">
        <v>73</v>
      </c>
      <c r="C119" s="29">
        <f>'[1]MO - Motorista'!$P$36</f>
        <v>1.3500000000000001E-3</v>
      </c>
      <c r="D119" s="20">
        <f>ROUND(($D$27+$D$78+$D$110)*C119,2)</f>
        <v>8.9600000000000009</v>
      </c>
    </row>
    <row r="120" spans="1:4" ht="16" thickBot="1" x14ac:dyDescent="0.4">
      <c r="A120" s="15" t="s">
        <v>9</v>
      </c>
      <c r="B120" s="16" t="s">
        <v>74</v>
      </c>
      <c r="C120" s="29">
        <f>'[1]MO - Motorista'!$P$37</f>
        <v>0</v>
      </c>
      <c r="D120" s="20">
        <f t="shared" ref="D120:D128" si="1">ROUND(($D$27+$D$78+$D$110)*C120,2)</f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Motorista'!$P$38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Motorista'!$P$39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Motorista'!$P$40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Motorista'!$P$41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Motorista'!$P$42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Motorista'!$P$43</f>
        <v>2.0000000000000001E-4</v>
      </c>
      <c r="D126" s="20">
        <f t="shared" si="1"/>
        <v>1.33</v>
      </c>
    </row>
    <row r="127" spans="1:4" ht="16" thickBot="1" x14ac:dyDescent="0.4">
      <c r="A127" s="15" t="s">
        <v>83</v>
      </c>
      <c r="B127" s="16" t="s">
        <v>84</v>
      </c>
      <c r="C127" s="29">
        <f>'[1]MO - Motorista'!$P$44</f>
        <v>2.9999999999999997E-4</v>
      </c>
      <c r="D127" s="20">
        <f t="shared" si="1"/>
        <v>1.99</v>
      </c>
    </row>
    <row r="128" spans="1:4" ht="16" thickBot="1" x14ac:dyDescent="0.4">
      <c r="A128" s="15" t="s">
        <v>85</v>
      </c>
      <c r="B128" s="16" t="s">
        <v>86</v>
      </c>
      <c r="C128" s="29">
        <f>'[1]MO - Motorista'!$P$45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537.63000000000011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537.63000000000011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537.63000000000011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4" ht="6" customHeight="1" thickBot="1" x14ac:dyDescent="0.4"/>
    <row r="146" spans="1:4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4" ht="16" thickBot="1" x14ac:dyDescent="0.4">
      <c r="A147" s="15" t="s">
        <v>3</v>
      </c>
      <c r="B147" s="87" t="s">
        <v>95</v>
      </c>
      <c r="C147" s="88"/>
      <c r="D147" s="17">
        <f>'Grupo 2 - Uniformes'!F13</f>
        <v>172.08166666666668</v>
      </c>
    </row>
    <row r="148" spans="1:4" ht="16" thickBot="1" x14ac:dyDescent="0.4">
      <c r="A148" s="15" t="s">
        <v>5</v>
      </c>
      <c r="B148" s="87" t="s">
        <v>96</v>
      </c>
      <c r="C148" s="88">
        <v>0</v>
      </c>
      <c r="D148" s="17">
        <v>0</v>
      </c>
    </row>
    <row r="149" spans="1:4" ht="16" thickBot="1" x14ac:dyDescent="0.4">
      <c r="A149" s="15" t="s">
        <v>7</v>
      </c>
      <c r="B149" s="87" t="s">
        <v>97</v>
      </c>
      <c r="C149" s="88">
        <v>0</v>
      </c>
      <c r="D149" s="17">
        <v>0</v>
      </c>
    </row>
    <row r="150" spans="1:4" ht="16" thickBot="1" x14ac:dyDescent="0.4">
      <c r="A150" s="89" t="s">
        <v>35</v>
      </c>
      <c r="B150" s="90"/>
      <c r="C150" s="91"/>
      <c r="D150" s="18">
        <f>SUM(D147:D149)</f>
        <v>172.08166666666668</v>
      </c>
    </row>
    <row r="151" spans="1:4" ht="12" customHeight="1" x14ac:dyDescent="0.35"/>
    <row r="152" spans="1:4" x14ac:dyDescent="0.35">
      <c r="A152" s="92" t="s">
        <v>98</v>
      </c>
      <c r="B152" s="92"/>
      <c r="C152" s="92"/>
      <c r="D152" s="92"/>
    </row>
    <row r="153" spans="1:4" ht="6" customHeight="1" thickBot="1" x14ac:dyDescent="0.4"/>
    <row r="154" spans="1:4" ht="16" thickBot="1" x14ac:dyDescent="0.4">
      <c r="A154" s="13">
        <v>6</v>
      </c>
      <c r="B154" s="28" t="s">
        <v>99</v>
      </c>
      <c r="C154" s="14" t="s">
        <v>22</v>
      </c>
      <c r="D154" s="14" t="s">
        <v>2</v>
      </c>
    </row>
    <row r="155" spans="1:4" ht="16" thickBot="1" x14ac:dyDescent="0.4">
      <c r="A155" s="15" t="s">
        <v>3</v>
      </c>
      <c r="B155" s="16" t="s">
        <v>100</v>
      </c>
      <c r="C155" s="29">
        <f>'[1]MO - Motorista'!$P$49</f>
        <v>1.1900000000000001E-2</v>
      </c>
      <c r="D155" s="17">
        <f>ROUND(D174*C155,2)</f>
        <v>87.42</v>
      </c>
    </row>
    <row r="156" spans="1:4" ht="16" thickBot="1" x14ac:dyDescent="0.4">
      <c r="A156" s="15" t="s">
        <v>5</v>
      </c>
      <c r="B156" s="16" t="s">
        <v>101</v>
      </c>
      <c r="C156" s="29">
        <f>'[1]MO - Motorista'!$P$50</f>
        <v>0.01</v>
      </c>
      <c r="D156" s="17">
        <f>ROUND((D174+D155)*C156,2)</f>
        <v>74.34</v>
      </c>
    </row>
    <row r="157" spans="1:4" ht="16" thickBot="1" x14ac:dyDescent="0.4">
      <c r="A157" s="93" t="s">
        <v>7</v>
      </c>
      <c r="B157" s="16" t="s">
        <v>102</v>
      </c>
      <c r="C157" s="29">
        <f>C158+C161+C162</f>
        <v>8.6499999999999994E-2</v>
      </c>
      <c r="D157" s="17">
        <f>D158+D161+D162</f>
        <v>710.93000000000006</v>
      </c>
    </row>
    <row r="158" spans="1:4" ht="16" thickBot="1" x14ac:dyDescent="0.4">
      <c r="A158" s="94"/>
      <c r="B158" s="16" t="s">
        <v>103</v>
      </c>
      <c r="C158" s="29">
        <f>C159+C160</f>
        <v>3.6499999999999998E-2</v>
      </c>
      <c r="D158" s="17">
        <f>D159+D160</f>
        <v>299.99</v>
      </c>
    </row>
    <row r="159" spans="1:4" ht="16" thickBot="1" x14ac:dyDescent="0.4">
      <c r="A159" s="94"/>
      <c r="B159" s="16" t="s">
        <v>104</v>
      </c>
      <c r="C159" s="29">
        <f>'[1]MO - Motorista'!$P$51</f>
        <v>6.4999999999999997E-3</v>
      </c>
      <c r="D159" s="17">
        <f>ROUND((($D$174+$D$155+$D$156)/(1-$C$157))*C159,2)</f>
        <v>53.42</v>
      </c>
    </row>
    <row r="160" spans="1:4" ht="16" thickBot="1" x14ac:dyDescent="0.4">
      <c r="A160" s="94"/>
      <c r="B160" s="16" t="s">
        <v>105</v>
      </c>
      <c r="C160" s="29">
        <f>'[1]MO - Motorista'!$P$52</f>
        <v>0.03</v>
      </c>
      <c r="D160" s="17">
        <f>ROUND((($D$174+$D$155+$D$156)/(1-$C$157))*C160,2)</f>
        <v>246.57</v>
      </c>
    </row>
    <row r="161" spans="1:6" ht="16" thickBot="1" x14ac:dyDescent="0.4">
      <c r="A161" s="94"/>
      <c r="B161" s="16" t="s">
        <v>106</v>
      </c>
      <c r="C161" s="29">
        <v>0</v>
      </c>
      <c r="D161" s="17">
        <f>ROUND((($D$174+$D$155+$D$156)/(1-$C$157))*C161,2)</f>
        <v>0</v>
      </c>
    </row>
    <row r="162" spans="1:6" ht="16" thickBot="1" x14ac:dyDescent="0.4">
      <c r="A162" s="94"/>
      <c r="B162" s="16" t="s">
        <v>107</v>
      </c>
      <c r="C162" s="29">
        <f>C163</f>
        <v>0.05</v>
      </c>
      <c r="D162" s="17">
        <f>D163</f>
        <v>410.94</v>
      </c>
    </row>
    <row r="163" spans="1:6" ht="16" thickBot="1" x14ac:dyDescent="0.4">
      <c r="A163" s="95"/>
      <c r="B163" s="16" t="s">
        <v>108</v>
      </c>
      <c r="C163" s="29">
        <v>0.05</v>
      </c>
      <c r="D163" s="17">
        <f>ROUND((($D$174+$D$155+$D$156)/(1-$C$157))*C163,2)</f>
        <v>410.94</v>
      </c>
    </row>
    <row r="164" spans="1:6" ht="16" thickBot="1" x14ac:dyDescent="0.4">
      <c r="A164" s="89" t="s">
        <v>35</v>
      </c>
      <c r="B164" s="91"/>
      <c r="C164" s="30">
        <f>C155+C156+C157</f>
        <v>0.1084</v>
      </c>
      <c r="D164" s="18">
        <f>D155+D156+D157</f>
        <v>872.69</v>
      </c>
    </row>
    <row r="165" spans="1:6" ht="12" customHeight="1" x14ac:dyDescent="0.35">
      <c r="F165" s="31"/>
    </row>
    <row r="166" spans="1:6" x14ac:dyDescent="0.35">
      <c r="A166" s="92" t="s">
        <v>173</v>
      </c>
      <c r="B166" s="92"/>
      <c r="C166" s="92"/>
      <c r="D166" s="92"/>
    </row>
    <row r="167" spans="1:6" ht="6" customHeight="1" thickBot="1" x14ac:dyDescent="0.4"/>
    <row r="168" spans="1:6" ht="16" thickBot="1" x14ac:dyDescent="0.4">
      <c r="A168" s="13"/>
      <c r="B168" s="89" t="s">
        <v>109</v>
      </c>
      <c r="C168" s="91"/>
      <c r="D168" s="14" t="s">
        <v>2</v>
      </c>
    </row>
    <row r="169" spans="1:6" ht="16" thickBot="1" x14ac:dyDescent="0.4">
      <c r="A169" s="32" t="s">
        <v>3</v>
      </c>
      <c r="B169" s="87" t="s">
        <v>0</v>
      </c>
      <c r="C169" s="88"/>
      <c r="D169" s="20">
        <f>D27</f>
        <v>3143.76</v>
      </c>
    </row>
    <row r="170" spans="1:6" ht="16" thickBot="1" x14ac:dyDescent="0.4">
      <c r="A170" s="32" t="s">
        <v>5</v>
      </c>
      <c r="B170" s="87" t="s">
        <v>14</v>
      </c>
      <c r="C170" s="88">
        <f>C78</f>
        <v>0</v>
      </c>
      <c r="D170" s="20">
        <f>D78</f>
        <v>2908.8300000000004</v>
      </c>
    </row>
    <row r="171" spans="1:6" ht="16" thickBot="1" x14ac:dyDescent="0.4">
      <c r="A171" s="32" t="s">
        <v>7</v>
      </c>
      <c r="B171" s="87" t="s">
        <v>110</v>
      </c>
      <c r="C171" s="88">
        <f>C110</f>
        <v>0</v>
      </c>
      <c r="D171" s="20">
        <f>D110</f>
        <v>583.90096400000004</v>
      </c>
    </row>
    <row r="172" spans="1:6" ht="16" thickBot="1" x14ac:dyDescent="0.4">
      <c r="A172" s="32" t="s">
        <v>9</v>
      </c>
      <c r="B172" s="87" t="s">
        <v>67</v>
      </c>
      <c r="C172" s="88">
        <f>C142</f>
        <v>0</v>
      </c>
      <c r="D172" s="20">
        <f>D142</f>
        <v>537.63000000000011</v>
      </c>
    </row>
    <row r="173" spans="1:6" ht="16" thickBot="1" x14ac:dyDescent="0.4">
      <c r="A173" s="32" t="s">
        <v>11</v>
      </c>
      <c r="B173" s="87" t="s">
        <v>93</v>
      </c>
      <c r="C173" s="88">
        <f>C150</f>
        <v>0</v>
      </c>
      <c r="D173" s="17">
        <f>D150</f>
        <v>172.08166666666668</v>
      </c>
    </row>
    <row r="174" spans="1:6" ht="16.5" customHeight="1" thickBot="1" x14ac:dyDescent="0.4">
      <c r="A174" s="89" t="s">
        <v>177</v>
      </c>
      <c r="B174" s="90"/>
      <c r="C174" s="91"/>
      <c r="D174" s="21">
        <f>SUM(D169:D173)</f>
        <v>7346.2026306666676</v>
      </c>
    </row>
    <row r="175" spans="1:6" ht="16" thickBot="1" x14ac:dyDescent="0.4">
      <c r="A175" s="32" t="s">
        <v>28</v>
      </c>
      <c r="B175" s="87" t="s">
        <v>111</v>
      </c>
      <c r="C175" s="88">
        <f>D164</f>
        <v>872.69</v>
      </c>
      <c r="D175" s="20">
        <f>D164</f>
        <v>872.69</v>
      </c>
    </row>
    <row r="176" spans="1:6" ht="16.5" customHeight="1" thickBot="1" x14ac:dyDescent="0.4">
      <c r="A176" s="89" t="s">
        <v>112</v>
      </c>
      <c r="B176" s="90"/>
      <c r="C176" s="91"/>
      <c r="D176" s="21">
        <f>D174+D175</f>
        <v>8218.8926306666672</v>
      </c>
    </row>
  </sheetData>
  <mergeCells count="107">
    <mergeCell ref="A1:D1"/>
    <mergeCell ref="A164:B164"/>
    <mergeCell ref="A3:D3"/>
    <mergeCell ref="A157:A163"/>
    <mergeCell ref="A114:C114"/>
    <mergeCell ref="A17:B17"/>
    <mergeCell ref="C17:D17"/>
    <mergeCell ref="A38:D38"/>
    <mergeCell ref="A48:B48"/>
    <mergeCell ref="A19:D19"/>
    <mergeCell ref="B21:C21"/>
    <mergeCell ref="B22:C22"/>
    <mergeCell ref="B23:C23"/>
    <mergeCell ref="A55:A57"/>
    <mergeCell ref="A52:D52"/>
    <mergeCell ref="B24:C24"/>
    <mergeCell ref="B25:C25"/>
    <mergeCell ref="B26:C26"/>
    <mergeCell ref="A27:C27"/>
    <mergeCell ref="A29:D29"/>
    <mergeCell ref="A12:B12"/>
    <mergeCell ref="C12:D12"/>
    <mergeCell ref="A5:B5"/>
    <mergeCell ref="C5:D5"/>
    <mergeCell ref="A6:B6"/>
    <mergeCell ref="C6:D6"/>
    <mergeCell ref="A7:B7"/>
    <mergeCell ref="C7:D7"/>
    <mergeCell ref="A9:D9"/>
    <mergeCell ref="A11:B11"/>
    <mergeCell ref="C11:D11"/>
    <mergeCell ref="A13:B13"/>
    <mergeCell ref="C13:D13"/>
    <mergeCell ref="A14:B14"/>
    <mergeCell ref="C14:D14"/>
    <mergeCell ref="A15:B15"/>
    <mergeCell ref="C15:D15"/>
    <mergeCell ref="A16:B16"/>
    <mergeCell ref="C16:D16"/>
    <mergeCell ref="B75:C75"/>
    <mergeCell ref="B76:C76"/>
    <mergeCell ref="B77:C77"/>
    <mergeCell ref="A78:C78"/>
    <mergeCell ref="A80:D80"/>
    <mergeCell ref="A31:D31"/>
    <mergeCell ref="B33:C33"/>
    <mergeCell ref="B34:C34"/>
    <mergeCell ref="B35:C35"/>
    <mergeCell ref="A36:C36"/>
    <mergeCell ref="A50:B50"/>
    <mergeCell ref="A58:A60"/>
    <mergeCell ref="A61:A63"/>
    <mergeCell ref="A64:A66"/>
    <mergeCell ref="A67:A69"/>
    <mergeCell ref="A70:C70"/>
    <mergeCell ref="A72:D72"/>
    <mergeCell ref="B74:C74"/>
    <mergeCell ref="B100:C100"/>
    <mergeCell ref="A101:C101"/>
    <mergeCell ref="A102:C102"/>
    <mergeCell ref="A104:D104"/>
    <mergeCell ref="B106:C106"/>
    <mergeCell ref="A82:D82"/>
    <mergeCell ref="B84:C84"/>
    <mergeCell ref="B85:C85"/>
    <mergeCell ref="B86:C86"/>
    <mergeCell ref="A87:C87"/>
    <mergeCell ref="A89:D89"/>
    <mergeCell ref="B91:C91"/>
    <mergeCell ref="B92:C92"/>
    <mergeCell ref="B93:C93"/>
    <mergeCell ref="A94:C94"/>
    <mergeCell ref="A96:D96"/>
    <mergeCell ref="B98:C98"/>
    <mergeCell ref="B99:C99"/>
    <mergeCell ref="A129:C129"/>
    <mergeCell ref="A131:D131"/>
    <mergeCell ref="B133:C133"/>
    <mergeCell ref="B134:C134"/>
    <mergeCell ref="A135:C135"/>
    <mergeCell ref="B107:C107"/>
    <mergeCell ref="B108:C108"/>
    <mergeCell ref="B109:C109"/>
    <mergeCell ref="A110:C110"/>
    <mergeCell ref="A112:D112"/>
    <mergeCell ref="A144:D144"/>
    <mergeCell ref="B146:C146"/>
    <mergeCell ref="B147:C147"/>
    <mergeCell ref="B148:C148"/>
    <mergeCell ref="B149:C149"/>
    <mergeCell ref="A137:D137"/>
    <mergeCell ref="B139:C139"/>
    <mergeCell ref="B140:C140"/>
    <mergeCell ref="B141:C141"/>
    <mergeCell ref="A142:C142"/>
    <mergeCell ref="A174:C174"/>
    <mergeCell ref="B175:C175"/>
    <mergeCell ref="A176:C176"/>
    <mergeCell ref="B169:C169"/>
    <mergeCell ref="B170:C170"/>
    <mergeCell ref="B171:C171"/>
    <mergeCell ref="B172:C172"/>
    <mergeCell ref="B173:C173"/>
    <mergeCell ref="A150:C150"/>
    <mergeCell ref="A152:D152"/>
    <mergeCell ref="A166:D166"/>
    <mergeCell ref="B168:C168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6"/>
  <sheetViews>
    <sheetView workbookViewId="0">
      <selection activeCell="G5" sqref="G5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22.81640625" style="10" customWidth="1"/>
    <col min="4" max="4" width="17" style="10" customWidth="1"/>
    <col min="5" max="5" width="19" style="10" bestFit="1" customWidth="1"/>
    <col min="6" max="6" width="21.54296875" style="10" bestFit="1" customWidth="1"/>
    <col min="7" max="7" width="12" style="10" customWidth="1"/>
    <col min="8" max="8" width="15.1796875" style="10" customWidth="1"/>
    <col min="9" max="16384" width="9.1796875" style="10"/>
  </cols>
  <sheetData>
    <row r="1" spans="1:6" x14ac:dyDescent="0.35">
      <c r="A1" s="78" t="s">
        <v>210</v>
      </c>
      <c r="B1" s="78"/>
      <c r="C1" s="78"/>
      <c r="D1" s="78"/>
      <c r="E1" s="78"/>
      <c r="F1" s="78"/>
    </row>
    <row r="2" spans="1:6" ht="12" customHeight="1" x14ac:dyDescent="0.35"/>
    <row r="3" spans="1:6" x14ac:dyDescent="0.35">
      <c r="A3" s="92" t="s">
        <v>0</v>
      </c>
      <c r="B3" s="92"/>
      <c r="C3" s="92"/>
      <c r="D3" s="92"/>
      <c r="E3" s="92"/>
      <c r="F3" s="92"/>
    </row>
    <row r="4" spans="1:6" ht="6" customHeight="1" thickBot="1" x14ac:dyDescent="0.4">
      <c r="A4" s="33"/>
      <c r="B4" s="33"/>
      <c r="C4" s="33"/>
    </row>
    <row r="5" spans="1:6" ht="16" thickBot="1" x14ac:dyDescent="0.4">
      <c r="D5" s="121" t="s">
        <v>155</v>
      </c>
      <c r="E5" s="122"/>
      <c r="F5" s="123" t="s">
        <v>156</v>
      </c>
    </row>
    <row r="6" spans="1:6" ht="16" thickBot="1" x14ac:dyDescent="0.4">
      <c r="D6" s="42" t="s">
        <v>180</v>
      </c>
      <c r="E6" s="40" t="s">
        <v>181</v>
      </c>
      <c r="F6" s="127"/>
    </row>
    <row r="7" spans="1:6" ht="16" thickBot="1" x14ac:dyDescent="0.4">
      <c r="A7" s="13">
        <v>1</v>
      </c>
      <c r="B7" s="14" t="s">
        <v>1</v>
      </c>
      <c r="C7" s="14" t="s">
        <v>22</v>
      </c>
      <c r="D7" s="13" t="s">
        <v>2</v>
      </c>
      <c r="E7" s="13" t="s">
        <v>2</v>
      </c>
      <c r="F7" s="13" t="s">
        <v>2</v>
      </c>
    </row>
    <row r="8" spans="1:6" ht="16" thickBot="1" x14ac:dyDescent="0.4">
      <c r="A8" s="15" t="s">
        <v>3</v>
      </c>
      <c r="B8" s="16" t="s">
        <v>4</v>
      </c>
      <c r="C8" s="17" t="s">
        <v>157</v>
      </c>
      <c r="D8" s="17">
        <f>ROUND('Grupo 2 - Motorista'!D22/220,2)</f>
        <v>14.29</v>
      </c>
      <c r="E8" s="17">
        <f>ROUND('Grupo 2 - Motorista'!D22/220,2)</f>
        <v>14.29</v>
      </c>
      <c r="F8" s="17">
        <f>ROUND('Grupo 2 - Motorista'!D22/220,2)</f>
        <v>14.29</v>
      </c>
    </row>
    <row r="9" spans="1:6" ht="16" thickBot="1" x14ac:dyDescent="0.4">
      <c r="A9" s="15" t="s">
        <v>5</v>
      </c>
      <c r="B9" s="16" t="s">
        <v>182</v>
      </c>
      <c r="C9" s="41">
        <v>0.5</v>
      </c>
      <c r="D9" s="17">
        <f>ROUND(D8*C9,2)</f>
        <v>7.15</v>
      </c>
      <c r="E9" s="17">
        <f>ROUND(E8*C9,2)</f>
        <v>7.15</v>
      </c>
      <c r="F9" s="17">
        <f>ROUND(F8*C9,2)</f>
        <v>7.15</v>
      </c>
    </row>
    <row r="10" spans="1:6" ht="16" thickBot="1" x14ac:dyDescent="0.4">
      <c r="A10" s="43" t="s">
        <v>7</v>
      </c>
      <c r="B10" s="44" t="s">
        <v>10</v>
      </c>
      <c r="C10" s="45">
        <v>0.2</v>
      </c>
      <c r="D10" s="17">
        <v>0</v>
      </c>
      <c r="E10" s="17">
        <f>ROUND((E8+E9)*C10,2)</f>
        <v>4.29</v>
      </c>
      <c r="F10" s="17">
        <v>0</v>
      </c>
    </row>
    <row r="11" spans="1:6" ht="16" thickBot="1" x14ac:dyDescent="0.4">
      <c r="A11" s="15" t="s">
        <v>9</v>
      </c>
      <c r="B11" s="16" t="s">
        <v>154</v>
      </c>
      <c r="C11" s="41">
        <v>0.5</v>
      </c>
      <c r="D11" s="17">
        <v>0</v>
      </c>
      <c r="E11" s="17">
        <v>0</v>
      </c>
      <c r="F11" s="17">
        <f>ROUND(F8*C11,2)</f>
        <v>7.15</v>
      </c>
    </row>
    <row r="12" spans="1:6" ht="16" thickBot="1" x14ac:dyDescent="0.4">
      <c r="A12" s="89" t="s">
        <v>13</v>
      </c>
      <c r="B12" s="90"/>
      <c r="C12" s="91"/>
      <c r="D12" s="18">
        <f>SUM(D8:D11)</f>
        <v>21.439999999999998</v>
      </c>
      <c r="E12" s="18">
        <f>SUM(E8:E11)</f>
        <v>25.729999999999997</v>
      </c>
      <c r="F12" s="18">
        <f>SUM(F8:F11)</f>
        <v>28.589999999999996</v>
      </c>
    </row>
    <row r="14" spans="1:6" x14ac:dyDescent="0.35">
      <c r="A14" s="92" t="s">
        <v>158</v>
      </c>
      <c r="B14" s="92"/>
      <c r="C14" s="92"/>
      <c r="D14" s="92"/>
      <c r="E14" s="92"/>
      <c r="F14" s="92"/>
    </row>
    <row r="15" spans="1:6" ht="6" customHeight="1" x14ac:dyDescent="0.35">
      <c r="A15" s="19"/>
    </row>
    <row r="16" spans="1:6" x14ac:dyDescent="0.35">
      <c r="A16" s="96" t="s">
        <v>15</v>
      </c>
      <c r="B16" s="96"/>
      <c r="C16" s="96"/>
      <c r="D16" s="96"/>
      <c r="E16" s="96"/>
      <c r="F16" s="96"/>
    </row>
    <row r="17" spans="1:6" ht="6" customHeight="1" thickBot="1" x14ac:dyDescent="0.4"/>
    <row r="18" spans="1:6" ht="16" thickBot="1" x14ac:dyDescent="0.4">
      <c r="D18" s="121" t="s">
        <v>155</v>
      </c>
      <c r="E18" s="122"/>
      <c r="F18" s="123" t="s">
        <v>156</v>
      </c>
    </row>
    <row r="19" spans="1:6" ht="16" thickBot="1" x14ac:dyDescent="0.4">
      <c r="D19" s="42" t="s">
        <v>180</v>
      </c>
      <c r="E19" s="40" t="s">
        <v>181</v>
      </c>
      <c r="F19" s="124"/>
    </row>
    <row r="20" spans="1:6" ht="16" thickBot="1" x14ac:dyDescent="0.4">
      <c r="A20" s="13" t="s">
        <v>16</v>
      </c>
      <c r="B20" s="89" t="s">
        <v>46</v>
      </c>
      <c r="C20" s="91"/>
      <c r="D20" s="14" t="s">
        <v>2</v>
      </c>
      <c r="E20" s="14" t="s">
        <v>2</v>
      </c>
      <c r="F20" s="14" t="s">
        <v>2</v>
      </c>
    </row>
    <row r="21" spans="1:6" ht="16" thickBot="1" x14ac:dyDescent="0.4">
      <c r="A21" s="15" t="s">
        <v>3</v>
      </c>
      <c r="B21" s="87" t="s">
        <v>17</v>
      </c>
      <c r="C21" s="88"/>
      <c r="D21" s="20">
        <f>ROUND(D12*0.0833,2)</f>
        <v>1.79</v>
      </c>
      <c r="E21" s="20">
        <f>ROUND(E12*0.0833,2)</f>
        <v>2.14</v>
      </c>
      <c r="F21" s="20">
        <f>ROUND(F12*0.0833,2)</f>
        <v>2.38</v>
      </c>
    </row>
    <row r="22" spans="1:6" ht="16" thickBot="1" x14ac:dyDescent="0.4">
      <c r="A22" s="15" t="s">
        <v>5</v>
      </c>
      <c r="B22" s="87" t="s">
        <v>18</v>
      </c>
      <c r="C22" s="88">
        <f>ROUND(B12*0.0833*0.3333,2)</f>
        <v>0</v>
      </c>
      <c r="D22" s="20">
        <f>ROUND(D12*0.0833*0.3333,2)</f>
        <v>0.6</v>
      </c>
      <c r="E22" s="20">
        <f>ROUND(E12*0.0833*0.3333,2)</f>
        <v>0.71</v>
      </c>
      <c r="F22" s="20">
        <f>ROUND(F12*0.0833*0.3333,2)</f>
        <v>0.79</v>
      </c>
    </row>
    <row r="23" spans="1:6" ht="16" thickBot="1" x14ac:dyDescent="0.4">
      <c r="A23" s="89" t="s">
        <v>13</v>
      </c>
      <c r="B23" s="90"/>
      <c r="C23" s="91"/>
      <c r="D23" s="21">
        <f>D21+D22</f>
        <v>2.39</v>
      </c>
      <c r="E23" s="21">
        <f>E21+E22</f>
        <v>2.85</v>
      </c>
      <c r="F23" s="21">
        <f>F21+F22</f>
        <v>3.17</v>
      </c>
    </row>
    <row r="24" spans="1:6" ht="6" customHeight="1" x14ac:dyDescent="0.35"/>
    <row r="25" spans="1:6" ht="15.75" customHeight="1" x14ac:dyDescent="0.35">
      <c r="A25" s="105" t="s">
        <v>19</v>
      </c>
      <c r="B25" s="105"/>
      <c r="C25" s="105"/>
      <c r="D25" s="105"/>
      <c r="E25" s="105"/>
      <c r="F25" s="105"/>
    </row>
    <row r="26" spans="1:6" ht="6" customHeight="1" thickBot="1" x14ac:dyDescent="0.4"/>
    <row r="27" spans="1:6" ht="16" thickBot="1" x14ac:dyDescent="0.4">
      <c r="D27" s="121" t="s">
        <v>155</v>
      </c>
      <c r="E27" s="122"/>
      <c r="F27" s="123" t="s">
        <v>156</v>
      </c>
    </row>
    <row r="28" spans="1:6" ht="16" thickBot="1" x14ac:dyDescent="0.4">
      <c r="D28" s="42" t="s">
        <v>180</v>
      </c>
      <c r="E28" s="40" t="s">
        <v>181</v>
      </c>
      <c r="F28" s="124"/>
    </row>
    <row r="29" spans="1:6" ht="16" thickBot="1" x14ac:dyDescent="0.4">
      <c r="A29" s="13" t="s">
        <v>20</v>
      </c>
      <c r="B29" s="14" t="s">
        <v>21</v>
      </c>
      <c r="C29" s="14" t="s">
        <v>22</v>
      </c>
      <c r="D29" s="14" t="s">
        <v>2</v>
      </c>
      <c r="E29" s="14" t="s">
        <v>2</v>
      </c>
      <c r="F29" s="14" t="s">
        <v>2</v>
      </c>
    </row>
    <row r="30" spans="1:6" ht="16" thickBot="1" x14ac:dyDescent="0.4">
      <c r="A30" s="15" t="s">
        <v>3</v>
      </c>
      <c r="B30" s="16" t="s">
        <v>23</v>
      </c>
      <c r="C30" s="22">
        <v>0.2</v>
      </c>
      <c r="D30" s="17">
        <f>ROUND(($D$12+$D$23)*C30,2)</f>
        <v>4.7699999999999996</v>
      </c>
      <c r="E30" s="17">
        <f>ROUND(($E$12+$E$23)*C30,2)</f>
        <v>5.72</v>
      </c>
      <c r="F30" s="17">
        <f t="shared" ref="F30:F36" si="0">ROUND(($F$12+$F$23)*C30,2)</f>
        <v>6.35</v>
      </c>
    </row>
    <row r="31" spans="1:6" ht="16" thickBot="1" x14ac:dyDescent="0.4">
      <c r="A31" s="15" t="s">
        <v>5</v>
      </c>
      <c r="B31" s="16" t="s">
        <v>24</v>
      </c>
      <c r="C31" s="22">
        <v>2.5000000000000001E-2</v>
      </c>
      <c r="D31" s="17">
        <f t="shared" ref="D31:D36" si="1">ROUND(($D$12+$D$23)*C31,2)</f>
        <v>0.6</v>
      </c>
      <c r="E31" s="17">
        <f t="shared" ref="E31:E36" si="2">ROUND(($E$12+$E$23)*C31,2)</f>
        <v>0.71</v>
      </c>
      <c r="F31" s="17">
        <f t="shared" si="0"/>
        <v>0.79</v>
      </c>
    </row>
    <row r="32" spans="1:6" ht="16" thickBot="1" x14ac:dyDescent="0.4">
      <c r="A32" s="15" t="s">
        <v>7</v>
      </c>
      <c r="B32" s="16" t="s">
        <v>25</v>
      </c>
      <c r="C32" s="22">
        <v>0.03</v>
      </c>
      <c r="D32" s="17">
        <f t="shared" si="1"/>
        <v>0.71</v>
      </c>
      <c r="E32" s="17">
        <f t="shared" si="2"/>
        <v>0.86</v>
      </c>
      <c r="F32" s="17">
        <f t="shared" si="0"/>
        <v>0.95</v>
      </c>
    </row>
    <row r="33" spans="1:6" ht="16" thickBot="1" x14ac:dyDescent="0.4">
      <c r="A33" s="15" t="s">
        <v>9</v>
      </c>
      <c r="B33" s="16" t="s">
        <v>26</v>
      </c>
      <c r="C33" s="22">
        <v>1.4999999999999999E-2</v>
      </c>
      <c r="D33" s="17">
        <f t="shared" si="1"/>
        <v>0.36</v>
      </c>
      <c r="E33" s="17">
        <f t="shared" si="2"/>
        <v>0.43</v>
      </c>
      <c r="F33" s="17">
        <f t="shared" si="0"/>
        <v>0.48</v>
      </c>
    </row>
    <row r="34" spans="1:6" ht="16" thickBot="1" x14ac:dyDescent="0.4">
      <c r="A34" s="15" t="s">
        <v>11</v>
      </c>
      <c r="B34" s="16" t="s">
        <v>27</v>
      </c>
      <c r="C34" s="22">
        <v>0.01</v>
      </c>
      <c r="D34" s="17">
        <f t="shared" si="1"/>
        <v>0.24</v>
      </c>
      <c r="E34" s="17">
        <f t="shared" si="2"/>
        <v>0.28999999999999998</v>
      </c>
      <c r="F34" s="17">
        <f t="shared" si="0"/>
        <v>0.32</v>
      </c>
    </row>
    <row r="35" spans="1:6" ht="16" thickBot="1" x14ac:dyDescent="0.4">
      <c r="A35" s="15" t="s">
        <v>28</v>
      </c>
      <c r="B35" s="16" t="s">
        <v>29</v>
      </c>
      <c r="C35" s="22">
        <v>6.0000000000000001E-3</v>
      </c>
      <c r="D35" s="17">
        <f t="shared" si="1"/>
        <v>0.14000000000000001</v>
      </c>
      <c r="E35" s="17">
        <f t="shared" si="2"/>
        <v>0.17</v>
      </c>
      <c r="F35" s="17">
        <f t="shared" si="0"/>
        <v>0.19</v>
      </c>
    </row>
    <row r="36" spans="1:6" ht="16" thickBot="1" x14ac:dyDescent="0.4">
      <c r="A36" s="15" t="s">
        <v>30</v>
      </c>
      <c r="B36" s="16" t="s">
        <v>31</v>
      </c>
      <c r="C36" s="22">
        <v>2E-3</v>
      </c>
      <c r="D36" s="17">
        <f t="shared" si="1"/>
        <v>0.05</v>
      </c>
      <c r="E36" s="17">
        <f t="shared" si="2"/>
        <v>0.06</v>
      </c>
      <c r="F36" s="17">
        <f t="shared" si="0"/>
        <v>0.06</v>
      </c>
    </row>
    <row r="37" spans="1:6" ht="16" thickBot="1" x14ac:dyDescent="0.4">
      <c r="A37" s="89" t="s">
        <v>32</v>
      </c>
      <c r="B37" s="91"/>
      <c r="C37" s="23">
        <f>SUM(C30:C36)</f>
        <v>0.28800000000000003</v>
      </c>
      <c r="D37" s="18">
        <f>SUM(D30:D36)</f>
        <v>6.8699999999999992</v>
      </c>
      <c r="E37" s="18">
        <f>SUM(E30:E36)</f>
        <v>8.24</v>
      </c>
      <c r="F37" s="18">
        <f>SUM(F30:F36)</f>
        <v>9.14</v>
      </c>
    </row>
    <row r="38" spans="1:6" ht="16" thickBot="1" x14ac:dyDescent="0.4">
      <c r="A38" s="15" t="s">
        <v>33</v>
      </c>
      <c r="B38" s="16" t="s">
        <v>34</v>
      </c>
      <c r="C38" s="22">
        <v>0.08</v>
      </c>
      <c r="D38" s="17">
        <f>ROUND(($D$12+$D$23)*C38,2)</f>
        <v>1.91</v>
      </c>
      <c r="E38" s="17">
        <f>ROUND(($E$12+$E$23)*C38,2)</f>
        <v>2.29</v>
      </c>
      <c r="F38" s="17">
        <f>ROUND(($F$12+$F$23)*C38,2)</f>
        <v>2.54</v>
      </c>
    </row>
    <row r="39" spans="1:6" ht="16" thickBot="1" x14ac:dyDescent="0.4">
      <c r="A39" s="89" t="s">
        <v>35</v>
      </c>
      <c r="B39" s="91"/>
      <c r="C39" s="23">
        <f>C37+C38</f>
        <v>0.36800000000000005</v>
      </c>
      <c r="D39" s="18">
        <f>D37+D38</f>
        <v>8.7799999999999994</v>
      </c>
      <c r="E39" s="18">
        <f>E37+E38</f>
        <v>10.530000000000001</v>
      </c>
      <c r="F39" s="18">
        <f>F37+F38</f>
        <v>11.68</v>
      </c>
    </row>
    <row r="40" spans="1:6" ht="6" customHeight="1" x14ac:dyDescent="0.35"/>
    <row r="41" spans="1:6" x14ac:dyDescent="0.35">
      <c r="A41" s="96" t="s">
        <v>44</v>
      </c>
      <c r="B41" s="96"/>
      <c r="C41" s="96"/>
      <c r="D41" s="96"/>
      <c r="E41" s="96"/>
      <c r="F41" s="96"/>
    </row>
    <row r="42" spans="1:6" ht="6" customHeight="1" thickBot="1" x14ac:dyDescent="0.4"/>
    <row r="43" spans="1:6" ht="16" thickBot="1" x14ac:dyDescent="0.4">
      <c r="D43" s="121" t="s">
        <v>155</v>
      </c>
      <c r="E43" s="122"/>
      <c r="F43" s="123" t="s">
        <v>156</v>
      </c>
    </row>
    <row r="44" spans="1:6" ht="16" thickBot="1" x14ac:dyDescent="0.4">
      <c r="D44" s="42" t="s">
        <v>180</v>
      </c>
      <c r="E44" s="40" t="s">
        <v>181</v>
      </c>
      <c r="F44" s="124"/>
    </row>
    <row r="45" spans="1:6" ht="16" thickBot="1" x14ac:dyDescent="0.4">
      <c r="A45" s="13">
        <v>2</v>
      </c>
      <c r="B45" s="125" t="s">
        <v>45</v>
      </c>
      <c r="C45" s="126"/>
      <c r="D45" s="14" t="s">
        <v>2</v>
      </c>
      <c r="E45" s="14" t="s">
        <v>2</v>
      </c>
      <c r="F45" s="14" t="s">
        <v>2</v>
      </c>
    </row>
    <row r="46" spans="1:6" ht="16" thickBot="1" x14ac:dyDescent="0.4">
      <c r="A46" s="15" t="s">
        <v>16</v>
      </c>
      <c r="B46" s="87" t="s">
        <v>46</v>
      </c>
      <c r="C46" s="88"/>
      <c r="D46" s="20">
        <f>D23</f>
        <v>2.39</v>
      </c>
      <c r="E46" s="20">
        <f>E23</f>
        <v>2.85</v>
      </c>
      <c r="F46" s="20">
        <f>F23</f>
        <v>3.17</v>
      </c>
    </row>
    <row r="47" spans="1:6" ht="16" thickBot="1" x14ac:dyDescent="0.4">
      <c r="A47" s="15" t="s">
        <v>20</v>
      </c>
      <c r="B47" s="87" t="s">
        <v>21</v>
      </c>
      <c r="C47" s="88">
        <f>D39</f>
        <v>8.7799999999999994</v>
      </c>
      <c r="D47" s="20">
        <f>D39</f>
        <v>8.7799999999999994</v>
      </c>
      <c r="E47" s="20">
        <f>E39</f>
        <v>10.530000000000001</v>
      </c>
      <c r="F47" s="20">
        <f>F39</f>
        <v>11.68</v>
      </c>
    </row>
    <row r="48" spans="1:6" ht="16" thickBot="1" x14ac:dyDescent="0.4">
      <c r="A48" s="89" t="s">
        <v>13</v>
      </c>
      <c r="B48" s="90"/>
      <c r="C48" s="91"/>
      <c r="D48" s="21">
        <f>SUM(D46:D47)</f>
        <v>11.17</v>
      </c>
      <c r="E48" s="21">
        <f>SUM(E46:E47)</f>
        <v>13.38</v>
      </c>
      <c r="F48" s="21">
        <f>SUM(F46:F47)</f>
        <v>14.85</v>
      </c>
    </row>
    <row r="49" spans="1:6" ht="12" customHeight="1" x14ac:dyDescent="0.35">
      <c r="A49" s="25"/>
    </row>
    <row r="50" spans="1:6" x14ac:dyDescent="0.35">
      <c r="A50" s="92" t="s">
        <v>47</v>
      </c>
      <c r="B50" s="92"/>
      <c r="C50" s="92"/>
      <c r="D50" s="92"/>
      <c r="E50" s="92"/>
      <c r="F50" s="92"/>
    </row>
    <row r="51" spans="1:6" ht="6" customHeight="1" x14ac:dyDescent="0.35"/>
    <row r="52" spans="1:6" x14ac:dyDescent="0.35">
      <c r="A52" s="96" t="s">
        <v>48</v>
      </c>
      <c r="B52" s="96"/>
      <c r="C52" s="96"/>
      <c r="D52" s="96"/>
      <c r="E52" s="96"/>
      <c r="F52" s="96"/>
    </row>
    <row r="53" spans="1:6" ht="6" customHeight="1" thickBot="1" x14ac:dyDescent="0.4"/>
    <row r="54" spans="1:6" ht="16" thickBot="1" x14ac:dyDescent="0.4">
      <c r="D54" s="121" t="s">
        <v>155</v>
      </c>
      <c r="E54" s="122"/>
      <c r="F54" s="123" t="s">
        <v>156</v>
      </c>
    </row>
    <row r="55" spans="1:6" ht="16" thickBot="1" x14ac:dyDescent="0.4">
      <c r="D55" s="42" t="s">
        <v>180</v>
      </c>
      <c r="E55" s="40" t="s">
        <v>181</v>
      </c>
      <c r="F55" s="124"/>
    </row>
    <row r="56" spans="1:6" ht="16" thickBot="1" x14ac:dyDescent="0.4">
      <c r="A56" s="13" t="s">
        <v>49</v>
      </c>
      <c r="B56" s="125" t="s">
        <v>50</v>
      </c>
      <c r="C56" s="126"/>
      <c r="D56" s="14" t="s">
        <v>2</v>
      </c>
      <c r="E56" s="14" t="s">
        <v>2</v>
      </c>
      <c r="F56" s="14" t="s">
        <v>2</v>
      </c>
    </row>
    <row r="57" spans="1:6" ht="16" thickBot="1" x14ac:dyDescent="0.4">
      <c r="A57" s="15" t="s">
        <v>3</v>
      </c>
      <c r="B57" s="87" t="s">
        <v>50</v>
      </c>
      <c r="C57" s="88"/>
      <c r="D57" s="20">
        <f>ROUND(((D12+D48-D38)/12)*0.97*0.5,2)</f>
        <v>1.24</v>
      </c>
      <c r="E57" s="20">
        <f>ROUND(((E12+E48-E38)/12)*0.97*0.5,2)</f>
        <v>1.49</v>
      </c>
      <c r="F57" s="20">
        <f>ROUND(((F12+F48-F38)/12)*0.97*0.5,2)</f>
        <v>1.65</v>
      </c>
    </row>
    <row r="58" spans="1:6" ht="16" thickBot="1" x14ac:dyDescent="0.4">
      <c r="A58" s="15" t="s">
        <v>5</v>
      </c>
      <c r="B58" s="87" t="s">
        <v>51</v>
      </c>
      <c r="C58" s="88"/>
      <c r="D58" s="20">
        <f>ROUND((D12+D23)*0.08*0.4*0.97*0.5,2)</f>
        <v>0.37</v>
      </c>
      <c r="E58" s="20">
        <f>ROUND((E12+E23)*0.08*0.4*0.97*0.5,2)</f>
        <v>0.44</v>
      </c>
      <c r="F58" s="20">
        <f>ROUND((F12+F23)*0.08*0.4*0.97*0.5,2)</f>
        <v>0.49</v>
      </c>
    </row>
    <row r="59" spans="1:6" ht="16" thickBot="1" x14ac:dyDescent="0.4">
      <c r="A59" s="89" t="s">
        <v>13</v>
      </c>
      <c r="B59" s="90"/>
      <c r="C59" s="91"/>
      <c r="D59" s="21">
        <f>D57+D58</f>
        <v>1.6099999999999999</v>
      </c>
      <c r="E59" s="21">
        <f>E57+E58</f>
        <v>1.93</v>
      </c>
      <c r="F59" s="21">
        <f>F57+F58</f>
        <v>2.1399999999999997</v>
      </c>
    </row>
    <row r="60" spans="1:6" ht="6" customHeight="1" x14ac:dyDescent="0.35"/>
    <row r="61" spans="1:6" x14ac:dyDescent="0.35">
      <c r="A61" s="96" t="s">
        <v>52</v>
      </c>
      <c r="B61" s="96"/>
      <c r="C61" s="96"/>
      <c r="D61" s="96"/>
      <c r="E61" s="96"/>
      <c r="F61" s="96"/>
    </row>
    <row r="62" spans="1:6" ht="6" customHeight="1" thickBot="1" x14ac:dyDescent="0.4"/>
    <row r="63" spans="1:6" ht="16" thickBot="1" x14ac:dyDescent="0.4">
      <c r="D63" s="121" t="s">
        <v>155</v>
      </c>
      <c r="E63" s="122"/>
      <c r="F63" s="123" t="s">
        <v>156</v>
      </c>
    </row>
    <row r="64" spans="1:6" ht="16" thickBot="1" x14ac:dyDescent="0.4">
      <c r="D64" s="42" t="s">
        <v>180</v>
      </c>
      <c r="E64" s="40" t="s">
        <v>181</v>
      </c>
      <c r="F64" s="124"/>
    </row>
    <row r="65" spans="1:6" ht="16" thickBot="1" x14ac:dyDescent="0.4">
      <c r="A65" s="13" t="s">
        <v>53</v>
      </c>
      <c r="B65" s="125" t="s">
        <v>54</v>
      </c>
      <c r="C65" s="126"/>
      <c r="D65" s="14" t="s">
        <v>2</v>
      </c>
      <c r="E65" s="14" t="s">
        <v>2</v>
      </c>
      <c r="F65" s="14" t="s">
        <v>2</v>
      </c>
    </row>
    <row r="66" spans="1:6" ht="16" thickBot="1" x14ac:dyDescent="0.4">
      <c r="A66" s="15" t="s">
        <v>3</v>
      </c>
      <c r="B66" s="87" t="s">
        <v>54</v>
      </c>
      <c r="C66" s="88"/>
      <c r="D66" s="20">
        <f>ROUND(((D12+D48)/12)*0.97*0.5,2)</f>
        <v>1.32</v>
      </c>
      <c r="E66" s="20">
        <f>ROUND(((E12+E48)/12)*0.97*0.5,2)</f>
        <v>1.58</v>
      </c>
      <c r="F66" s="20">
        <f>ROUND(((F12+F48)/12)*0.97*0.5,2)</f>
        <v>1.76</v>
      </c>
    </row>
    <row r="67" spans="1:6" ht="16" thickBot="1" x14ac:dyDescent="0.4">
      <c r="A67" s="15" t="s">
        <v>5</v>
      </c>
      <c r="B67" s="87" t="s">
        <v>55</v>
      </c>
      <c r="C67" s="88"/>
      <c r="D67" s="20">
        <f>ROUND((D12+D23)*0.08*0.4*0.97*0.5,2)</f>
        <v>0.37</v>
      </c>
      <c r="E67" s="20">
        <f>ROUND((E12+E23)*0.08*0.4*0.97*0.5,2)</f>
        <v>0.44</v>
      </c>
      <c r="F67" s="20">
        <f>ROUND((F12+F23)*0.08*0.4*0.97*0.5,2)</f>
        <v>0.49</v>
      </c>
    </row>
    <row r="68" spans="1:6" ht="16" thickBot="1" x14ac:dyDescent="0.4">
      <c r="A68" s="89" t="s">
        <v>13</v>
      </c>
      <c r="B68" s="90"/>
      <c r="C68" s="91"/>
      <c r="D68" s="21">
        <f>D66+D67</f>
        <v>1.69</v>
      </c>
      <c r="E68" s="21">
        <f>E66+E67</f>
        <v>2.02</v>
      </c>
      <c r="F68" s="21">
        <f>F66+F67</f>
        <v>2.25</v>
      </c>
    </row>
    <row r="69" spans="1:6" ht="6" customHeight="1" x14ac:dyDescent="0.35"/>
    <row r="70" spans="1:6" x14ac:dyDescent="0.35">
      <c r="A70" s="96" t="s">
        <v>56</v>
      </c>
      <c r="B70" s="96"/>
      <c r="C70" s="96"/>
      <c r="D70" s="96"/>
      <c r="E70" s="96"/>
      <c r="F70" s="96"/>
    </row>
    <row r="71" spans="1:6" ht="6" customHeight="1" thickBot="1" x14ac:dyDescent="0.4"/>
    <row r="72" spans="1:6" ht="16" thickBot="1" x14ac:dyDescent="0.4">
      <c r="D72" s="121" t="s">
        <v>155</v>
      </c>
      <c r="E72" s="122"/>
      <c r="F72" s="123" t="s">
        <v>156</v>
      </c>
    </row>
    <row r="73" spans="1:6" ht="16" thickBot="1" x14ac:dyDescent="0.4">
      <c r="D73" s="42" t="s">
        <v>180</v>
      </c>
      <c r="E73" s="40" t="s">
        <v>181</v>
      </c>
      <c r="F73" s="124"/>
    </row>
    <row r="74" spans="1:6" ht="16" thickBot="1" x14ac:dyDescent="0.4">
      <c r="A74" s="13" t="s">
        <v>66</v>
      </c>
      <c r="B74" s="125" t="s">
        <v>57</v>
      </c>
      <c r="C74" s="126"/>
      <c r="D74" s="14" t="s">
        <v>2</v>
      </c>
      <c r="E74" s="14" t="s">
        <v>2</v>
      </c>
      <c r="F74" s="14" t="s">
        <v>2</v>
      </c>
    </row>
    <row r="75" spans="1:6" ht="16" thickBot="1" x14ac:dyDescent="0.4">
      <c r="A75" s="15" t="s">
        <v>3</v>
      </c>
      <c r="B75" s="87" t="s">
        <v>58</v>
      </c>
      <c r="C75" s="88"/>
      <c r="D75" s="26">
        <f>-D59</f>
        <v>-1.6099999999999999</v>
      </c>
      <c r="E75" s="26">
        <f>-E59</f>
        <v>-1.93</v>
      </c>
      <c r="F75" s="26">
        <f>-F59</f>
        <v>-2.1399999999999997</v>
      </c>
    </row>
    <row r="76" spans="1:6" ht="16" thickBot="1" x14ac:dyDescent="0.4">
      <c r="A76" s="15" t="s">
        <v>5</v>
      </c>
      <c r="B76" s="87" t="s">
        <v>59</v>
      </c>
      <c r="C76" s="88"/>
      <c r="D76" s="26">
        <f>-D68</f>
        <v>-1.69</v>
      </c>
      <c r="E76" s="26">
        <f>-E68</f>
        <v>-2.02</v>
      </c>
      <c r="F76" s="26">
        <f>-F68</f>
        <v>-2.25</v>
      </c>
    </row>
    <row r="77" spans="1:6" ht="16.5" customHeight="1" thickBot="1" x14ac:dyDescent="0.4">
      <c r="A77" s="89" t="s">
        <v>60</v>
      </c>
      <c r="B77" s="90"/>
      <c r="C77" s="91"/>
      <c r="D77" s="27">
        <f>D75+D76</f>
        <v>-3.3</v>
      </c>
      <c r="E77" s="27">
        <f>E75+E76</f>
        <v>-3.95</v>
      </c>
      <c r="F77" s="27">
        <f>F75+F76</f>
        <v>-4.3899999999999997</v>
      </c>
    </row>
    <row r="78" spans="1:6" ht="16.5" customHeight="1" thickBot="1" x14ac:dyDescent="0.4">
      <c r="A78" s="89" t="s">
        <v>61</v>
      </c>
      <c r="B78" s="90"/>
      <c r="C78" s="91"/>
      <c r="D78" s="27">
        <f>D77*0</f>
        <v>0</v>
      </c>
      <c r="E78" s="27">
        <f>E77*0</f>
        <v>0</v>
      </c>
      <c r="F78" s="27">
        <f>F77*0</f>
        <v>0</v>
      </c>
    </row>
    <row r="79" spans="1:6" ht="6" customHeight="1" x14ac:dyDescent="0.35"/>
    <row r="80" spans="1:6" x14ac:dyDescent="0.35">
      <c r="A80" s="96" t="s">
        <v>62</v>
      </c>
      <c r="B80" s="96"/>
      <c r="C80" s="96"/>
      <c r="D80" s="96"/>
      <c r="E80" s="96"/>
      <c r="F80" s="96"/>
    </row>
    <row r="81" spans="1:6" ht="6" customHeight="1" thickBot="1" x14ac:dyDescent="0.4"/>
    <row r="82" spans="1:6" ht="16" thickBot="1" x14ac:dyDescent="0.4">
      <c r="D82" s="121" t="s">
        <v>155</v>
      </c>
      <c r="E82" s="122"/>
      <c r="F82" s="123" t="s">
        <v>156</v>
      </c>
    </row>
    <row r="83" spans="1:6" ht="16" thickBot="1" x14ac:dyDescent="0.4">
      <c r="D83" s="42" t="s">
        <v>180</v>
      </c>
      <c r="E83" s="40" t="s">
        <v>181</v>
      </c>
      <c r="F83" s="124"/>
    </row>
    <row r="84" spans="1:6" ht="16" thickBot="1" x14ac:dyDescent="0.4">
      <c r="A84" s="13">
        <v>3</v>
      </c>
      <c r="B84" s="125" t="s">
        <v>63</v>
      </c>
      <c r="C84" s="126"/>
      <c r="D84" s="14" t="s">
        <v>2</v>
      </c>
      <c r="E84" s="14" t="s">
        <v>2</v>
      </c>
      <c r="F84" s="14" t="s">
        <v>2</v>
      </c>
    </row>
    <row r="85" spans="1:6" ht="16" thickBot="1" x14ac:dyDescent="0.4">
      <c r="A85" s="15" t="s">
        <v>49</v>
      </c>
      <c r="B85" s="87" t="s">
        <v>64</v>
      </c>
      <c r="C85" s="88"/>
      <c r="D85" s="20">
        <f>D59</f>
        <v>1.6099999999999999</v>
      </c>
      <c r="E85" s="20">
        <f>E59</f>
        <v>1.93</v>
      </c>
      <c r="F85" s="20">
        <f>F59</f>
        <v>2.1399999999999997</v>
      </c>
    </row>
    <row r="86" spans="1:6" ht="16" thickBot="1" x14ac:dyDescent="0.4">
      <c r="A86" s="15" t="s">
        <v>53</v>
      </c>
      <c r="B86" s="87" t="s">
        <v>65</v>
      </c>
      <c r="C86" s="88">
        <f>C68</f>
        <v>0</v>
      </c>
      <c r="D86" s="20">
        <f>D68</f>
        <v>1.69</v>
      </c>
      <c r="E86" s="20">
        <f>E68</f>
        <v>2.02</v>
      </c>
      <c r="F86" s="20">
        <f>F68</f>
        <v>2.25</v>
      </c>
    </row>
    <row r="87" spans="1:6" ht="16" thickBot="1" x14ac:dyDescent="0.4">
      <c r="A87" s="15" t="s">
        <v>66</v>
      </c>
      <c r="B87" s="87" t="s">
        <v>61</v>
      </c>
      <c r="C87" s="88">
        <f>C78</f>
        <v>0</v>
      </c>
      <c r="D87" s="26">
        <f>D78</f>
        <v>0</v>
      </c>
      <c r="E87" s="26">
        <f>E78</f>
        <v>0</v>
      </c>
      <c r="F87" s="26">
        <f>F78</f>
        <v>0</v>
      </c>
    </row>
    <row r="88" spans="1:6" ht="16" thickBot="1" x14ac:dyDescent="0.4">
      <c r="A88" s="89" t="s">
        <v>13</v>
      </c>
      <c r="B88" s="90"/>
      <c r="C88" s="91"/>
      <c r="D88" s="21">
        <f>SUM(D85:D87)</f>
        <v>3.3</v>
      </c>
      <c r="E88" s="21">
        <f>SUM(E85:E87)</f>
        <v>3.95</v>
      </c>
      <c r="F88" s="21">
        <f>SUM(F85:F87)</f>
        <v>4.3899999999999997</v>
      </c>
    </row>
    <row r="89" spans="1:6" ht="12" customHeight="1" x14ac:dyDescent="0.35"/>
    <row r="90" spans="1:6" x14ac:dyDescent="0.35">
      <c r="A90" s="92" t="s">
        <v>174</v>
      </c>
      <c r="B90" s="92"/>
      <c r="C90" s="92"/>
      <c r="D90" s="92"/>
      <c r="E90" s="92"/>
      <c r="F90" s="92"/>
    </row>
    <row r="91" spans="1:6" ht="6" customHeight="1" thickBot="1" x14ac:dyDescent="0.4"/>
    <row r="92" spans="1:6" ht="16" thickBot="1" x14ac:dyDescent="0.4">
      <c r="D92" s="121" t="s">
        <v>155</v>
      </c>
      <c r="E92" s="122"/>
      <c r="F92" s="123" t="s">
        <v>156</v>
      </c>
    </row>
    <row r="93" spans="1:6" ht="16" thickBot="1" x14ac:dyDescent="0.4">
      <c r="D93" s="42" t="s">
        <v>180</v>
      </c>
      <c r="E93" s="40" t="s">
        <v>181</v>
      </c>
      <c r="F93" s="124"/>
    </row>
    <row r="94" spans="1:6" ht="16" thickBot="1" x14ac:dyDescent="0.4">
      <c r="A94" s="13">
        <v>6</v>
      </c>
      <c r="B94" s="28" t="s">
        <v>99</v>
      </c>
      <c r="C94" s="14" t="s">
        <v>22</v>
      </c>
      <c r="D94" s="14" t="s">
        <v>2</v>
      </c>
      <c r="E94" s="14" t="s">
        <v>2</v>
      </c>
      <c r="F94" s="14" t="s">
        <v>2</v>
      </c>
    </row>
    <row r="95" spans="1:6" ht="16" thickBot="1" x14ac:dyDescent="0.4">
      <c r="A95" s="15" t="s">
        <v>3</v>
      </c>
      <c r="B95" s="16" t="s">
        <v>100</v>
      </c>
      <c r="C95" s="29">
        <f>'[1]MO - Motorista'!$P$49</f>
        <v>1.1900000000000001E-2</v>
      </c>
      <c r="D95" s="17">
        <f>ROUND(D114*C95,2)</f>
        <v>0.43</v>
      </c>
      <c r="E95" s="17">
        <f>ROUND(E114*C95,2)</f>
        <v>0.51</v>
      </c>
      <c r="F95" s="17">
        <f>ROUND(F114*C95,2)</f>
        <v>0.56999999999999995</v>
      </c>
    </row>
    <row r="96" spans="1:6" ht="16" thickBot="1" x14ac:dyDescent="0.4">
      <c r="A96" s="15" t="s">
        <v>5</v>
      </c>
      <c r="B96" s="16" t="s">
        <v>101</v>
      </c>
      <c r="C96" s="29">
        <f>'[1]MO - Motorista'!$P$50</f>
        <v>0.01</v>
      </c>
      <c r="D96" s="17">
        <f>ROUND((D114+D95)*C96,2)</f>
        <v>0.36</v>
      </c>
      <c r="E96" s="17">
        <f>ROUND((E114+E95)*C96,2)</f>
        <v>0.44</v>
      </c>
      <c r="F96" s="17">
        <f>ROUND((F114+F95)*C96,2)</f>
        <v>0.48</v>
      </c>
    </row>
    <row r="97" spans="1:8" ht="16" thickBot="1" x14ac:dyDescent="0.4">
      <c r="A97" s="93" t="s">
        <v>7</v>
      </c>
      <c r="B97" s="16" t="s">
        <v>102</v>
      </c>
      <c r="C97" s="29">
        <f>C98+C101+C102</f>
        <v>8.6499999999999994E-2</v>
      </c>
      <c r="D97" s="17">
        <f>D98+D101+D102</f>
        <v>3.4799999999999995</v>
      </c>
      <c r="E97" s="17">
        <f>E98+E101+E102</f>
        <v>4.17</v>
      </c>
      <c r="F97" s="17">
        <f>F98+F101+F102</f>
        <v>4.6400000000000006</v>
      </c>
    </row>
    <row r="98" spans="1:8" ht="16" thickBot="1" x14ac:dyDescent="0.4">
      <c r="A98" s="94"/>
      <c r="B98" s="16" t="s">
        <v>103</v>
      </c>
      <c r="C98" s="29">
        <f>C99+C100</f>
        <v>3.6499999999999998E-2</v>
      </c>
      <c r="D98" s="17">
        <f>D99+D100</f>
        <v>1.47</v>
      </c>
      <c r="E98" s="17">
        <f>E99+E100</f>
        <v>1.76</v>
      </c>
      <c r="F98" s="17">
        <f>F99+F100</f>
        <v>1.96</v>
      </c>
    </row>
    <row r="99" spans="1:8" ht="16" thickBot="1" x14ac:dyDescent="0.4">
      <c r="A99" s="94"/>
      <c r="B99" s="16" t="s">
        <v>104</v>
      </c>
      <c r="C99" s="29">
        <f>'[1]MO - Motorista'!$P$51</f>
        <v>6.4999999999999997E-3</v>
      </c>
      <c r="D99" s="17">
        <f>ROUND((($D$114+$D$95+$D$96)/(1-$C$97))*C99,2)</f>
        <v>0.26</v>
      </c>
      <c r="E99" s="17">
        <f>ROUND((($E$114+$E$95+$E$96)/(1-$C$97))*C99,2)</f>
        <v>0.31</v>
      </c>
      <c r="F99" s="17">
        <f>ROUND((($F$114+$F$95+$F$96)/(1-$C$97))*C99,2)</f>
        <v>0.35</v>
      </c>
    </row>
    <row r="100" spans="1:8" ht="16" thickBot="1" x14ac:dyDescent="0.4">
      <c r="A100" s="94"/>
      <c r="B100" s="16" t="s">
        <v>105</v>
      </c>
      <c r="C100" s="29">
        <f>'[1]MO - Motorista'!$P$52</f>
        <v>0.03</v>
      </c>
      <c r="D100" s="17">
        <f>ROUND((($D$114+$D$95+$D$96)/(1-$C$97))*C100,2)</f>
        <v>1.21</v>
      </c>
      <c r="E100" s="17">
        <f>ROUND((($E$114+$E$95+$E$96)/(1-$C$97))*C100,2)</f>
        <v>1.45</v>
      </c>
      <c r="F100" s="17">
        <f>ROUND((($F$114+$F$95+$F$96)/(1-$C$97))*C100,2)</f>
        <v>1.61</v>
      </c>
    </row>
    <row r="101" spans="1:8" ht="16" thickBot="1" x14ac:dyDescent="0.4">
      <c r="A101" s="94"/>
      <c r="B101" s="16" t="s">
        <v>106</v>
      </c>
      <c r="C101" s="29">
        <v>0</v>
      </c>
      <c r="D101" s="17">
        <f>ROUND((($D$114+$D$95+$D$96)/(1-$C$97))*C101,2)</f>
        <v>0</v>
      </c>
      <c r="E101" s="17">
        <f>ROUND((($E$114+$E$95+$E$96)/(1-$C$97))*C101,2)</f>
        <v>0</v>
      </c>
      <c r="F101" s="17">
        <f>ROUND((($F$114+$F$95+$F$96)/(1-$C$97))*C101,2)</f>
        <v>0</v>
      </c>
    </row>
    <row r="102" spans="1:8" ht="16" thickBot="1" x14ac:dyDescent="0.4">
      <c r="A102" s="94"/>
      <c r="B102" s="16" t="s">
        <v>107</v>
      </c>
      <c r="C102" s="29">
        <f>C103</f>
        <v>0.05</v>
      </c>
      <c r="D102" s="17">
        <f>D103</f>
        <v>2.0099999999999998</v>
      </c>
      <c r="E102" s="17">
        <f>E103</f>
        <v>2.41</v>
      </c>
      <c r="F102" s="17">
        <f>F103</f>
        <v>2.68</v>
      </c>
    </row>
    <row r="103" spans="1:8" ht="16" thickBot="1" x14ac:dyDescent="0.4">
      <c r="A103" s="95"/>
      <c r="B103" s="16" t="s">
        <v>108</v>
      </c>
      <c r="C103" s="29">
        <v>0.05</v>
      </c>
      <c r="D103" s="17">
        <f>ROUND((($D$114+$D$95+$D$96)/(1-$C$97))*C103,2)</f>
        <v>2.0099999999999998</v>
      </c>
      <c r="E103" s="17">
        <f>ROUND((($E$114+$E$95+$E$96)/(1-$C$97))*C103,2)</f>
        <v>2.41</v>
      </c>
      <c r="F103" s="17">
        <f>ROUND((($F$114+$F$95+$F$96)/(1-$C$97))*C103,2)</f>
        <v>2.68</v>
      </c>
    </row>
    <row r="104" spans="1:8" ht="16" thickBot="1" x14ac:dyDescent="0.4">
      <c r="A104" s="89" t="s">
        <v>35</v>
      </c>
      <c r="B104" s="91"/>
      <c r="C104" s="30">
        <f>C95+C96+C97</f>
        <v>0.1084</v>
      </c>
      <c r="D104" s="18">
        <f>D95+D96+D97</f>
        <v>4.2699999999999996</v>
      </c>
      <c r="E104" s="18">
        <f>E95+E96+E97</f>
        <v>5.12</v>
      </c>
      <c r="F104" s="18">
        <f>F95+F96+F97</f>
        <v>5.69</v>
      </c>
    </row>
    <row r="105" spans="1:8" ht="12" customHeight="1" x14ac:dyDescent="0.35">
      <c r="H105" s="31"/>
    </row>
    <row r="106" spans="1:8" x14ac:dyDescent="0.35">
      <c r="A106" s="92" t="s">
        <v>175</v>
      </c>
      <c r="B106" s="92"/>
      <c r="C106" s="92"/>
      <c r="D106" s="92"/>
      <c r="E106" s="92"/>
      <c r="F106" s="92"/>
    </row>
    <row r="107" spans="1:8" ht="6" customHeight="1" thickBot="1" x14ac:dyDescent="0.4"/>
    <row r="108" spans="1:8" ht="16" thickBot="1" x14ac:dyDescent="0.4">
      <c r="D108" s="121" t="s">
        <v>155</v>
      </c>
      <c r="E108" s="122"/>
      <c r="F108" s="123" t="s">
        <v>156</v>
      </c>
    </row>
    <row r="109" spans="1:8" ht="16" thickBot="1" x14ac:dyDescent="0.4">
      <c r="D109" s="42" t="s">
        <v>180</v>
      </c>
      <c r="E109" s="40" t="s">
        <v>181</v>
      </c>
      <c r="F109" s="124"/>
    </row>
    <row r="110" spans="1:8" ht="16" thickBot="1" x14ac:dyDescent="0.4">
      <c r="A110" s="13"/>
      <c r="B110" s="125" t="s">
        <v>160</v>
      </c>
      <c r="C110" s="126"/>
      <c r="D110" s="14" t="s">
        <v>2</v>
      </c>
      <c r="E110" s="14" t="s">
        <v>2</v>
      </c>
      <c r="F110" s="14" t="s">
        <v>2</v>
      </c>
    </row>
    <row r="111" spans="1:8" ht="16" thickBot="1" x14ac:dyDescent="0.4">
      <c r="A111" s="32" t="s">
        <v>3</v>
      </c>
      <c r="B111" s="87" t="s">
        <v>0</v>
      </c>
      <c r="C111" s="88"/>
      <c r="D111" s="20">
        <f>D12</f>
        <v>21.439999999999998</v>
      </c>
      <c r="E111" s="20">
        <f>E12</f>
        <v>25.729999999999997</v>
      </c>
      <c r="F111" s="20">
        <f>F12</f>
        <v>28.589999999999996</v>
      </c>
    </row>
    <row r="112" spans="1:8" ht="16" thickBot="1" x14ac:dyDescent="0.4">
      <c r="A112" s="32" t="s">
        <v>5</v>
      </c>
      <c r="B112" s="87" t="s">
        <v>158</v>
      </c>
      <c r="C112" s="88">
        <f>C48</f>
        <v>0</v>
      </c>
      <c r="D112" s="20">
        <f>D48</f>
        <v>11.17</v>
      </c>
      <c r="E112" s="20">
        <f>E48</f>
        <v>13.38</v>
      </c>
      <c r="F112" s="20">
        <f>F48</f>
        <v>14.85</v>
      </c>
    </row>
    <row r="113" spans="1:6" ht="16" thickBot="1" x14ac:dyDescent="0.4">
      <c r="A113" s="32" t="s">
        <v>7</v>
      </c>
      <c r="B113" s="87" t="s">
        <v>110</v>
      </c>
      <c r="C113" s="88">
        <f>C88</f>
        <v>0</v>
      </c>
      <c r="D113" s="20">
        <f>D88</f>
        <v>3.3</v>
      </c>
      <c r="E113" s="20">
        <f>E88</f>
        <v>3.95</v>
      </c>
      <c r="F113" s="20">
        <f>F88</f>
        <v>4.3899999999999997</v>
      </c>
    </row>
    <row r="114" spans="1:6" ht="16.5" customHeight="1" thickBot="1" x14ac:dyDescent="0.4">
      <c r="A114" s="89" t="s">
        <v>178</v>
      </c>
      <c r="B114" s="90"/>
      <c r="C114" s="91"/>
      <c r="D114" s="21">
        <f>SUM(D111:D113)</f>
        <v>35.909999999999997</v>
      </c>
      <c r="E114" s="21">
        <f>SUM(E111:E113)</f>
        <v>43.06</v>
      </c>
      <c r="F114" s="21">
        <f>SUM(F111:F113)</f>
        <v>47.83</v>
      </c>
    </row>
    <row r="115" spans="1:6" ht="16" thickBot="1" x14ac:dyDescent="0.4">
      <c r="A115" s="32" t="s">
        <v>9</v>
      </c>
      <c r="B115" s="87" t="s">
        <v>176</v>
      </c>
      <c r="C115" s="88">
        <f>D104</f>
        <v>4.2699999999999996</v>
      </c>
      <c r="D115" s="20">
        <f>D104</f>
        <v>4.2699999999999996</v>
      </c>
      <c r="E115" s="20">
        <f>E104</f>
        <v>5.12</v>
      </c>
      <c r="F115" s="20">
        <f>F104</f>
        <v>5.69</v>
      </c>
    </row>
    <row r="116" spans="1:6" ht="16.5" customHeight="1" thickBot="1" x14ac:dyDescent="0.4">
      <c r="A116" s="89" t="s">
        <v>159</v>
      </c>
      <c r="B116" s="90"/>
      <c r="C116" s="91"/>
      <c r="D116" s="21">
        <f>D114+D115</f>
        <v>40.179999999999993</v>
      </c>
      <c r="E116" s="21">
        <f>E114+E115</f>
        <v>48.18</v>
      </c>
      <c r="F116" s="21">
        <f>F114+F115</f>
        <v>53.519999999999996</v>
      </c>
    </row>
  </sheetData>
  <mergeCells count="71">
    <mergeCell ref="A114:C114"/>
    <mergeCell ref="B115:C115"/>
    <mergeCell ref="A116:C116"/>
    <mergeCell ref="F108:F109"/>
    <mergeCell ref="F92:F93"/>
    <mergeCell ref="D108:E108"/>
    <mergeCell ref="B110:C110"/>
    <mergeCell ref="B111:C111"/>
    <mergeCell ref="B112:C112"/>
    <mergeCell ref="B113:C113"/>
    <mergeCell ref="A90:F90"/>
    <mergeCell ref="D92:E92"/>
    <mergeCell ref="A97:A103"/>
    <mergeCell ref="A104:B104"/>
    <mergeCell ref="A106:F106"/>
    <mergeCell ref="A1:F1"/>
    <mergeCell ref="A3:F3"/>
    <mergeCell ref="D5:E5"/>
    <mergeCell ref="F5:F6"/>
    <mergeCell ref="A12:C12"/>
    <mergeCell ref="A14:F14"/>
    <mergeCell ref="A16:F16"/>
    <mergeCell ref="D18:E18"/>
    <mergeCell ref="F18:F19"/>
    <mergeCell ref="B20:C20"/>
    <mergeCell ref="A88:C88"/>
    <mergeCell ref="B75:C75"/>
    <mergeCell ref="A78:C78"/>
    <mergeCell ref="A80:F80"/>
    <mergeCell ref="D82:E82"/>
    <mergeCell ref="F82:F83"/>
    <mergeCell ref="B84:C84"/>
    <mergeCell ref="A77:C77"/>
    <mergeCell ref="B76:C76"/>
    <mergeCell ref="B56:C56"/>
    <mergeCell ref="B57:C57"/>
    <mergeCell ref="B85:C85"/>
    <mergeCell ref="B86:C86"/>
    <mergeCell ref="B87:C87"/>
    <mergeCell ref="A61:F61"/>
    <mergeCell ref="D63:E63"/>
    <mergeCell ref="F63:F64"/>
    <mergeCell ref="B65:C65"/>
    <mergeCell ref="A68:C68"/>
    <mergeCell ref="B66:C66"/>
    <mergeCell ref="B67:C67"/>
    <mergeCell ref="A70:F70"/>
    <mergeCell ref="D72:E72"/>
    <mergeCell ref="F72:F73"/>
    <mergeCell ref="B74:C74"/>
    <mergeCell ref="B47:C47"/>
    <mergeCell ref="A48:C48"/>
    <mergeCell ref="A52:F52"/>
    <mergeCell ref="D54:E54"/>
    <mergeCell ref="F54:F55"/>
    <mergeCell ref="A59:C59"/>
    <mergeCell ref="B21:C21"/>
    <mergeCell ref="B22:C22"/>
    <mergeCell ref="A23:C23"/>
    <mergeCell ref="A25:F25"/>
    <mergeCell ref="D27:E27"/>
    <mergeCell ref="F27:F28"/>
    <mergeCell ref="A37:B37"/>
    <mergeCell ref="A39:B39"/>
    <mergeCell ref="A41:F41"/>
    <mergeCell ref="F43:F44"/>
    <mergeCell ref="A50:F50"/>
    <mergeCell ref="B58:C58"/>
    <mergeCell ref="D43:E43"/>
    <mergeCell ref="B45:C45"/>
    <mergeCell ref="B46:C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E4" sqref="E4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22.81640625" style="10" customWidth="1"/>
    <col min="4" max="4" width="17" style="10" customWidth="1"/>
    <col min="5" max="5" width="12" style="10" customWidth="1"/>
    <col min="6" max="6" width="15.1796875" style="10" customWidth="1"/>
    <col min="7" max="16384" width="9.1796875" style="10"/>
  </cols>
  <sheetData>
    <row r="1" spans="1:4" x14ac:dyDescent="0.35">
      <c r="A1" s="78" t="s">
        <v>370</v>
      </c>
      <c r="B1" s="78"/>
      <c r="C1" s="78"/>
      <c r="D1" s="78"/>
    </row>
    <row r="2" spans="1:4" ht="12" customHeight="1" x14ac:dyDescent="0.35"/>
    <row r="3" spans="1:4" x14ac:dyDescent="0.35">
      <c r="A3" s="92" t="s">
        <v>185</v>
      </c>
      <c r="B3" s="92"/>
      <c r="C3" s="92"/>
      <c r="D3" s="92"/>
    </row>
    <row r="4" spans="1:4" ht="6" customHeight="1" thickBot="1" x14ac:dyDescent="0.4"/>
    <row r="5" spans="1:4" ht="16" thickBot="1" x14ac:dyDescent="0.4">
      <c r="A5" s="13">
        <v>1</v>
      </c>
      <c r="B5" s="28" t="s">
        <v>161</v>
      </c>
      <c r="C5" s="14" t="s">
        <v>22</v>
      </c>
      <c r="D5" s="14" t="s">
        <v>2</v>
      </c>
    </row>
    <row r="6" spans="1:4" ht="16" thickBot="1" x14ac:dyDescent="0.4">
      <c r="A6" s="15" t="s">
        <v>3</v>
      </c>
      <c r="B6" s="16" t="s">
        <v>162</v>
      </c>
      <c r="C6" s="29" t="s">
        <v>157</v>
      </c>
      <c r="D6" s="17">
        <v>300</v>
      </c>
    </row>
    <row r="7" spans="1:4" ht="16" thickBot="1" x14ac:dyDescent="0.4">
      <c r="A7" s="13">
        <v>2</v>
      </c>
      <c r="B7" s="28" t="s">
        <v>99</v>
      </c>
      <c r="C7" s="14" t="s">
        <v>22</v>
      </c>
      <c r="D7" s="14" t="s">
        <v>2</v>
      </c>
    </row>
    <row r="8" spans="1:4" ht="16" thickBot="1" x14ac:dyDescent="0.4">
      <c r="A8" s="15" t="s">
        <v>3</v>
      </c>
      <c r="B8" s="16" t="s">
        <v>100</v>
      </c>
      <c r="C8" s="29">
        <f>'[1]MO - Motorista'!$P$49</f>
        <v>1.1900000000000001E-2</v>
      </c>
      <c r="D8" s="17">
        <f>ROUND(D6*C8,2)</f>
        <v>3.57</v>
      </c>
    </row>
    <row r="9" spans="1:4" ht="16" thickBot="1" x14ac:dyDescent="0.4">
      <c r="A9" s="15" t="s">
        <v>5</v>
      </c>
      <c r="B9" s="16" t="s">
        <v>101</v>
      </c>
      <c r="C9" s="29">
        <f>'[1]MO - Motorista'!$P$50</f>
        <v>0.01</v>
      </c>
      <c r="D9" s="17">
        <f>ROUND((D6+D8)*C9,2)</f>
        <v>3.04</v>
      </c>
    </row>
    <row r="10" spans="1:4" ht="16" thickBot="1" x14ac:dyDescent="0.4">
      <c r="A10" s="93" t="s">
        <v>7</v>
      </c>
      <c r="B10" s="16" t="s">
        <v>102</v>
      </c>
      <c r="C10" s="29">
        <f>C11+C14+C15</f>
        <v>8.6499999999999994E-2</v>
      </c>
      <c r="D10" s="17">
        <f>D11+D14+D15</f>
        <v>29.03</v>
      </c>
    </row>
    <row r="11" spans="1:4" ht="16" thickBot="1" x14ac:dyDescent="0.4">
      <c r="A11" s="94"/>
      <c r="B11" s="16" t="s">
        <v>103</v>
      </c>
      <c r="C11" s="29">
        <f>C12+C13</f>
        <v>3.6499999999999998E-2</v>
      </c>
      <c r="D11" s="17">
        <f>D12+D13</f>
        <v>12.25</v>
      </c>
    </row>
    <row r="12" spans="1:4" ht="16" thickBot="1" x14ac:dyDescent="0.4">
      <c r="A12" s="94"/>
      <c r="B12" s="16" t="s">
        <v>104</v>
      </c>
      <c r="C12" s="29">
        <f>'[1]MO - Motorista'!$P$51</f>
        <v>6.4999999999999997E-3</v>
      </c>
      <c r="D12" s="17">
        <f>ROUND((($D$6+$D$8+$D$9)/(1-$C$10))*C12,2)</f>
        <v>2.1800000000000002</v>
      </c>
    </row>
    <row r="13" spans="1:4" ht="16" thickBot="1" x14ac:dyDescent="0.4">
      <c r="A13" s="94"/>
      <c r="B13" s="16" t="s">
        <v>105</v>
      </c>
      <c r="C13" s="29">
        <f>'[1]MO - Motorista'!$P$52</f>
        <v>0.03</v>
      </c>
      <c r="D13" s="17">
        <f>ROUND((($D$6+$D$8+$D$9)/(1-$C$10))*C13,2)</f>
        <v>10.07</v>
      </c>
    </row>
    <row r="14" spans="1:4" ht="16" thickBot="1" x14ac:dyDescent="0.4">
      <c r="A14" s="94"/>
      <c r="B14" s="16" t="s">
        <v>106</v>
      </c>
      <c r="C14" s="29">
        <v>0</v>
      </c>
      <c r="D14" s="17">
        <f>ROUND((($D$6+$D$8+$D$9)/(1-$C$10))*C14,2)</f>
        <v>0</v>
      </c>
    </row>
    <row r="15" spans="1:4" ht="16" thickBot="1" x14ac:dyDescent="0.4">
      <c r="A15" s="94"/>
      <c r="B15" s="16" t="s">
        <v>107</v>
      </c>
      <c r="C15" s="29">
        <f>C16</f>
        <v>0.05</v>
      </c>
      <c r="D15" s="17">
        <f>D16</f>
        <v>16.78</v>
      </c>
    </row>
    <row r="16" spans="1:4" ht="16" thickBot="1" x14ac:dyDescent="0.4">
      <c r="A16" s="95"/>
      <c r="B16" s="16" t="s">
        <v>108</v>
      </c>
      <c r="C16" s="29">
        <v>0.05</v>
      </c>
      <c r="D16" s="17">
        <f>ROUND((($D$6+$D$8+$D$9)/(1-$C$10))*C16,2)</f>
        <v>16.78</v>
      </c>
    </row>
    <row r="17" spans="1:6" ht="16" thickBot="1" x14ac:dyDescent="0.4">
      <c r="A17" s="89" t="s">
        <v>35</v>
      </c>
      <c r="B17" s="91"/>
      <c r="C17" s="30">
        <f>C8+C9+C10</f>
        <v>0.1084</v>
      </c>
      <c r="D17" s="18">
        <f>D8+D9+D10</f>
        <v>35.64</v>
      </c>
    </row>
    <row r="18" spans="1:6" ht="16" thickBot="1" x14ac:dyDescent="0.4">
      <c r="A18" s="89" t="s">
        <v>179</v>
      </c>
      <c r="B18" s="90"/>
      <c r="C18" s="91"/>
      <c r="D18" s="21">
        <f>D6+D17</f>
        <v>335.64</v>
      </c>
      <c r="F18" s="31"/>
    </row>
    <row r="19" spans="1:6" ht="12" customHeight="1" x14ac:dyDescent="0.35"/>
    <row r="20" spans="1:6" x14ac:dyDescent="0.35">
      <c r="A20" s="92" t="s">
        <v>186</v>
      </c>
      <c r="B20" s="92"/>
      <c r="C20" s="92"/>
      <c r="D20" s="92"/>
    </row>
    <row r="21" spans="1:6" ht="6" customHeight="1" thickBot="1" x14ac:dyDescent="0.4"/>
    <row r="22" spans="1:6" ht="16" thickBot="1" x14ac:dyDescent="0.4">
      <c r="A22" s="13">
        <v>1</v>
      </c>
      <c r="B22" s="28" t="s">
        <v>161</v>
      </c>
      <c r="C22" s="14" t="s">
        <v>22</v>
      </c>
      <c r="D22" s="14" t="s">
        <v>2</v>
      </c>
    </row>
    <row r="23" spans="1:6" ht="16" thickBot="1" x14ac:dyDescent="0.4">
      <c r="A23" s="15" t="s">
        <v>3</v>
      </c>
      <c r="B23" s="16" t="s">
        <v>162</v>
      </c>
      <c r="C23" s="29" t="s">
        <v>157</v>
      </c>
      <c r="D23" s="17">
        <v>250</v>
      </c>
    </row>
    <row r="24" spans="1:6" ht="16" thickBot="1" x14ac:dyDescent="0.4">
      <c r="A24" s="13">
        <v>2</v>
      </c>
      <c r="B24" s="28" t="s">
        <v>99</v>
      </c>
      <c r="C24" s="14" t="s">
        <v>22</v>
      </c>
      <c r="D24" s="14" t="s">
        <v>2</v>
      </c>
    </row>
    <row r="25" spans="1:6" ht="16" thickBot="1" x14ac:dyDescent="0.4">
      <c r="A25" s="15" t="s">
        <v>3</v>
      </c>
      <c r="B25" s="16" t="s">
        <v>100</v>
      </c>
      <c r="C25" s="29">
        <f>'[1]MO - Motorista'!$P$49</f>
        <v>1.1900000000000001E-2</v>
      </c>
      <c r="D25" s="17">
        <f>ROUND(D23*C25,2)</f>
        <v>2.98</v>
      </c>
    </row>
    <row r="26" spans="1:6" ht="16" thickBot="1" x14ac:dyDescent="0.4">
      <c r="A26" s="15" t="s">
        <v>5</v>
      </c>
      <c r="B26" s="16" t="s">
        <v>101</v>
      </c>
      <c r="C26" s="29">
        <f>'[1]MO - Motorista'!$P$50</f>
        <v>0.01</v>
      </c>
      <c r="D26" s="17">
        <f>ROUND((D23+D25)*C26,2)</f>
        <v>2.5299999999999998</v>
      </c>
    </row>
    <row r="27" spans="1:6" ht="16" thickBot="1" x14ac:dyDescent="0.4">
      <c r="A27" s="93" t="s">
        <v>7</v>
      </c>
      <c r="B27" s="16" t="s">
        <v>102</v>
      </c>
      <c r="C27" s="29">
        <f>C28+C31+C32</f>
        <v>8.6499999999999994E-2</v>
      </c>
      <c r="D27" s="17">
        <f>D28+D31+D32</f>
        <v>29.03</v>
      </c>
    </row>
    <row r="28" spans="1:6" ht="16" thickBot="1" x14ac:dyDescent="0.4">
      <c r="A28" s="94"/>
      <c r="B28" s="16" t="s">
        <v>103</v>
      </c>
      <c r="C28" s="29">
        <f>C29+C30</f>
        <v>3.6499999999999998E-2</v>
      </c>
      <c r="D28" s="17">
        <f>D29+D30</f>
        <v>12.25</v>
      </c>
    </row>
    <row r="29" spans="1:6" ht="16" thickBot="1" x14ac:dyDescent="0.4">
      <c r="A29" s="94"/>
      <c r="B29" s="16" t="s">
        <v>104</v>
      </c>
      <c r="C29" s="29">
        <f>'[1]MO - Motorista'!$P$51</f>
        <v>6.4999999999999997E-3</v>
      </c>
      <c r="D29" s="17">
        <f>ROUND((($D$6+$D$8+$D$9)/(1-$C$10))*C29,2)</f>
        <v>2.1800000000000002</v>
      </c>
    </row>
    <row r="30" spans="1:6" ht="16" thickBot="1" x14ac:dyDescent="0.4">
      <c r="A30" s="94"/>
      <c r="B30" s="16" t="s">
        <v>105</v>
      </c>
      <c r="C30" s="29">
        <f>'[1]MO - Motorista'!$P$52</f>
        <v>0.03</v>
      </c>
      <c r="D30" s="17">
        <f>ROUND((($D$6+$D$8+$D$9)/(1-$C$10))*C30,2)</f>
        <v>10.07</v>
      </c>
    </row>
    <row r="31" spans="1:6" ht="16" thickBot="1" x14ac:dyDescent="0.4">
      <c r="A31" s="94"/>
      <c r="B31" s="16" t="s">
        <v>106</v>
      </c>
      <c r="C31" s="29">
        <v>0</v>
      </c>
      <c r="D31" s="17">
        <f>ROUND((($D$6+$D$8+$D$9)/(1-$C$10))*C31,2)</f>
        <v>0</v>
      </c>
    </row>
    <row r="32" spans="1:6" ht="16" thickBot="1" x14ac:dyDescent="0.4">
      <c r="A32" s="94"/>
      <c r="B32" s="16" t="s">
        <v>107</v>
      </c>
      <c r="C32" s="29">
        <f>C33</f>
        <v>0.05</v>
      </c>
      <c r="D32" s="17">
        <f>D33</f>
        <v>16.78</v>
      </c>
    </row>
    <row r="33" spans="1:6" ht="16" thickBot="1" x14ac:dyDescent="0.4">
      <c r="A33" s="95"/>
      <c r="B33" s="16" t="s">
        <v>108</v>
      </c>
      <c r="C33" s="29">
        <v>0.05</v>
      </c>
      <c r="D33" s="17">
        <f>ROUND((($D$6+$D$8+$D$9)/(1-$C$10))*C33,2)</f>
        <v>16.78</v>
      </c>
    </row>
    <row r="34" spans="1:6" ht="16" thickBot="1" x14ac:dyDescent="0.4">
      <c r="A34" s="89" t="s">
        <v>35</v>
      </c>
      <c r="B34" s="91"/>
      <c r="C34" s="30">
        <f>C25+C26+C27</f>
        <v>0.1084</v>
      </c>
      <c r="D34" s="18">
        <f>D25+D26+D27</f>
        <v>34.54</v>
      </c>
    </row>
    <row r="35" spans="1:6" ht="16" thickBot="1" x14ac:dyDescent="0.4">
      <c r="A35" s="89" t="s">
        <v>179</v>
      </c>
      <c r="B35" s="90"/>
      <c r="C35" s="91"/>
      <c r="D35" s="21">
        <f>D23+D34</f>
        <v>284.54000000000002</v>
      </c>
      <c r="F35" s="31"/>
    </row>
  </sheetData>
  <mergeCells count="9">
    <mergeCell ref="A20:D20"/>
    <mergeCell ref="A27:A33"/>
    <mergeCell ref="A34:B34"/>
    <mergeCell ref="A35:C35"/>
    <mergeCell ref="A1:D1"/>
    <mergeCell ref="A3:D3"/>
    <mergeCell ref="A10:A16"/>
    <mergeCell ref="A17:B17"/>
    <mergeCell ref="A18:C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>
      <selection activeCell="G5" sqref="G5"/>
    </sheetView>
  </sheetViews>
  <sheetFormatPr defaultColWidth="9.1796875" defaultRowHeight="14.5" x14ac:dyDescent="0.35"/>
  <cols>
    <col min="1" max="1" width="16.26953125" style="1" bestFit="1" customWidth="1"/>
    <col min="2" max="2" width="15.81640625" style="1" bestFit="1" customWidth="1"/>
    <col min="3" max="3" width="15.81640625" style="1" customWidth="1"/>
    <col min="4" max="4" width="13.1796875" style="1" customWidth="1"/>
    <col min="5" max="5" width="14.453125" style="1" customWidth="1"/>
    <col min="6" max="6" width="15.453125" style="1" customWidth="1"/>
    <col min="7" max="16384" width="9.1796875" style="1"/>
  </cols>
  <sheetData>
    <row r="1" spans="1:6" ht="15.5" x14ac:dyDescent="0.35">
      <c r="A1" s="92" t="s">
        <v>211</v>
      </c>
      <c r="B1" s="92"/>
      <c r="C1" s="92"/>
      <c r="D1" s="92"/>
      <c r="E1" s="92"/>
      <c r="F1" s="92"/>
    </row>
    <row r="2" spans="1:6" ht="12" customHeight="1" x14ac:dyDescent="0.35">
      <c r="A2" s="35"/>
      <c r="B2" s="36"/>
      <c r="C2" s="37"/>
      <c r="D2" s="38"/>
      <c r="E2" s="38"/>
      <c r="F2" s="38"/>
    </row>
    <row r="3" spans="1:6" ht="15.5" x14ac:dyDescent="0.35">
      <c r="A3" s="92" t="s">
        <v>171</v>
      </c>
      <c r="B3" s="92"/>
      <c r="C3" s="92"/>
      <c r="D3" s="92"/>
      <c r="E3" s="92"/>
      <c r="F3" s="92"/>
    </row>
    <row r="4" spans="1:6" ht="6" customHeight="1" x14ac:dyDescent="0.35">
      <c r="A4" s="39"/>
      <c r="B4" s="39"/>
      <c r="C4" s="39"/>
      <c r="D4" s="39"/>
      <c r="E4" s="39"/>
      <c r="F4" s="39"/>
    </row>
    <row r="5" spans="1:6" s="10" customFormat="1" ht="46.5" x14ac:dyDescent="0.35">
      <c r="A5" s="48" t="s">
        <v>138</v>
      </c>
      <c r="B5" s="49" t="s">
        <v>139</v>
      </c>
      <c r="C5" s="50" t="s">
        <v>140</v>
      </c>
      <c r="D5" s="49" t="s">
        <v>141</v>
      </c>
      <c r="E5" s="49" t="s">
        <v>142</v>
      </c>
      <c r="F5" s="49" t="s">
        <v>143</v>
      </c>
    </row>
    <row r="6" spans="1:6" s="10" customFormat="1" ht="15.5" x14ac:dyDescent="0.35">
      <c r="A6" s="128" t="s">
        <v>144</v>
      </c>
      <c r="B6" s="52" t="s">
        <v>145</v>
      </c>
      <c r="C6" s="54">
        <f>[1]Uniformes!$AV$70</f>
        <v>79.900000000000006</v>
      </c>
      <c r="D6" s="51">
        <v>6</v>
      </c>
      <c r="E6" s="53">
        <f>D6*C6</f>
        <v>479.40000000000003</v>
      </c>
      <c r="F6" s="54">
        <f>E6/12</f>
        <v>39.950000000000003</v>
      </c>
    </row>
    <row r="7" spans="1:6" s="10" customFormat="1" ht="15.5" x14ac:dyDescent="0.35">
      <c r="A7" s="128"/>
      <c r="B7" s="52" t="s">
        <v>146</v>
      </c>
      <c r="C7" s="54">
        <f>[1]Uniformes!$AV$71</f>
        <v>47.76</v>
      </c>
      <c r="D7" s="51">
        <v>10</v>
      </c>
      <c r="E7" s="53">
        <f t="shared" ref="E7:E12" si="0">D7*C7</f>
        <v>477.59999999999997</v>
      </c>
      <c r="F7" s="54">
        <f t="shared" ref="F7:F12" si="1">E7/12</f>
        <v>39.799999999999997</v>
      </c>
    </row>
    <row r="8" spans="1:6" s="10" customFormat="1" ht="15.5" x14ac:dyDescent="0.35">
      <c r="A8" s="128"/>
      <c r="B8" s="52" t="s">
        <v>147</v>
      </c>
      <c r="C8" s="54">
        <f>[1]Uniformes!$AV$72</f>
        <v>46.5</v>
      </c>
      <c r="D8" s="51">
        <v>10</v>
      </c>
      <c r="E8" s="53">
        <f t="shared" si="0"/>
        <v>465</v>
      </c>
      <c r="F8" s="54">
        <f t="shared" si="1"/>
        <v>38.75</v>
      </c>
    </row>
    <row r="9" spans="1:6" s="10" customFormat="1" ht="15.5" x14ac:dyDescent="0.35">
      <c r="A9" s="128"/>
      <c r="B9" s="52" t="s">
        <v>148</v>
      </c>
      <c r="C9" s="54">
        <f>[1]Uniformes!$AV$73</f>
        <v>15</v>
      </c>
      <c r="D9" s="51">
        <v>10</v>
      </c>
      <c r="E9" s="53">
        <f t="shared" si="0"/>
        <v>150</v>
      </c>
      <c r="F9" s="54">
        <f t="shared" si="1"/>
        <v>12.5</v>
      </c>
    </row>
    <row r="10" spans="1:6" s="10" customFormat="1" ht="15.5" x14ac:dyDescent="0.35">
      <c r="A10" s="128"/>
      <c r="B10" s="52" t="s">
        <v>149</v>
      </c>
      <c r="C10" s="54">
        <f>[1]Uniformes!$AV$74</f>
        <v>15.994999999999999</v>
      </c>
      <c r="D10" s="51">
        <v>4</v>
      </c>
      <c r="E10" s="53">
        <f t="shared" si="0"/>
        <v>63.98</v>
      </c>
      <c r="F10" s="54">
        <f t="shared" si="1"/>
        <v>5.3316666666666661</v>
      </c>
    </row>
    <row r="11" spans="1:6" s="10" customFormat="1" ht="15.5" x14ac:dyDescent="0.35">
      <c r="A11" s="128"/>
      <c r="B11" s="52" t="s">
        <v>150</v>
      </c>
      <c r="C11" s="54">
        <f>[1]Uniformes!$AV$75</f>
        <v>6</v>
      </c>
      <c r="D11" s="51">
        <v>10</v>
      </c>
      <c r="E11" s="53">
        <f t="shared" si="0"/>
        <v>60</v>
      </c>
      <c r="F11" s="54">
        <f t="shared" si="1"/>
        <v>5</v>
      </c>
    </row>
    <row r="12" spans="1:6" s="10" customFormat="1" ht="15.5" x14ac:dyDescent="0.35">
      <c r="A12" s="128"/>
      <c r="B12" s="52" t="s">
        <v>151</v>
      </c>
      <c r="C12" s="54">
        <f>[1]Uniformes!$AV$76</f>
        <v>61.5</v>
      </c>
      <c r="D12" s="51">
        <v>6</v>
      </c>
      <c r="E12" s="53">
        <f t="shared" si="0"/>
        <v>369</v>
      </c>
      <c r="F12" s="54">
        <f t="shared" si="1"/>
        <v>30.75</v>
      </c>
    </row>
    <row r="13" spans="1:6" s="10" customFormat="1" ht="15.5" x14ac:dyDescent="0.35">
      <c r="A13" s="107" t="s">
        <v>153</v>
      </c>
      <c r="B13" s="107"/>
      <c r="C13" s="107"/>
      <c r="D13" s="107"/>
      <c r="E13" s="107"/>
      <c r="F13" s="55">
        <f>SUM(F6:F12)</f>
        <v>172.08166666666668</v>
      </c>
    </row>
  </sheetData>
  <mergeCells count="4">
    <mergeCell ref="A1:F1"/>
    <mergeCell ref="A3:F3"/>
    <mergeCell ref="A6:A12"/>
    <mergeCell ref="A13:E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7"/>
  <sheetViews>
    <sheetView workbookViewId="0">
      <selection activeCell="E122" sqref="E122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189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100"/>
      <c r="E5" s="12"/>
    </row>
    <row r="6" spans="1:5" ht="16" thickBot="1" x14ac:dyDescent="0.4">
      <c r="A6" s="97" t="s">
        <v>115</v>
      </c>
      <c r="B6" s="97"/>
      <c r="C6" s="98" t="s">
        <v>190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191</v>
      </c>
      <c r="D11" s="99"/>
    </row>
    <row r="12" spans="1:5" ht="16" thickBot="1" x14ac:dyDescent="0.4">
      <c r="A12" s="97" t="s">
        <v>119</v>
      </c>
      <c r="B12" s="97"/>
      <c r="C12" s="98" t="s">
        <v>125</v>
      </c>
      <c r="D12" s="99"/>
    </row>
    <row r="13" spans="1:5" ht="16" thickBot="1" x14ac:dyDescent="0.4">
      <c r="A13" s="97" t="s">
        <v>120</v>
      </c>
      <c r="B13" s="97"/>
      <c r="C13" s="98">
        <v>9</v>
      </c>
      <c r="D13" s="99"/>
    </row>
    <row r="14" spans="1:5" ht="16" thickBot="1" x14ac:dyDescent="0.4">
      <c r="A14" s="97" t="s">
        <v>123</v>
      </c>
      <c r="B14" s="97"/>
      <c r="C14" s="98" t="s">
        <v>192</v>
      </c>
      <c r="D14" s="99"/>
    </row>
    <row r="15" spans="1:5" ht="16" thickBot="1" x14ac:dyDescent="0.4">
      <c r="A15" s="97" t="s">
        <v>121</v>
      </c>
      <c r="B15" s="97"/>
      <c r="C15" s="98" t="s">
        <v>193</v>
      </c>
      <c r="D15" s="99"/>
    </row>
    <row r="16" spans="1:5" ht="16" thickBot="1" x14ac:dyDescent="0.4">
      <c r="A16" s="97" t="s">
        <v>122</v>
      </c>
      <c r="B16" s="97"/>
      <c r="C16" s="101">
        <v>1515.92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1515.92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1515.92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126.28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42.09</v>
      </c>
    </row>
    <row r="36" spans="1:4" ht="16" thickBot="1" x14ac:dyDescent="0.4">
      <c r="A36" s="89" t="s">
        <v>13</v>
      </c>
      <c r="B36" s="90"/>
      <c r="C36" s="91"/>
      <c r="D36" s="21">
        <f>D34+D35</f>
        <v>168.37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>ROUND(($D$27+$D$36)*C41,2)</f>
        <v>336.86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ref="D42:D49" si="0">ROUND(($D$27+$D$36)*C42,2)</f>
        <v>42.11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50.53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25.26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16.84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10.11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3.37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485.08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 t="shared" si="0"/>
        <v>134.74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619.81999999999994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ROUND(C55*2*22,2)</f>
        <v>242</v>
      </c>
    </row>
    <row r="56" spans="1:4" ht="16" thickBot="1" x14ac:dyDescent="0.4">
      <c r="A56" s="94"/>
      <c r="B56" s="16" t="s">
        <v>40</v>
      </c>
      <c r="C56" s="41">
        <v>0.06</v>
      </c>
      <c r="D56" s="17">
        <f>ROUND(D27*C56,2)</f>
        <v>90.96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151.04000000000002</v>
      </c>
    </row>
    <row r="58" spans="1:4" ht="16" thickBot="1" x14ac:dyDescent="0.4">
      <c r="A58" s="93" t="s">
        <v>5</v>
      </c>
      <c r="B58" s="16" t="s">
        <v>42</v>
      </c>
      <c r="C58" s="17">
        <v>40.5</v>
      </c>
      <c r="D58" s="17">
        <f>ROUND(C58*22,2)</f>
        <v>891</v>
      </c>
    </row>
    <row r="59" spans="1:4" ht="16" thickBot="1" x14ac:dyDescent="0.4">
      <c r="A59" s="94"/>
      <c r="B59" s="16" t="s">
        <v>132</v>
      </c>
      <c r="C59" s="17">
        <v>0</v>
      </c>
      <c r="D59" s="17">
        <f>C59</f>
        <v>0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891</v>
      </c>
    </row>
    <row r="61" spans="1:4" ht="16" thickBot="1" x14ac:dyDescent="0.4">
      <c r="A61" s="93" t="s">
        <v>7</v>
      </c>
      <c r="B61" s="16" t="s">
        <v>130</v>
      </c>
      <c r="C61" s="17">
        <v>175.76</v>
      </c>
      <c r="D61" s="17">
        <f>C61</f>
        <v>175.76</v>
      </c>
    </row>
    <row r="62" spans="1:4" ht="16" thickBot="1" x14ac:dyDescent="0.4">
      <c r="A62" s="94"/>
      <c r="B62" s="16" t="s">
        <v>131</v>
      </c>
      <c r="C62" s="17">
        <v>0</v>
      </c>
      <c r="D62" s="17">
        <v>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175.76</v>
      </c>
    </row>
    <row r="64" spans="1:4" ht="16" thickBot="1" x14ac:dyDescent="0.4">
      <c r="A64" s="93" t="s">
        <v>9</v>
      </c>
      <c r="B64" s="16" t="s">
        <v>133</v>
      </c>
      <c r="C64" s="17">
        <v>11.92</v>
      </c>
      <c r="D64" s="17">
        <f>C64</f>
        <v>11.92</v>
      </c>
    </row>
    <row r="65" spans="1:4" ht="16" thickBot="1" x14ac:dyDescent="0.4">
      <c r="A65" s="94"/>
      <c r="B65" s="16" t="s">
        <v>131</v>
      </c>
      <c r="C65" s="17">
        <v>0</v>
      </c>
      <c r="D65" s="17">
        <f>C65</f>
        <v>0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11.92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1232.47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168.37</v>
      </c>
    </row>
    <row r="76" spans="1:4" ht="16" thickBot="1" x14ac:dyDescent="0.4">
      <c r="A76" s="15" t="s">
        <v>20</v>
      </c>
      <c r="B76" s="87" t="s">
        <v>21</v>
      </c>
      <c r="C76" s="88">
        <f>D50</f>
        <v>619.81999999999994</v>
      </c>
      <c r="D76" s="20">
        <f>D50</f>
        <v>619.81999999999994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1232.47</v>
      </c>
    </row>
    <row r="78" spans="1:4" ht="16" thickBot="1" x14ac:dyDescent="0.4">
      <c r="A78" s="89" t="s">
        <v>13</v>
      </c>
      <c r="B78" s="90"/>
      <c r="C78" s="91"/>
      <c r="D78" s="21">
        <f>SUM(D75:D77)</f>
        <v>2020.6599999999999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4" ht="6" customHeight="1" x14ac:dyDescent="0.35"/>
    <row r="82" spans="1:4" x14ac:dyDescent="0.35">
      <c r="A82" s="96" t="s">
        <v>48</v>
      </c>
      <c r="B82" s="96"/>
      <c r="C82" s="96"/>
      <c r="D82" s="96"/>
    </row>
    <row r="83" spans="1:4" ht="6" customHeight="1" thickBot="1" x14ac:dyDescent="0.4"/>
    <row r="84" spans="1:4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4" ht="16" thickBot="1" x14ac:dyDescent="0.4">
      <c r="A85" s="15" t="s">
        <v>3</v>
      </c>
      <c r="B85" s="87" t="s">
        <v>50</v>
      </c>
      <c r="C85" s="88"/>
      <c r="D85" s="20">
        <f>ROUND(((D27+D78-D49)/12)*0.7977*0.5,2)</f>
        <v>113.07</v>
      </c>
    </row>
    <row r="86" spans="1:4" ht="16" thickBot="1" x14ac:dyDescent="0.4">
      <c r="A86" s="15" t="s">
        <v>5</v>
      </c>
      <c r="B86" s="87" t="s">
        <v>51</v>
      </c>
      <c r="C86" s="88"/>
      <c r="D86" s="20">
        <f>ROUND((D27+D36)*0.08*0.4*0.7977*0.5,2)</f>
        <v>21.5</v>
      </c>
    </row>
    <row r="87" spans="1:4" ht="16" thickBot="1" x14ac:dyDescent="0.4">
      <c r="A87" s="89" t="s">
        <v>13</v>
      </c>
      <c r="B87" s="90"/>
      <c r="C87" s="91"/>
      <c r="D87" s="21">
        <f>D85+D86</f>
        <v>134.57</v>
      </c>
    </row>
    <row r="88" spans="1:4" ht="6" customHeight="1" x14ac:dyDescent="0.35"/>
    <row r="89" spans="1:4" x14ac:dyDescent="0.35">
      <c r="A89" s="96" t="s">
        <v>52</v>
      </c>
      <c r="B89" s="96"/>
      <c r="C89" s="96"/>
      <c r="D89" s="96"/>
    </row>
    <row r="90" spans="1:4" ht="6" customHeight="1" thickBot="1" x14ac:dyDescent="0.4"/>
    <row r="91" spans="1:4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4" ht="16" thickBot="1" x14ac:dyDescent="0.4">
      <c r="A92" s="15" t="s">
        <v>3</v>
      </c>
      <c r="B92" s="87" t="s">
        <v>54</v>
      </c>
      <c r="C92" s="88"/>
      <c r="D92" s="20">
        <f>ROUND(((D27+D78)/12)*0.7977*0.5,2)</f>
        <v>117.55</v>
      </c>
    </row>
    <row r="93" spans="1:4" ht="16" thickBot="1" x14ac:dyDescent="0.4">
      <c r="A93" s="15" t="s">
        <v>5</v>
      </c>
      <c r="B93" s="87" t="s">
        <v>55</v>
      </c>
      <c r="C93" s="88"/>
      <c r="D93" s="20">
        <f>ROUND((D27+D36)*0.08*0.4*0.7977*0.5,2)</f>
        <v>21.5</v>
      </c>
    </row>
    <row r="94" spans="1:4" ht="16" thickBot="1" x14ac:dyDescent="0.4">
      <c r="A94" s="89" t="s">
        <v>13</v>
      </c>
      <c r="B94" s="90"/>
      <c r="C94" s="91"/>
      <c r="D94" s="21">
        <f>D92+D93</f>
        <v>139.05000000000001</v>
      </c>
    </row>
    <row r="95" spans="1:4" ht="6" customHeight="1" x14ac:dyDescent="0.35"/>
    <row r="96" spans="1:4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-D87</f>
        <v>-134.57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-D94</f>
        <v>-139.05000000000001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-273.62</v>
      </c>
    </row>
    <row r="102" spans="1:4" ht="16.5" customHeight="1" thickBot="1" x14ac:dyDescent="0.4">
      <c r="A102" s="89" t="s">
        <v>61</v>
      </c>
      <c r="B102" s="90"/>
      <c r="C102" s="91"/>
      <c r="D102" s="27">
        <f>D101*0.0454</f>
        <v>-12.422348000000001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134.57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139.05000000000001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-12.422348000000001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261.19765200000001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0.19343369043221278</v>
      </c>
      <c r="D117" s="20">
        <f>ROUND(((($D$27+$D$78+$D$110)/22)*20.3836)/12,2)</f>
        <v>293.23</v>
      </c>
    </row>
    <row r="118" spans="1:4" ht="16" thickBot="1" x14ac:dyDescent="0.4">
      <c r="A118" s="15" t="s">
        <v>5</v>
      </c>
      <c r="B118" s="16" t="s">
        <v>72</v>
      </c>
      <c r="C118" s="29">
        <f>'[1]MO - Servente'!$Q$35</f>
        <v>2.8E-3</v>
      </c>
      <c r="D118" s="20">
        <f>ROUND(($D$27+$D$78+$D$110)*C118,2)</f>
        <v>10.63</v>
      </c>
    </row>
    <row r="119" spans="1:4" ht="16" thickBot="1" x14ac:dyDescent="0.4">
      <c r="A119" s="15" t="s">
        <v>7</v>
      </c>
      <c r="B119" s="16" t="s">
        <v>73</v>
      </c>
      <c r="C119" s="29">
        <f>'[1]MO - Servente'!$Q$36</f>
        <v>3.3E-3</v>
      </c>
      <c r="D119" s="20">
        <f t="shared" ref="D119:D128" si="1">ROUND(($D$27+$D$78+$D$110)*C119,2)</f>
        <v>12.53</v>
      </c>
    </row>
    <row r="120" spans="1:4" ht="16" thickBot="1" x14ac:dyDescent="0.4">
      <c r="A120" s="15" t="s">
        <v>9</v>
      </c>
      <c r="B120" s="16" t="s">
        <v>74</v>
      </c>
      <c r="C120" s="29">
        <f>'[1]MO - Servente'!$Q$37</f>
        <v>0</v>
      </c>
      <c r="D120" s="20">
        <f t="shared" si="1"/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Servente'!$Q$38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Servente'!$Q$39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Servente'!$Q$40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Servente'!$Q$41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Servente'!$Q$42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Servente'!$Q$43</f>
        <v>2.0000000000000001E-4</v>
      </c>
      <c r="D126" s="20">
        <f t="shared" si="1"/>
        <v>0.76</v>
      </c>
    </row>
    <row r="127" spans="1:4" ht="16" thickBot="1" x14ac:dyDescent="0.4">
      <c r="A127" s="15" t="s">
        <v>83</v>
      </c>
      <c r="B127" s="16" t="s">
        <v>84</v>
      </c>
      <c r="C127" s="29">
        <f>'[1]MO - Servente'!$Q$44</f>
        <v>2.0000000000000001E-4</v>
      </c>
      <c r="D127" s="20">
        <f>ROUND(($D$27+$D$78+$D$110)*C127,2)</f>
        <v>0.76</v>
      </c>
    </row>
    <row r="128" spans="1:4" ht="16" thickBot="1" x14ac:dyDescent="0.4">
      <c r="A128" s="15" t="s">
        <v>85</v>
      </c>
      <c r="B128" s="16" t="s">
        <v>86</v>
      </c>
      <c r="C128" s="29">
        <f>'[1]MO - Servente'!$Q$45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317.90999999999997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317.90999999999997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317.90999999999997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5" ht="6" customHeight="1" thickBot="1" x14ac:dyDescent="0.4"/>
    <row r="146" spans="1:5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5" ht="16" thickBot="1" x14ac:dyDescent="0.4">
      <c r="A147" s="15" t="s">
        <v>3</v>
      </c>
      <c r="B147" s="87" t="s">
        <v>95</v>
      </c>
      <c r="C147" s="88"/>
      <c r="D147" s="17">
        <f>'Grupo 1 - Uniformes'!F10</f>
        <v>46.822095000000004</v>
      </c>
    </row>
    <row r="148" spans="1:5" ht="16" thickBot="1" x14ac:dyDescent="0.4">
      <c r="A148" s="15" t="s">
        <v>5</v>
      </c>
      <c r="B148" s="87" t="s">
        <v>96</v>
      </c>
      <c r="C148" s="88">
        <v>0</v>
      </c>
      <c r="D148" s="17" cm="1">
        <f t="array" ref="D148:E148">ROUND('Grupo 1 - Insumos de Limpeza'!G41/'Grupo 1 - Servente de Limpeza'!C13:D13,2)</f>
        <v>864.41</v>
      </c>
      <c r="E148" s="71" t="e">
        <v>#DIV/0!</v>
      </c>
    </row>
    <row r="149" spans="1:5" ht="16" thickBot="1" x14ac:dyDescent="0.4">
      <c r="A149" s="15" t="s">
        <v>7</v>
      </c>
      <c r="B149" s="87" t="s">
        <v>287</v>
      </c>
      <c r="C149" s="88">
        <v>0</v>
      </c>
      <c r="D149" s="17" cm="1">
        <f t="array" ref="D149:E149">ROUND('Grupo 1 - Insumos de Limpeza'!G65/'Grupo 1 - Servente de Limpeza'!C13:D13,2)</f>
        <v>129.97999999999999</v>
      </c>
      <c r="E149" s="71" t="e">
        <v>#DIV/0!</v>
      </c>
    </row>
    <row r="150" spans="1:5" ht="16" thickBot="1" x14ac:dyDescent="0.4">
      <c r="A150" s="15" t="s">
        <v>9</v>
      </c>
      <c r="B150" s="87" t="s">
        <v>97</v>
      </c>
      <c r="C150" s="88">
        <v>0</v>
      </c>
      <c r="D150" s="17" cm="1">
        <f t="array" ref="D150:E150">ROUND('Grupo 1 - Insumos de Limpeza'!G73/'Grupo 1 - Servente de Limpeza'!C13:D13,2)</f>
        <v>22.92</v>
      </c>
      <c r="E150" s="71" t="e">
        <v>#DIV/0!</v>
      </c>
    </row>
    <row r="151" spans="1:5" ht="16" thickBot="1" x14ac:dyDescent="0.4">
      <c r="A151" s="89" t="s">
        <v>35</v>
      </c>
      <c r="B151" s="90"/>
      <c r="C151" s="91"/>
      <c r="D151" s="18">
        <f>SUM(D147:D149)</f>
        <v>1041.2120949999999</v>
      </c>
    </row>
    <row r="152" spans="1:5" ht="12" customHeight="1" x14ac:dyDescent="0.35"/>
    <row r="153" spans="1:5" x14ac:dyDescent="0.35">
      <c r="A153" s="92" t="s">
        <v>98</v>
      </c>
      <c r="B153" s="92"/>
      <c r="C153" s="92"/>
      <c r="D153" s="92"/>
    </row>
    <row r="154" spans="1:5" ht="6" customHeight="1" thickBot="1" x14ac:dyDescent="0.4"/>
    <row r="155" spans="1:5" ht="16" thickBot="1" x14ac:dyDescent="0.4">
      <c r="A155" s="13">
        <v>6</v>
      </c>
      <c r="B155" s="28" t="s">
        <v>99</v>
      </c>
      <c r="C155" s="14" t="s">
        <v>22</v>
      </c>
      <c r="D155" s="14" t="s">
        <v>2</v>
      </c>
    </row>
    <row r="156" spans="1:5" ht="16" thickBot="1" x14ac:dyDescent="0.4">
      <c r="A156" s="15" t="s">
        <v>3</v>
      </c>
      <c r="B156" s="16" t="s">
        <v>100</v>
      </c>
      <c r="C156" s="29">
        <f>'[1]MO - Servente'!$Q$49</f>
        <v>2.5000000000000001E-2</v>
      </c>
      <c r="D156" s="17">
        <f>ROUND(D175*C156,2)</f>
        <v>128.91999999999999</v>
      </c>
    </row>
    <row r="157" spans="1:5" ht="16" thickBot="1" x14ac:dyDescent="0.4">
      <c r="A157" s="15" t="s">
        <v>5</v>
      </c>
      <c r="B157" s="16" t="s">
        <v>101</v>
      </c>
      <c r="C157" s="29">
        <f>'[1]MO - Servente'!$Q$50</f>
        <v>1.7999999999999999E-2</v>
      </c>
      <c r="D157" s="17">
        <f>ROUND((D175+D156)*C157,2)</f>
        <v>95.14</v>
      </c>
    </row>
    <row r="158" spans="1:5" ht="16" thickBot="1" x14ac:dyDescent="0.4">
      <c r="A158" s="93" t="s">
        <v>7</v>
      </c>
      <c r="B158" s="16" t="s">
        <v>102</v>
      </c>
      <c r="C158" s="29">
        <f>C159+C162+C163</f>
        <v>8.6499999999999994E-2</v>
      </c>
      <c r="D158" s="17">
        <f>D159+D162+D163</f>
        <v>509.52</v>
      </c>
    </row>
    <row r="159" spans="1:5" ht="16" thickBot="1" x14ac:dyDescent="0.4">
      <c r="A159" s="94"/>
      <c r="B159" s="16" t="s">
        <v>103</v>
      </c>
      <c r="C159" s="29">
        <f>C160+C161</f>
        <v>3.6499999999999998E-2</v>
      </c>
      <c r="D159" s="17">
        <f>D160+D161</f>
        <v>215</v>
      </c>
    </row>
    <row r="160" spans="1:5" ht="16" thickBot="1" x14ac:dyDescent="0.4">
      <c r="A160" s="94"/>
      <c r="B160" s="16" t="s">
        <v>104</v>
      </c>
      <c r="C160" s="29">
        <f>'[1]MO - Servente'!$Q$51</f>
        <v>6.4999999999999997E-3</v>
      </c>
      <c r="D160" s="17">
        <f>ROUND((($D$175+$D$156+$D$157)/(1-$C$158))*C160,2)</f>
        <v>38.29</v>
      </c>
    </row>
    <row r="161" spans="1:6" ht="16" thickBot="1" x14ac:dyDescent="0.4">
      <c r="A161" s="94"/>
      <c r="B161" s="16" t="s">
        <v>105</v>
      </c>
      <c r="C161" s="29">
        <f>'[1]MO - Servente'!$Q$52</f>
        <v>0.03</v>
      </c>
      <c r="D161" s="17">
        <f>ROUND((($D$175+$D$156+$D$157)/(1-$C$158))*C161,2)</f>
        <v>176.71</v>
      </c>
    </row>
    <row r="162" spans="1:6" ht="16" thickBot="1" x14ac:dyDescent="0.4">
      <c r="A162" s="94"/>
      <c r="B162" s="16" t="s">
        <v>106</v>
      </c>
      <c r="C162" s="29">
        <v>0</v>
      </c>
      <c r="D162" s="17">
        <f>ROUND((($D$175+$D$156+$D$157)/(1-$C$158))*C162,2)</f>
        <v>0</v>
      </c>
    </row>
    <row r="163" spans="1:6" ht="16" thickBot="1" x14ac:dyDescent="0.4">
      <c r="A163" s="94"/>
      <c r="B163" s="16" t="s">
        <v>107</v>
      </c>
      <c r="C163" s="29">
        <f>C164</f>
        <v>0.05</v>
      </c>
      <c r="D163" s="17">
        <f>D164</f>
        <v>294.52</v>
      </c>
    </row>
    <row r="164" spans="1:6" ht="16" thickBot="1" x14ac:dyDescent="0.4">
      <c r="A164" s="95"/>
      <c r="B164" s="16" t="s">
        <v>108</v>
      </c>
      <c r="C164" s="29">
        <v>0.05</v>
      </c>
      <c r="D164" s="17">
        <f>ROUND((($D$175+$D$156+$D$157)/(1-$C$158))*C164,2)</f>
        <v>294.52</v>
      </c>
    </row>
    <row r="165" spans="1:6" ht="16" thickBot="1" x14ac:dyDescent="0.4">
      <c r="A165" s="89" t="s">
        <v>35</v>
      </c>
      <c r="B165" s="91"/>
      <c r="C165" s="30">
        <f>C156+C157+C158</f>
        <v>0.1295</v>
      </c>
      <c r="D165" s="18">
        <f>D156+D157+D158</f>
        <v>733.57999999999993</v>
      </c>
    </row>
    <row r="166" spans="1:6" ht="12" customHeight="1" x14ac:dyDescent="0.35">
      <c r="F166" s="31"/>
    </row>
    <row r="167" spans="1:6" x14ac:dyDescent="0.35">
      <c r="A167" s="92" t="s">
        <v>173</v>
      </c>
      <c r="B167" s="92"/>
      <c r="C167" s="92"/>
      <c r="D167" s="92"/>
    </row>
    <row r="168" spans="1:6" ht="6" customHeight="1" thickBot="1" x14ac:dyDescent="0.4"/>
    <row r="169" spans="1:6" ht="16" thickBot="1" x14ac:dyDescent="0.4">
      <c r="A169" s="13"/>
      <c r="B169" s="89" t="s">
        <v>109</v>
      </c>
      <c r="C169" s="91"/>
      <c r="D169" s="14" t="s">
        <v>2</v>
      </c>
    </row>
    <row r="170" spans="1:6" ht="16" thickBot="1" x14ac:dyDescent="0.4">
      <c r="A170" s="32" t="s">
        <v>3</v>
      </c>
      <c r="B170" s="87" t="s">
        <v>0</v>
      </c>
      <c r="C170" s="88"/>
      <c r="D170" s="20">
        <f>D27</f>
        <v>1515.92</v>
      </c>
    </row>
    <row r="171" spans="1:6" ht="16" thickBot="1" x14ac:dyDescent="0.4">
      <c r="A171" s="32" t="s">
        <v>5</v>
      </c>
      <c r="B171" s="87" t="s">
        <v>14</v>
      </c>
      <c r="C171" s="88">
        <f>C78</f>
        <v>0</v>
      </c>
      <c r="D171" s="20">
        <f>D78</f>
        <v>2020.6599999999999</v>
      </c>
    </row>
    <row r="172" spans="1:6" ht="16" thickBot="1" x14ac:dyDescent="0.4">
      <c r="A172" s="32" t="s">
        <v>7</v>
      </c>
      <c r="B172" s="87" t="s">
        <v>110</v>
      </c>
      <c r="C172" s="88">
        <f>C110</f>
        <v>0</v>
      </c>
      <c r="D172" s="20">
        <f>D110</f>
        <v>261.19765200000001</v>
      </c>
    </row>
    <row r="173" spans="1:6" ht="16" thickBot="1" x14ac:dyDescent="0.4">
      <c r="A173" s="32" t="s">
        <v>9</v>
      </c>
      <c r="B173" s="87" t="s">
        <v>67</v>
      </c>
      <c r="C173" s="88">
        <f>C142</f>
        <v>0</v>
      </c>
      <c r="D173" s="20">
        <f>D142</f>
        <v>317.90999999999997</v>
      </c>
    </row>
    <row r="174" spans="1:6" ht="16" thickBot="1" x14ac:dyDescent="0.4">
      <c r="A174" s="32" t="s">
        <v>11</v>
      </c>
      <c r="B174" s="87" t="s">
        <v>93</v>
      </c>
      <c r="C174" s="88">
        <f>C151</f>
        <v>0</v>
      </c>
      <c r="D174" s="17">
        <f>D151</f>
        <v>1041.2120949999999</v>
      </c>
    </row>
    <row r="175" spans="1:6" ht="16.5" customHeight="1" thickBot="1" x14ac:dyDescent="0.4">
      <c r="A175" s="89" t="s">
        <v>177</v>
      </c>
      <c r="B175" s="90"/>
      <c r="C175" s="91"/>
      <c r="D175" s="21">
        <f>SUM(D170:D174)</f>
        <v>5156.8997469999995</v>
      </c>
    </row>
    <row r="176" spans="1:6" ht="16" thickBot="1" x14ac:dyDescent="0.4">
      <c r="A176" s="32" t="s">
        <v>28</v>
      </c>
      <c r="B176" s="87" t="s">
        <v>111</v>
      </c>
      <c r="C176" s="88">
        <f>D165</f>
        <v>733.57999999999993</v>
      </c>
      <c r="D176" s="20">
        <f>D165</f>
        <v>733.57999999999993</v>
      </c>
    </row>
    <row r="177" spans="1:4" ht="16.5" customHeight="1" thickBot="1" x14ac:dyDescent="0.4">
      <c r="A177" s="89" t="s">
        <v>112</v>
      </c>
      <c r="B177" s="90"/>
      <c r="C177" s="91"/>
      <c r="D177" s="21">
        <f>D175+D176</f>
        <v>5890.4797469999994</v>
      </c>
    </row>
  </sheetData>
  <mergeCells count="108">
    <mergeCell ref="A110:C110"/>
    <mergeCell ref="A112:D112"/>
    <mergeCell ref="A114:C114"/>
    <mergeCell ref="A1:D1"/>
    <mergeCell ref="A101:C101"/>
    <mergeCell ref="A78:C78"/>
    <mergeCell ref="A80:D80"/>
    <mergeCell ref="A82:D82"/>
    <mergeCell ref="A87:C87"/>
    <mergeCell ref="A94:C94"/>
    <mergeCell ref="B84:C84"/>
    <mergeCell ref="B85:C85"/>
    <mergeCell ref="B86:C86"/>
    <mergeCell ref="A89:D89"/>
    <mergeCell ref="B91:C91"/>
    <mergeCell ref="B92:C92"/>
    <mergeCell ref="B93:C93"/>
    <mergeCell ref="A61:A63"/>
    <mergeCell ref="A64:A66"/>
    <mergeCell ref="A67:A69"/>
    <mergeCell ref="A70:C70"/>
    <mergeCell ref="A72:D72"/>
    <mergeCell ref="B74:C74"/>
    <mergeCell ref="B75:C75"/>
    <mergeCell ref="B76:C76"/>
    <mergeCell ref="B77:C77"/>
    <mergeCell ref="C16:D16"/>
    <mergeCell ref="A58:A60"/>
    <mergeCell ref="A17:B17"/>
    <mergeCell ref="C17:D17"/>
    <mergeCell ref="A19:D19"/>
    <mergeCell ref="B21:C21"/>
    <mergeCell ref="B22:C22"/>
    <mergeCell ref="B23:C23"/>
    <mergeCell ref="B24:C24"/>
    <mergeCell ref="B25:C25"/>
    <mergeCell ref="B26:C26"/>
    <mergeCell ref="A27:C27"/>
    <mergeCell ref="A29:D29"/>
    <mergeCell ref="A50:B50"/>
    <mergeCell ref="A38:D38"/>
    <mergeCell ref="A48:B48"/>
    <mergeCell ref="A52:D52"/>
    <mergeCell ref="A55:A57"/>
    <mergeCell ref="A31:D31"/>
    <mergeCell ref="B33:C33"/>
    <mergeCell ref="B34:C34"/>
    <mergeCell ref="B35:C35"/>
    <mergeCell ref="A36:C36"/>
    <mergeCell ref="A13:B13"/>
    <mergeCell ref="C13:D13"/>
    <mergeCell ref="A3:D3"/>
    <mergeCell ref="A5:B5"/>
    <mergeCell ref="C5:D5"/>
    <mergeCell ref="A6:B6"/>
    <mergeCell ref="C6:D6"/>
    <mergeCell ref="A7:B7"/>
    <mergeCell ref="C7:D7"/>
    <mergeCell ref="A9:D9"/>
    <mergeCell ref="A11:B11"/>
    <mergeCell ref="C11:D11"/>
    <mergeCell ref="A12:B12"/>
    <mergeCell ref="C12:D12"/>
    <mergeCell ref="A14:B14"/>
    <mergeCell ref="C14:D14"/>
    <mergeCell ref="A15:B15"/>
    <mergeCell ref="C15:D15"/>
    <mergeCell ref="A16:B16"/>
    <mergeCell ref="A104:D104"/>
    <mergeCell ref="B106:C106"/>
    <mergeCell ref="B107:C107"/>
    <mergeCell ref="B108:C108"/>
    <mergeCell ref="B109:C109"/>
    <mergeCell ref="A96:D96"/>
    <mergeCell ref="B98:C98"/>
    <mergeCell ref="B99:C99"/>
    <mergeCell ref="B100:C100"/>
    <mergeCell ref="A102:C102"/>
    <mergeCell ref="A137:D137"/>
    <mergeCell ref="B139:C139"/>
    <mergeCell ref="B140:C140"/>
    <mergeCell ref="B141:C141"/>
    <mergeCell ref="A142:C142"/>
    <mergeCell ref="A129:C129"/>
    <mergeCell ref="A131:D131"/>
    <mergeCell ref="B133:C133"/>
    <mergeCell ref="B134:C134"/>
    <mergeCell ref="A135:C135"/>
    <mergeCell ref="A151:C151"/>
    <mergeCell ref="A153:D153"/>
    <mergeCell ref="A158:A164"/>
    <mergeCell ref="A165:B165"/>
    <mergeCell ref="A167:D167"/>
    <mergeCell ref="A144:D144"/>
    <mergeCell ref="B146:C146"/>
    <mergeCell ref="B147:C147"/>
    <mergeCell ref="B148:C148"/>
    <mergeCell ref="B149:C149"/>
    <mergeCell ref="B150:C150"/>
    <mergeCell ref="B174:C174"/>
    <mergeCell ref="A175:C175"/>
    <mergeCell ref="B176:C176"/>
    <mergeCell ref="A177:C177"/>
    <mergeCell ref="B169:C169"/>
    <mergeCell ref="B170:C170"/>
    <mergeCell ref="B171:C171"/>
    <mergeCell ref="B172:C172"/>
    <mergeCell ref="B173:C173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  <ignoredErrors>
    <ignoredError sqref="E148:E15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A2D7-6C42-4F75-8DBE-204C95AC6AE2}">
  <sheetPr>
    <pageSetUpPr fitToPage="1"/>
  </sheetPr>
  <dimension ref="A1:F176"/>
  <sheetViews>
    <sheetView workbookViewId="0">
      <selection activeCell="D176" sqref="D176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199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100"/>
      <c r="E5" s="12"/>
    </row>
    <row r="6" spans="1:5" ht="16" thickBot="1" x14ac:dyDescent="0.4">
      <c r="A6" s="97" t="s">
        <v>115</v>
      </c>
      <c r="B6" s="97"/>
      <c r="C6" s="98" t="s">
        <v>190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194</v>
      </c>
      <c r="D11" s="99"/>
    </row>
    <row r="12" spans="1:5" ht="16" thickBot="1" x14ac:dyDescent="0.4">
      <c r="A12" s="97" t="s">
        <v>119</v>
      </c>
      <c r="B12" s="97"/>
      <c r="C12" s="98" t="s">
        <v>125</v>
      </c>
      <c r="D12" s="99"/>
    </row>
    <row r="13" spans="1:5" ht="16" thickBot="1" x14ac:dyDescent="0.4">
      <c r="A13" s="97" t="s">
        <v>120</v>
      </c>
      <c r="B13" s="97"/>
      <c r="C13" s="98">
        <v>6</v>
      </c>
      <c r="D13" s="99"/>
    </row>
    <row r="14" spans="1:5" ht="16" thickBot="1" x14ac:dyDescent="0.4">
      <c r="A14" s="97" t="s">
        <v>123</v>
      </c>
      <c r="B14" s="97"/>
      <c r="C14" s="98" t="s">
        <v>195</v>
      </c>
      <c r="D14" s="99"/>
    </row>
    <row r="15" spans="1:5" ht="16" thickBot="1" x14ac:dyDescent="0.4">
      <c r="A15" s="97" t="s">
        <v>121</v>
      </c>
      <c r="B15" s="97"/>
      <c r="C15" s="98" t="s">
        <v>196</v>
      </c>
      <c r="D15" s="99"/>
    </row>
    <row r="16" spans="1:5" ht="16" thickBot="1" x14ac:dyDescent="0.4">
      <c r="A16" s="97" t="s">
        <v>122</v>
      </c>
      <c r="B16" s="97"/>
      <c r="C16" s="101">
        <v>1515.92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1515.92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1515.92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126.28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42.09</v>
      </c>
    </row>
    <row r="36" spans="1:4" ht="16" thickBot="1" x14ac:dyDescent="0.4">
      <c r="A36" s="89" t="s">
        <v>13</v>
      </c>
      <c r="B36" s="90"/>
      <c r="C36" s="91"/>
      <c r="D36" s="21">
        <f>D34+D35</f>
        <v>168.37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>ROUND(($D$27+$D$36)*C41,2)</f>
        <v>336.86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ref="D42:D49" si="0">ROUND(($D$27+$D$36)*C42,2)</f>
        <v>42.11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50.53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25.26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16.84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10.11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3.37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485.08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 t="shared" si="0"/>
        <v>134.74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619.81999999999994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ROUND(C55*2*22,2)</f>
        <v>242</v>
      </c>
    </row>
    <row r="56" spans="1:4" ht="16" thickBot="1" x14ac:dyDescent="0.4">
      <c r="A56" s="94"/>
      <c r="B56" s="16" t="s">
        <v>40</v>
      </c>
      <c r="C56" s="41">
        <v>0.06</v>
      </c>
      <c r="D56" s="17">
        <f>ROUND(D27*C56,2)</f>
        <v>90.96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151.04000000000002</v>
      </c>
    </row>
    <row r="58" spans="1:4" ht="16" thickBot="1" x14ac:dyDescent="0.4">
      <c r="A58" s="93" t="s">
        <v>5</v>
      </c>
      <c r="B58" s="16" t="s">
        <v>42</v>
      </c>
      <c r="C58" s="17">
        <v>40.5</v>
      </c>
      <c r="D58" s="17">
        <f>ROUND(C58*22,2)</f>
        <v>891</v>
      </c>
    </row>
    <row r="59" spans="1:4" ht="16" thickBot="1" x14ac:dyDescent="0.4">
      <c r="A59" s="94"/>
      <c r="B59" s="16" t="s">
        <v>132</v>
      </c>
      <c r="C59" s="17">
        <v>0</v>
      </c>
      <c r="D59" s="17">
        <f>C59</f>
        <v>0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891</v>
      </c>
    </row>
    <row r="61" spans="1:4" ht="16" thickBot="1" x14ac:dyDescent="0.4">
      <c r="A61" s="93" t="s">
        <v>7</v>
      </c>
      <c r="B61" s="16" t="s">
        <v>130</v>
      </c>
      <c r="C61" s="17">
        <v>175.76</v>
      </c>
      <c r="D61" s="17">
        <f>C61</f>
        <v>175.76</v>
      </c>
    </row>
    <row r="62" spans="1:4" ht="16" thickBot="1" x14ac:dyDescent="0.4">
      <c r="A62" s="94"/>
      <c r="B62" s="16" t="s">
        <v>131</v>
      </c>
      <c r="C62" s="17">
        <v>0</v>
      </c>
      <c r="D62" s="17">
        <v>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175.76</v>
      </c>
    </row>
    <row r="64" spans="1:4" ht="16" thickBot="1" x14ac:dyDescent="0.4">
      <c r="A64" s="93" t="s">
        <v>9</v>
      </c>
      <c r="B64" s="16" t="s">
        <v>133</v>
      </c>
      <c r="C64" s="17">
        <v>11.92</v>
      </c>
      <c r="D64" s="17">
        <f>C64</f>
        <v>11.92</v>
      </c>
    </row>
    <row r="65" spans="1:4" ht="16" thickBot="1" x14ac:dyDescent="0.4">
      <c r="A65" s="94"/>
      <c r="B65" s="16" t="s">
        <v>131</v>
      </c>
      <c r="C65" s="17">
        <v>0</v>
      </c>
      <c r="D65" s="17">
        <f>C65</f>
        <v>0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11.92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1232.47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168.37</v>
      </c>
    </row>
    <row r="76" spans="1:4" ht="16" thickBot="1" x14ac:dyDescent="0.4">
      <c r="A76" s="15" t="s">
        <v>20</v>
      </c>
      <c r="B76" s="87" t="s">
        <v>21</v>
      </c>
      <c r="C76" s="88">
        <f>D50</f>
        <v>619.81999999999994</v>
      </c>
      <c r="D76" s="20">
        <f>D50</f>
        <v>619.81999999999994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1232.47</v>
      </c>
    </row>
    <row r="78" spans="1:4" ht="16" thickBot="1" x14ac:dyDescent="0.4">
      <c r="A78" s="89" t="s">
        <v>13</v>
      </c>
      <c r="B78" s="90"/>
      <c r="C78" s="91"/>
      <c r="D78" s="21">
        <f>SUM(D75:D77)</f>
        <v>2020.6599999999999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4" ht="6" customHeight="1" x14ac:dyDescent="0.35"/>
    <row r="82" spans="1:4" x14ac:dyDescent="0.35">
      <c r="A82" s="96" t="s">
        <v>48</v>
      </c>
      <c r="B82" s="96"/>
      <c r="C82" s="96"/>
      <c r="D82" s="96"/>
    </row>
    <row r="83" spans="1:4" ht="6" customHeight="1" thickBot="1" x14ac:dyDescent="0.4"/>
    <row r="84" spans="1:4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4" ht="16" thickBot="1" x14ac:dyDescent="0.4">
      <c r="A85" s="15" t="s">
        <v>3</v>
      </c>
      <c r="B85" s="87" t="s">
        <v>50</v>
      </c>
      <c r="C85" s="88"/>
      <c r="D85" s="20">
        <f>ROUND(((D27+D78-D49)/12)*0.1656*0.5,2)</f>
        <v>23.47</v>
      </c>
    </row>
    <row r="86" spans="1:4" ht="16" thickBot="1" x14ac:dyDescent="0.4">
      <c r="A86" s="15" t="s">
        <v>5</v>
      </c>
      <c r="B86" s="87" t="s">
        <v>51</v>
      </c>
      <c r="C86" s="88"/>
      <c r="D86" s="20">
        <f>ROUND((D27+D36)*0.08*0.4*0.1656*0.5,2)</f>
        <v>4.46</v>
      </c>
    </row>
    <row r="87" spans="1:4" ht="16" thickBot="1" x14ac:dyDescent="0.4">
      <c r="A87" s="89" t="s">
        <v>13</v>
      </c>
      <c r="B87" s="90"/>
      <c r="C87" s="91"/>
      <c r="D87" s="21">
        <f>D85+D86</f>
        <v>27.93</v>
      </c>
    </row>
    <row r="88" spans="1:4" ht="6" customHeight="1" x14ac:dyDescent="0.35"/>
    <row r="89" spans="1:4" x14ac:dyDescent="0.35">
      <c r="A89" s="96" t="s">
        <v>52</v>
      </c>
      <c r="B89" s="96"/>
      <c r="C89" s="96"/>
      <c r="D89" s="96"/>
    </row>
    <row r="90" spans="1:4" ht="6" customHeight="1" thickBot="1" x14ac:dyDescent="0.4"/>
    <row r="91" spans="1:4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4" ht="16" thickBot="1" x14ac:dyDescent="0.4">
      <c r="A92" s="15" t="s">
        <v>3</v>
      </c>
      <c r="B92" s="87" t="s">
        <v>54</v>
      </c>
      <c r="C92" s="88"/>
      <c r="D92" s="20">
        <f>ROUND(((D27+D78)/12)*0.1656*0.5,2)</f>
        <v>24.4</v>
      </c>
    </row>
    <row r="93" spans="1:4" ht="16" thickBot="1" x14ac:dyDescent="0.4">
      <c r="A93" s="15" t="s">
        <v>5</v>
      </c>
      <c r="B93" s="87" t="s">
        <v>55</v>
      </c>
      <c r="C93" s="88"/>
      <c r="D93" s="20">
        <f>ROUND((D27+D36)*0.08*0.4*0.1656*0.5,2)</f>
        <v>4.46</v>
      </c>
    </row>
    <row r="94" spans="1:4" ht="16" thickBot="1" x14ac:dyDescent="0.4">
      <c r="A94" s="89" t="s">
        <v>13</v>
      </c>
      <c r="B94" s="90"/>
      <c r="C94" s="91"/>
      <c r="D94" s="21">
        <f>D92+D93</f>
        <v>28.86</v>
      </c>
    </row>
    <row r="95" spans="1:4" ht="6" customHeight="1" x14ac:dyDescent="0.35"/>
    <row r="96" spans="1:4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-D87</f>
        <v>-27.93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-D94</f>
        <v>-28.86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-56.79</v>
      </c>
    </row>
    <row r="102" spans="1:4" ht="16.5" customHeight="1" thickBot="1" x14ac:dyDescent="0.4">
      <c r="A102" s="89" t="s">
        <v>61</v>
      </c>
      <c r="B102" s="90"/>
      <c r="C102" s="91"/>
      <c r="D102" s="27">
        <f>D101*0.0454</f>
        <v>-2.5782660000000002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27.93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28.86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-2.5782660000000002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54.211734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0.18289223705736449</v>
      </c>
      <c r="D117" s="20">
        <f>ROUND(((($D$27+$D$78+$D$110)/22)*20.3836)/12,2)</f>
        <v>277.25</v>
      </c>
    </row>
    <row r="118" spans="1:4" ht="16" thickBot="1" x14ac:dyDescent="0.4">
      <c r="A118" s="15" t="s">
        <v>5</v>
      </c>
      <c r="B118" s="16" t="s">
        <v>72</v>
      </c>
      <c r="C118" s="29">
        <f>'[1]MO - Copeiro(a)'!$Q$35</f>
        <v>2.8E-3</v>
      </c>
      <c r="D118" s="20">
        <f>ROUND(($D$27+$D$78+$D$110)*C118,2)</f>
        <v>10.050000000000001</v>
      </c>
    </row>
    <row r="119" spans="1:4" ht="16" thickBot="1" x14ac:dyDescent="0.4">
      <c r="A119" s="15" t="s">
        <v>7</v>
      </c>
      <c r="B119" s="16" t="s">
        <v>73</v>
      </c>
      <c r="C119" s="29">
        <f>'[1]MO - Copeiro(a)'!$Q$36</f>
        <v>6.9999999999999999E-4</v>
      </c>
      <c r="D119" s="20">
        <f t="shared" ref="D119:D128" si="1">ROUND(($D$27+$D$78+$D$110)*C119,2)</f>
        <v>2.5099999999999998</v>
      </c>
    </row>
    <row r="120" spans="1:4" ht="16" thickBot="1" x14ac:dyDescent="0.4">
      <c r="A120" s="15" t="s">
        <v>9</v>
      </c>
      <c r="B120" s="16" t="s">
        <v>74</v>
      </c>
      <c r="C120" s="29">
        <f>'[1]MO - Copeiro(a)'!$Q$37</f>
        <v>0</v>
      </c>
      <c r="D120" s="20">
        <f t="shared" si="1"/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Copeiro(a)'!$Q$38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Copeiro(a)'!$Q$39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Copeiro(a)'!$Q$40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Copeiro(a)'!$Q$41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Copeiro(a)'!$Q$42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Copeiro(a)'!$Q$43</f>
        <v>2.0000000000000001E-4</v>
      </c>
      <c r="D126" s="20">
        <f t="shared" si="1"/>
        <v>0.72</v>
      </c>
    </row>
    <row r="127" spans="1:4" ht="16" thickBot="1" x14ac:dyDescent="0.4">
      <c r="A127" s="15" t="s">
        <v>83</v>
      </c>
      <c r="B127" s="16" t="s">
        <v>84</v>
      </c>
      <c r="C127" s="29">
        <f>'[1]MO - Copeiro(a)'!$Q$44</f>
        <v>2.9999999999999997E-4</v>
      </c>
      <c r="D127" s="20">
        <f>ROUND(($D$27+$D$78+$D$110)*C127,2)</f>
        <v>1.08</v>
      </c>
    </row>
    <row r="128" spans="1:4" ht="16" thickBot="1" x14ac:dyDescent="0.4">
      <c r="A128" s="15" t="s">
        <v>85</v>
      </c>
      <c r="B128" s="16" t="s">
        <v>86</v>
      </c>
      <c r="C128" s="29">
        <f>'[1]MO - Copeiro(a)'!$Q$45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291.61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291.61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291.61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4" ht="6" customHeight="1" thickBot="1" x14ac:dyDescent="0.4"/>
    <row r="146" spans="1:4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4" ht="16" thickBot="1" x14ac:dyDescent="0.4">
      <c r="A147" s="15" t="s">
        <v>3</v>
      </c>
      <c r="B147" s="87" t="s">
        <v>95</v>
      </c>
      <c r="C147" s="88"/>
      <c r="D147" s="17">
        <f>'Grupo 1 - Uniformes'!F28</f>
        <v>91.380558708333325</v>
      </c>
    </row>
    <row r="148" spans="1:4" ht="16" thickBot="1" x14ac:dyDescent="0.4">
      <c r="A148" s="15" t="s">
        <v>5</v>
      </c>
      <c r="B148" s="87" t="s">
        <v>96</v>
      </c>
      <c r="C148" s="88">
        <v>0</v>
      </c>
      <c r="D148" s="17">
        <v>0</v>
      </c>
    </row>
    <row r="149" spans="1:4" ht="16" thickBot="1" x14ac:dyDescent="0.4">
      <c r="A149" s="15" t="s">
        <v>7</v>
      </c>
      <c r="B149" s="87" t="s">
        <v>97</v>
      </c>
      <c r="C149" s="88">
        <v>0</v>
      </c>
      <c r="D149" s="17">
        <v>0</v>
      </c>
    </row>
    <row r="150" spans="1:4" ht="16" thickBot="1" x14ac:dyDescent="0.4">
      <c r="A150" s="89" t="s">
        <v>35</v>
      </c>
      <c r="B150" s="90"/>
      <c r="C150" s="91"/>
      <c r="D150" s="18">
        <f>SUM(D147:D149)</f>
        <v>91.380558708333325</v>
      </c>
    </row>
    <row r="151" spans="1:4" ht="12" customHeight="1" x14ac:dyDescent="0.35"/>
    <row r="152" spans="1:4" x14ac:dyDescent="0.35">
      <c r="A152" s="92" t="s">
        <v>98</v>
      </c>
      <c r="B152" s="92"/>
      <c r="C152" s="92"/>
      <c r="D152" s="92"/>
    </row>
    <row r="153" spans="1:4" ht="6" customHeight="1" thickBot="1" x14ac:dyDescent="0.4"/>
    <row r="154" spans="1:4" ht="16" thickBot="1" x14ac:dyDescent="0.4">
      <c r="A154" s="13">
        <v>6</v>
      </c>
      <c r="B154" s="28" t="s">
        <v>99</v>
      </c>
      <c r="C154" s="14" t="s">
        <v>22</v>
      </c>
      <c r="D154" s="14" t="s">
        <v>2</v>
      </c>
    </row>
    <row r="155" spans="1:4" ht="16" thickBot="1" x14ac:dyDescent="0.4">
      <c r="A155" s="15" t="s">
        <v>3</v>
      </c>
      <c r="B155" s="16" t="s">
        <v>100</v>
      </c>
      <c r="C155" s="29">
        <f>'[1]MO - Copeiro(a)'!$Q$49</f>
        <v>2.01E-2</v>
      </c>
      <c r="D155" s="17">
        <f>ROUND(D174*C155,2)</f>
        <v>79.87</v>
      </c>
    </row>
    <row r="156" spans="1:4" ht="16" thickBot="1" x14ac:dyDescent="0.4">
      <c r="A156" s="15" t="s">
        <v>5</v>
      </c>
      <c r="B156" s="16" t="s">
        <v>101</v>
      </c>
      <c r="C156" s="29">
        <f>'[1]MO - Copeiro(a)'!$Q$50</f>
        <v>1.01E-2</v>
      </c>
      <c r="D156" s="17">
        <f>ROUND((D174+D155)*C156,2)</f>
        <v>40.94</v>
      </c>
    </row>
    <row r="157" spans="1:4" ht="16" thickBot="1" x14ac:dyDescent="0.4">
      <c r="A157" s="93" t="s">
        <v>7</v>
      </c>
      <c r="B157" s="16" t="s">
        <v>102</v>
      </c>
      <c r="C157" s="29">
        <f>C158+C161+C162</f>
        <v>8.6499999999999994E-2</v>
      </c>
      <c r="D157" s="17">
        <f>D158+D161+D162</f>
        <v>387.73</v>
      </c>
    </row>
    <row r="158" spans="1:4" ht="16" thickBot="1" x14ac:dyDescent="0.4">
      <c r="A158" s="94"/>
      <c r="B158" s="16" t="s">
        <v>103</v>
      </c>
      <c r="C158" s="29">
        <f>C159+C160</f>
        <v>3.6499999999999998E-2</v>
      </c>
      <c r="D158" s="17">
        <f>D159+D160</f>
        <v>163.61000000000001</v>
      </c>
    </row>
    <row r="159" spans="1:4" ht="16" thickBot="1" x14ac:dyDescent="0.4">
      <c r="A159" s="94"/>
      <c r="B159" s="16" t="s">
        <v>104</v>
      </c>
      <c r="C159" s="29">
        <f>'[1]MO - Copeiro(a)'!$Q$51</f>
        <v>6.4999999999999997E-3</v>
      </c>
      <c r="D159" s="17">
        <f>ROUND((($D$174+$D$155+$D$156)/(1-$C$157))*C159,2)</f>
        <v>29.14</v>
      </c>
    </row>
    <row r="160" spans="1:4" ht="16" thickBot="1" x14ac:dyDescent="0.4">
      <c r="A160" s="94"/>
      <c r="B160" s="16" t="s">
        <v>105</v>
      </c>
      <c r="C160" s="29">
        <f>'[1]MO - Copeiro(a)'!$Q$52</f>
        <v>0.03</v>
      </c>
      <c r="D160" s="17">
        <f>ROUND((($D$174+$D$155+$D$156)/(1-$C$157))*C160,2)</f>
        <v>134.47</v>
      </c>
    </row>
    <row r="161" spans="1:6" ht="16" thickBot="1" x14ac:dyDescent="0.4">
      <c r="A161" s="94"/>
      <c r="B161" s="16" t="s">
        <v>106</v>
      </c>
      <c r="C161" s="29">
        <v>0</v>
      </c>
      <c r="D161" s="17">
        <f>ROUND((($D$174+$D$155+$D$156)/(1-$C$157))*C161,2)</f>
        <v>0</v>
      </c>
    </row>
    <row r="162" spans="1:6" ht="16" thickBot="1" x14ac:dyDescent="0.4">
      <c r="A162" s="94"/>
      <c r="B162" s="16" t="s">
        <v>107</v>
      </c>
      <c r="C162" s="29">
        <f>C163</f>
        <v>0.05</v>
      </c>
      <c r="D162" s="17">
        <f>D163</f>
        <v>224.12</v>
      </c>
    </row>
    <row r="163" spans="1:6" ht="16" thickBot="1" x14ac:dyDescent="0.4">
      <c r="A163" s="95"/>
      <c r="B163" s="16" t="s">
        <v>108</v>
      </c>
      <c r="C163" s="29">
        <v>0.05</v>
      </c>
      <c r="D163" s="17">
        <f>ROUND((($D$174+$D$155+$D$156)/(1-$C$157))*C163,2)</f>
        <v>224.12</v>
      </c>
    </row>
    <row r="164" spans="1:6" ht="16" thickBot="1" x14ac:dyDescent="0.4">
      <c r="A164" s="89" t="s">
        <v>35</v>
      </c>
      <c r="B164" s="91"/>
      <c r="C164" s="30">
        <f>C155+C156+C157</f>
        <v>0.1167</v>
      </c>
      <c r="D164" s="18">
        <f>D155+D156+D157</f>
        <v>508.54</v>
      </c>
    </row>
    <row r="165" spans="1:6" ht="12" customHeight="1" x14ac:dyDescent="0.35">
      <c r="F165" s="31"/>
    </row>
    <row r="166" spans="1:6" x14ac:dyDescent="0.35">
      <c r="A166" s="92" t="s">
        <v>173</v>
      </c>
      <c r="B166" s="92"/>
      <c r="C166" s="92"/>
      <c r="D166" s="92"/>
    </row>
    <row r="167" spans="1:6" ht="6" customHeight="1" thickBot="1" x14ac:dyDescent="0.4"/>
    <row r="168" spans="1:6" ht="16" thickBot="1" x14ac:dyDescent="0.4">
      <c r="A168" s="13"/>
      <c r="B168" s="89" t="s">
        <v>109</v>
      </c>
      <c r="C168" s="91"/>
      <c r="D168" s="14" t="s">
        <v>2</v>
      </c>
    </row>
    <row r="169" spans="1:6" ht="16" thickBot="1" x14ac:dyDescent="0.4">
      <c r="A169" s="32" t="s">
        <v>3</v>
      </c>
      <c r="B169" s="87" t="s">
        <v>0</v>
      </c>
      <c r="C169" s="88"/>
      <c r="D169" s="20">
        <f>D27</f>
        <v>1515.92</v>
      </c>
    </row>
    <row r="170" spans="1:6" ht="16" thickBot="1" x14ac:dyDescent="0.4">
      <c r="A170" s="32" t="s">
        <v>5</v>
      </c>
      <c r="B170" s="87" t="s">
        <v>14</v>
      </c>
      <c r="C170" s="88">
        <f>C78</f>
        <v>0</v>
      </c>
      <c r="D170" s="20">
        <f>D78</f>
        <v>2020.6599999999999</v>
      </c>
    </row>
    <row r="171" spans="1:6" ht="16" thickBot="1" x14ac:dyDescent="0.4">
      <c r="A171" s="32" t="s">
        <v>7</v>
      </c>
      <c r="B171" s="87" t="s">
        <v>110</v>
      </c>
      <c r="C171" s="88">
        <f>C110</f>
        <v>0</v>
      </c>
      <c r="D171" s="20">
        <f>D110</f>
        <v>54.211734</v>
      </c>
    </row>
    <row r="172" spans="1:6" ht="16" thickBot="1" x14ac:dyDescent="0.4">
      <c r="A172" s="32" t="s">
        <v>9</v>
      </c>
      <c r="B172" s="87" t="s">
        <v>67</v>
      </c>
      <c r="C172" s="88">
        <f>C142</f>
        <v>0</v>
      </c>
      <c r="D172" s="20">
        <f>D142</f>
        <v>291.61</v>
      </c>
    </row>
    <row r="173" spans="1:6" ht="16" thickBot="1" x14ac:dyDescent="0.4">
      <c r="A173" s="32" t="s">
        <v>11</v>
      </c>
      <c r="B173" s="87" t="s">
        <v>93</v>
      </c>
      <c r="C173" s="88">
        <f>C150</f>
        <v>0</v>
      </c>
      <c r="D173" s="17">
        <f>D150</f>
        <v>91.380558708333325</v>
      </c>
    </row>
    <row r="174" spans="1:6" ht="16.5" customHeight="1" thickBot="1" x14ac:dyDescent="0.4">
      <c r="A174" s="89" t="s">
        <v>177</v>
      </c>
      <c r="B174" s="90"/>
      <c r="C174" s="91"/>
      <c r="D174" s="21">
        <f>SUM(D169:D173)</f>
        <v>3973.7822927083334</v>
      </c>
    </row>
    <row r="175" spans="1:6" ht="16" thickBot="1" x14ac:dyDescent="0.4">
      <c r="A175" s="32" t="s">
        <v>28</v>
      </c>
      <c r="B175" s="87" t="s">
        <v>111</v>
      </c>
      <c r="C175" s="88">
        <f>D164</f>
        <v>508.54</v>
      </c>
      <c r="D175" s="20">
        <f>D164</f>
        <v>508.54</v>
      </c>
    </row>
    <row r="176" spans="1:6" ht="16.5" customHeight="1" thickBot="1" x14ac:dyDescent="0.4">
      <c r="A176" s="89" t="s">
        <v>112</v>
      </c>
      <c r="B176" s="90"/>
      <c r="C176" s="91"/>
      <c r="D176" s="21">
        <f>D174+D175</f>
        <v>4482.3222927083334</v>
      </c>
    </row>
  </sheetData>
  <mergeCells count="107">
    <mergeCell ref="A7:B7"/>
    <mergeCell ref="C7:D7"/>
    <mergeCell ref="A9:D9"/>
    <mergeCell ref="A11:B11"/>
    <mergeCell ref="C11:D11"/>
    <mergeCell ref="A12:B12"/>
    <mergeCell ref="C12:D12"/>
    <mergeCell ref="A1:D1"/>
    <mergeCell ref="A3:D3"/>
    <mergeCell ref="A5:B5"/>
    <mergeCell ref="C5:D5"/>
    <mergeCell ref="A6:B6"/>
    <mergeCell ref="C6:D6"/>
    <mergeCell ref="A16:B16"/>
    <mergeCell ref="C16:D16"/>
    <mergeCell ref="A17:B17"/>
    <mergeCell ref="C17:D17"/>
    <mergeCell ref="A19:D19"/>
    <mergeCell ref="B21:C21"/>
    <mergeCell ref="A13:B13"/>
    <mergeCell ref="C13:D13"/>
    <mergeCell ref="A14:B14"/>
    <mergeCell ref="C14:D14"/>
    <mergeCell ref="A15:B15"/>
    <mergeCell ref="C15:D15"/>
    <mergeCell ref="A29:D29"/>
    <mergeCell ref="A31:D31"/>
    <mergeCell ref="B33:C33"/>
    <mergeCell ref="B34:C34"/>
    <mergeCell ref="B35:C35"/>
    <mergeCell ref="A36:C36"/>
    <mergeCell ref="B22:C22"/>
    <mergeCell ref="B23:C23"/>
    <mergeCell ref="B24:C24"/>
    <mergeCell ref="B25:C25"/>
    <mergeCell ref="B26:C26"/>
    <mergeCell ref="A27:C27"/>
    <mergeCell ref="A61:A63"/>
    <mergeCell ref="A64:A66"/>
    <mergeCell ref="A67:A69"/>
    <mergeCell ref="A70:C70"/>
    <mergeCell ref="A72:D72"/>
    <mergeCell ref="B74:C74"/>
    <mergeCell ref="A38:D38"/>
    <mergeCell ref="A48:B48"/>
    <mergeCell ref="A50:B50"/>
    <mergeCell ref="A52:D52"/>
    <mergeCell ref="A55:A57"/>
    <mergeCell ref="A58:A60"/>
    <mergeCell ref="B84:C84"/>
    <mergeCell ref="B85:C85"/>
    <mergeCell ref="B86:C86"/>
    <mergeCell ref="A87:C87"/>
    <mergeCell ref="A89:D89"/>
    <mergeCell ref="B91:C91"/>
    <mergeCell ref="B75:C75"/>
    <mergeCell ref="B76:C76"/>
    <mergeCell ref="B77:C77"/>
    <mergeCell ref="A78:C78"/>
    <mergeCell ref="A80:D80"/>
    <mergeCell ref="A82:D82"/>
    <mergeCell ref="B100:C100"/>
    <mergeCell ref="A101:C101"/>
    <mergeCell ref="A102:C102"/>
    <mergeCell ref="A104:D104"/>
    <mergeCell ref="B106:C106"/>
    <mergeCell ref="B107:C107"/>
    <mergeCell ref="B92:C92"/>
    <mergeCell ref="B93:C93"/>
    <mergeCell ref="A94:C94"/>
    <mergeCell ref="A96:D96"/>
    <mergeCell ref="B98:C98"/>
    <mergeCell ref="B99:C99"/>
    <mergeCell ref="A131:D131"/>
    <mergeCell ref="B133:C133"/>
    <mergeCell ref="B134:C134"/>
    <mergeCell ref="A135:C135"/>
    <mergeCell ref="A137:D137"/>
    <mergeCell ref="B139:C139"/>
    <mergeCell ref="B108:C108"/>
    <mergeCell ref="B109:C109"/>
    <mergeCell ref="A110:C110"/>
    <mergeCell ref="A112:D112"/>
    <mergeCell ref="A114:C114"/>
    <mergeCell ref="A129:C129"/>
    <mergeCell ref="B148:C148"/>
    <mergeCell ref="B149:C149"/>
    <mergeCell ref="A150:C150"/>
    <mergeCell ref="A152:D152"/>
    <mergeCell ref="A157:A163"/>
    <mergeCell ref="A164:B164"/>
    <mergeCell ref="B140:C140"/>
    <mergeCell ref="B141:C141"/>
    <mergeCell ref="A142:C142"/>
    <mergeCell ref="A144:D144"/>
    <mergeCell ref="B146:C146"/>
    <mergeCell ref="B147:C147"/>
    <mergeCell ref="B173:C173"/>
    <mergeCell ref="A174:C174"/>
    <mergeCell ref="B175:C175"/>
    <mergeCell ref="A176:C176"/>
    <mergeCell ref="A166:D166"/>
    <mergeCell ref="B168:C168"/>
    <mergeCell ref="B169:C169"/>
    <mergeCell ref="B170:C170"/>
    <mergeCell ref="B171:C171"/>
    <mergeCell ref="B172:C172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ECA0-F479-46FE-86D3-602A9B7A0E05}">
  <sheetPr>
    <pageSetUpPr fitToPage="1"/>
  </sheetPr>
  <dimension ref="A1:F176"/>
  <sheetViews>
    <sheetView workbookViewId="0">
      <selection activeCell="E3" sqref="E3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200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100"/>
      <c r="E5" s="12"/>
    </row>
    <row r="6" spans="1:5" ht="16" thickBot="1" x14ac:dyDescent="0.4">
      <c r="A6" s="97" t="s">
        <v>115</v>
      </c>
      <c r="B6" s="97"/>
      <c r="C6" s="98" t="s">
        <v>190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197</v>
      </c>
      <c r="D11" s="99"/>
    </row>
    <row r="12" spans="1:5" ht="16" thickBot="1" x14ac:dyDescent="0.4">
      <c r="A12" s="97" t="s">
        <v>119</v>
      </c>
      <c r="B12" s="97"/>
      <c r="C12" s="98" t="s">
        <v>125</v>
      </c>
      <c r="D12" s="99"/>
    </row>
    <row r="13" spans="1:5" ht="16" thickBot="1" x14ac:dyDescent="0.4">
      <c r="A13" s="97" t="s">
        <v>120</v>
      </c>
      <c r="B13" s="97"/>
      <c r="C13" s="98">
        <v>4</v>
      </c>
      <c r="D13" s="99"/>
    </row>
    <row r="14" spans="1:5" ht="16" thickBot="1" x14ac:dyDescent="0.4">
      <c r="A14" s="97" t="s">
        <v>123</v>
      </c>
      <c r="B14" s="97"/>
      <c r="C14" s="98" t="s">
        <v>198</v>
      </c>
      <c r="D14" s="99"/>
    </row>
    <row r="15" spans="1:5" ht="16" thickBot="1" x14ac:dyDescent="0.4">
      <c r="A15" s="97" t="s">
        <v>121</v>
      </c>
      <c r="B15" s="97"/>
      <c r="C15" s="98" t="s">
        <v>196</v>
      </c>
      <c r="D15" s="99"/>
    </row>
    <row r="16" spans="1:5" ht="16" thickBot="1" x14ac:dyDescent="0.4">
      <c r="A16" s="97" t="s">
        <v>122</v>
      </c>
      <c r="B16" s="97"/>
      <c r="C16" s="101">
        <v>2238.1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2238.1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2238.1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186.43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62.14</v>
      </c>
    </row>
    <row r="36" spans="1:4" ht="16" thickBot="1" x14ac:dyDescent="0.4">
      <c r="A36" s="89" t="s">
        <v>13</v>
      </c>
      <c r="B36" s="90"/>
      <c r="C36" s="91"/>
      <c r="D36" s="21">
        <f>D34+D35</f>
        <v>248.57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>ROUND(($D$27+$D$36)*C41,2)</f>
        <v>497.33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ref="D42:D49" si="0">ROUND(($D$27+$D$36)*C42,2)</f>
        <v>62.17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74.599999999999994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37.299999999999997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24.87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14.92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4.97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716.16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 t="shared" si="0"/>
        <v>198.93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915.08999999999992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ROUND(C55*2*22,2)</f>
        <v>242</v>
      </c>
    </row>
    <row r="56" spans="1:4" ht="16" thickBot="1" x14ac:dyDescent="0.4">
      <c r="A56" s="94"/>
      <c r="B56" s="16" t="s">
        <v>40</v>
      </c>
      <c r="C56" s="41">
        <v>0.06</v>
      </c>
      <c r="D56" s="17">
        <f>ROUND(D27*C56,2)</f>
        <v>134.29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107.71000000000001</v>
      </c>
    </row>
    <row r="58" spans="1:4" ht="16" thickBot="1" x14ac:dyDescent="0.4">
      <c r="A58" s="93" t="s">
        <v>5</v>
      </c>
      <c r="B58" s="16" t="s">
        <v>42</v>
      </c>
      <c r="C58" s="17">
        <v>40.5</v>
      </c>
      <c r="D58" s="17">
        <f>ROUND(C58*22,2)</f>
        <v>891</v>
      </c>
    </row>
    <row r="59" spans="1:4" ht="16" thickBot="1" x14ac:dyDescent="0.4">
      <c r="A59" s="94"/>
      <c r="B59" s="16" t="s">
        <v>132</v>
      </c>
      <c r="C59" s="17">
        <v>0</v>
      </c>
      <c r="D59" s="17">
        <f>C59</f>
        <v>0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891</v>
      </c>
    </row>
    <row r="61" spans="1:4" ht="16" thickBot="1" x14ac:dyDescent="0.4">
      <c r="A61" s="93" t="s">
        <v>7</v>
      </c>
      <c r="B61" s="16" t="s">
        <v>130</v>
      </c>
      <c r="C61" s="17">
        <v>175.76</v>
      </c>
      <c r="D61" s="17">
        <f>C61</f>
        <v>175.76</v>
      </c>
    </row>
    <row r="62" spans="1:4" ht="16" thickBot="1" x14ac:dyDescent="0.4">
      <c r="A62" s="94"/>
      <c r="B62" s="16" t="s">
        <v>131</v>
      </c>
      <c r="C62" s="17">
        <v>0</v>
      </c>
      <c r="D62" s="17">
        <v>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175.76</v>
      </c>
    </row>
    <row r="64" spans="1:4" ht="16" thickBot="1" x14ac:dyDescent="0.4">
      <c r="A64" s="93" t="s">
        <v>9</v>
      </c>
      <c r="B64" s="16" t="s">
        <v>133</v>
      </c>
      <c r="C64" s="17">
        <v>11.92</v>
      </c>
      <c r="D64" s="17">
        <f>C64</f>
        <v>11.92</v>
      </c>
    </row>
    <row r="65" spans="1:4" ht="16" thickBot="1" x14ac:dyDescent="0.4">
      <c r="A65" s="94"/>
      <c r="B65" s="16" t="s">
        <v>131</v>
      </c>
      <c r="C65" s="17">
        <v>0</v>
      </c>
      <c r="D65" s="17">
        <f>C65</f>
        <v>0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11.92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1189.1400000000001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248.57</v>
      </c>
    </row>
    <row r="76" spans="1:4" ht="16" thickBot="1" x14ac:dyDescent="0.4">
      <c r="A76" s="15" t="s">
        <v>20</v>
      </c>
      <c r="B76" s="87" t="s">
        <v>21</v>
      </c>
      <c r="C76" s="88">
        <f>D50</f>
        <v>915.08999999999992</v>
      </c>
      <c r="D76" s="20">
        <f>D50</f>
        <v>915.08999999999992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1189.1400000000001</v>
      </c>
    </row>
    <row r="78" spans="1:4" ht="16" thickBot="1" x14ac:dyDescent="0.4">
      <c r="A78" s="89" t="s">
        <v>13</v>
      </c>
      <c r="B78" s="90"/>
      <c r="C78" s="91"/>
      <c r="D78" s="21">
        <f>SUM(D75:D77)</f>
        <v>2352.8000000000002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4" ht="6" customHeight="1" x14ac:dyDescent="0.35"/>
    <row r="82" spans="1:4" x14ac:dyDescent="0.35">
      <c r="A82" s="96" t="s">
        <v>48</v>
      </c>
      <c r="B82" s="96"/>
      <c r="C82" s="96"/>
      <c r="D82" s="96"/>
    </row>
    <row r="83" spans="1:4" ht="6" customHeight="1" thickBot="1" x14ac:dyDescent="0.4"/>
    <row r="84" spans="1:4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4" ht="16" thickBot="1" x14ac:dyDescent="0.4">
      <c r="A85" s="15" t="s">
        <v>3</v>
      </c>
      <c r="B85" s="87" t="s">
        <v>50</v>
      </c>
      <c r="C85" s="88"/>
      <c r="D85" s="20">
        <f>ROUND(((D27+D78-D49)/12)*0.1656*0.5,2)</f>
        <v>30.3</v>
      </c>
    </row>
    <row r="86" spans="1:4" ht="16" thickBot="1" x14ac:dyDescent="0.4">
      <c r="A86" s="15" t="s">
        <v>5</v>
      </c>
      <c r="B86" s="87" t="s">
        <v>51</v>
      </c>
      <c r="C86" s="88"/>
      <c r="D86" s="20">
        <f>ROUND((D27+D36)*0.08*0.4*0.1656*0.5,2)</f>
        <v>6.59</v>
      </c>
    </row>
    <row r="87" spans="1:4" ht="16" thickBot="1" x14ac:dyDescent="0.4">
      <c r="A87" s="89" t="s">
        <v>13</v>
      </c>
      <c r="B87" s="90"/>
      <c r="C87" s="91"/>
      <c r="D87" s="21">
        <f>D85+D86</f>
        <v>36.89</v>
      </c>
    </row>
    <row r="88" spans="1:4" ht="6" customHeight="1" x14ac:dyDescent="0.35"/>
    <row r="89" spans="1:4" x14ac:dyDescent="0.35">
      <c r="A89" s="96" t="s">
        <v>52</v>
      </c>
      <c r="B89" s="96"/>
      <c r="C89" s="96"/>
      <c r="D89" s="96"/>
    </row>
    <row r="90" spans="1:4" ht="6" customHeight="1" thickBot="1" x14ac:dyDescent="0.4"/>
    <row r="91" spans="1:4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4" ht="16" thickBot="1" x14ac:dyDescent="0.4">
      <c r="A92" s="15" t="s">
        <v>3</v>
      </c>
      <c r="B92" s="87" t="s">
        <v>54</v>
      </c>
      <c r="C92" s="88"/>
      <c r="D92" s="20">
        <f>ROUND(((D27+D78)/12)*0.1656*0.5,2)</f>
        <v>31.68</v>
      </c>
    </row>
    <row r="93" spans="1:4" ht="16" thickBot="1" x14ac:dyDescent="0.4">
      <c r="A93" s="15" t="s">
        <v>5</v>
      </c>
      <c r="B93" s="87" t="s">
        <v>55</v>
      </c>
      <c r="C93" s="88"/>
      <c r="D93" s="20">
        <f>ROUND((D27+D36)*0.08*0.4*0.1656*0.5,2)</f>
        <v>6.59</v>
      </c>
    </row>
    <row r="94" spans="1:4" ht="16" thickBot="1" x14ac:dyDescent="0.4">
      <c r="A94" s="89" t="s">
        <v>13</v>
      </c>
      <c r="B94" s="90"/>
      <c r="C94" s="91"/>
      <c r="D94" s="21">
        <f>D92+D93</f>
        <v>38.269999999999996</v>
      </c>
    </row>
    <row r="95" spans="1:4" ht="6" customHeight="1" x14ac:dyDescent="0.35"/>
    <row r="96" spans="1:4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-D87</f>
        <v>-36.89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-D94</f>
        <v>-38.269999999999996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-75.16</v>
      </c>
    </row>
    <row r="102" spans="1:4" ht="16.5" customHeight="1" thickBot="1" x14ac:dyDescent="0.4">
      <c r="A102" s="89" t="s">
        <v>61</v>
      </c>
      <c r="B102" s="90"/>
      <c r="C102" s="91"/>
      <c r="D102" s="27">
        <f>D101*0.0454</f>
        <v>-3.412264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36.89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38.269999999999996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-3.412264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71.747736000000003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0.16085518966980922</v>
      </c>
      <c r="D117" s="20">
        <f>ROUND(((($D$27+$D$78+$D$110)/22)*20.3836)/12,2)</f>
        <v>360.01</v>
      </c>
    </row>
    <row r="118" spans="1:4" ht="16" thickBot="1" x14ac:dyDescent="0.4">
      <c r="A118" s="15" t="s">
        <v>5</v>
      </c>
      <c r="B118" s="16" t="s">
        <v>72</v>
      </c>
      <c r="C118" s="29">
        <f>'[1]MO - Garçom-Garçonete'!$Q$35</f>
        <v>2.8E-3</v>
      </c>
      <c r="D118" s="20">
        <f>ROUND(($D$27+$D$78+$D$110)*C118,2)</f>
        <v>13.06</v>
      </c>
    </row>
    <row r="119" spans="1:4" ht="16" thickBot="1" x14ac:dyDescent="0.4">
      <c r="A119" s="15" t="s">
        <v>7</v>
      </c>
      <c r="B119" s="16" t="s">
        <v>73</v>
      </c>
      <c r="C119" s="29">
        <f>'[1]MO - Garçom-Garçonete'!$Q$36</f>
        <v>1E-3</v>
      </c>
      <c r="D119" s="20">
        <f t="shared" ref="D119:D128" si="1">ROUND(($D$27+$D$78+$D$110)*C119,2)</f>
        <v>4.66</v>
      </c>
    </row>
    <row r="120" spans="1:4" ht="16" thickBot="1" x14ac:dyDescent="0.4">
      <c r="A120" s="15" t="s">
        <v>9</v>
      </c>
      <c r="B120" s="16" t="s">
        <v>74</v>
      </c>
      <c r="C120" s="29">
        <f>'[1]MO - Garçom-Garçonete'!$Q$37</f>
        <v>0</v>
      </c>
      <c r="D120" s="20">
        <f t="shared" si="1"/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Garçom-Garçonete'!$Q$38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Garçom-Garçonete'!$Q$39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Garçom-Garçonete'!$Q$40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Garçom-Garçonete'!$Q$41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Garçom-Garçonete'!$Q$42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Garçom-Garçonete'!$Q$43</f>
        <v>2.9999999999999997E-4</v>
      </c>
      <c r="D126" s="20">
        <f t="shared" si="1"/>
        <v>1.4</v>
      </c>
    </row>
    <row r="127" spans="1:4" ht="16" thickBot="1" x14ac:dyDescent="0.4">
      <c r="A127" s="15" t="s">
        <v>83</v>
      </c>
      <c r="B127" s="16" t="s">
        <v>84</v>
      </c>
      <c r="C127" s="29">
        <f>'[1]MO - Garçom-Garçonete'!$Q$44</f>
        <v>2.9999999999999997E-4</v>
      </c>
      <c r="D127" s="20">
        <f>ROUND(($D$27+$D$78+$D$110)*C127,2)</f>
        <v>1.4</v>
      </c>
    </row>
    <row r="128" spans="1:4" ht="16" thickBot="1" x14ac:dyDescent="0.4">
      <c r="A128" s="15" t="s">
        <v>85</v>
      </c>
      <c r="B128" s="16" t="s">
        <v>86</v>
      </c>
      <c r="C128" s="29">
        <f>'[1]MO - Garçom-Garçonete'!$Q$45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380.53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380.53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380.53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4" ht="6" customHeight="1" thickBot="1" x14ac:dyDescent="0.4"/>
    <row r="146" spans="1:4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4" ht="16" thickBot="1" x14ac:dyDescent="0.4">
      <c r="A147" s="15" t="s">
        <v>3</v>
      </c>
      <c r="B147" s="87" t="s">
        <v>95</v>
      </c>
      <c r="C147" s="88"/>
      <c r="D147" s="17">
        <f>'Grupo 1 - Uniformes'!F47</f>
        <v>140.340495</v>
      </c>
    </row>
    <row r="148" spans="1:4" ht="16" thickBot="1" x14ac:dyDescent="0.4">
      <c r="A148" s="15" t="s">
        <v>5</v>
      </c>
      <c r="B148" s="87" t="s">
        <v>96</v>
      </c>
      <c r="C148" s="88">
        <v>0</v>
      </c>
      <c r="D148" s="17">
        <v>0</v>
      </c>
    </row>
    <row r="149" spans="1:4" ht="16" thickBot="1" x14ac:dyDescent="0.4">
      <c r="A149" s="15" t="s">
        <v>7</v>
      </c>
      <c r="B149" s="87" t="s">
        <v>97</v>
      </c>
      <c r="C149" s="88">
        <v>0</v>
      </c>
      <c r="D149" s="17">
        <v>0</v>
      </c>
    </row>
    <row r="150" spans="1:4" ht="16" thickBot="1" x14ac:dyDescent="0.4">
      <c r="A150" s="89" t="s">
        <v>35</v>
      </c>
      <c r="B150" s="90"/>
      <c r="C150" s="91"/>
      <c r="D150" s="18">
        <f>SUM(D147:D149)</f>
        <v>140.340495</v>
      </c>
    </row>
    <row r="151" spans="1:4" ht="12" customHeight="1" x14ac:dyDescent="0.35"/>
    <row r="152" spans="1:4" x14ac:dyDescent="0.35">
      <c r="A152" s="92" t="s">
        <v>98</v>
      </c>
      <c r="B152" s="92"/>
      <c r="C152" s="92"/>
      <c r="D152" s="92"/>
    </row>
    <row r="153" spans="1:4" ht="6" customHeight="1" thickBot="1" x14ac:dyDescent="0.4"/>
    <row r="154" spans="1:4" ht="16" thickBot="1" x14ac:dyDescent="0.4">
      <c r="A154" s="13">
        <v>6</v>
      </c>
      <c r="B154" s="28" t="s">
        <v>99</v>
      </c>
      <c r="C154" s="14" t="s">
        <v>22</v>
      </c>
      <c r="D154" s="14" t="s">
        <v>2</v>
      </c>
    </row>
    <row r="155" spans="1:4" ht="16" thickBot="1" x14ac:dyDescent="0.4">
      <c r="A155" s="15" t="s">
        <v>3</v>
      </c>
      <c r="B155" s="16" t="s">
        <v>100</v>
      </c>
      <c r="C155" s="29">
        <f>'[1]MO - Garçom-Garçonete'!$Q$49</f>
        <v>2.01E-2</v>
      </c>
      <c r="D155" s="17">
        <f>ROUND(D174*C155,2)</f>
        <v>104.19</v>
      </c>
    </row>
    <row r="156" spans="1:4" ht="16" thickBot="1" x14ac:dyDescent="0.4">
      <c r="A156" s="15" t="s">
        <v>5</v>
      </c>
      <c r="B156" s="16" t="s">
        <v>101</v>
      </c>
      <c r="C156" s="29">
        <f>'[1]MO - Garçom-Garçonete'!$Q$50</f>
        <v>1.0999999999999999E-2</v>
      </c>
      <c r="D156" s="17">
        <f>ROUND((D174+D155)*C156,2)</f>
        <v>58.16</v>
      </c>
    </row>
    <row r="157" spans="1:4" ht="16" thickBot="1" x14ac:dyDescent="0.4">
      <c r="A157" s="93" t="s">
        <v>7</v>
      </c>
      <c r="B157" s="16" t="s">
        <v>102</v>
      </c>
      <c r="C157" s="29">
        <f>C158+C161+C162</f>
        <v>8.6499999999999994E-2</v>
      </c>
      <c r="D157" s="17">
        <f>D158+D161+D162</f>
        <v>506.20000000000005</v>
      </c>
    </row>
    <row r="158" spans="1:4" ht="16" thickBot="1" x14ac:dyDescent="0.4">
      <c r="A158" s="94"/>
      <c r="B158" s="16" t="s">
        <v>103</v>
      </c>
      <c r="C158" s="29">
        <f>C159+C160</f>
        <v>3.6499999999999998E-2</v>
      </c>
      <c r="D158" s="17">
        <f>D159+D160</f>
        <v>213.6</v>
      </c>
    </row>
    <row r="159" spans="1:4" ht="16" thickBot="1" x14ac:dyDescent="0.4">
      <c r="A159" s="94"/>
      <c r="B159" s="16" t="s">
        <v>104</v>
      </c>
      <c r="C159" s="29">
        <f>'[1]MO - Garçom-Garçonete'!$Q$51</f>
        <v>6.4999999999999997E-3</v>
      </c>
      <c r="D159" s="17">
        <f>ROUND((($D$174+$D$155+$D$156)/(1-$C$157))*C159,2)</f>
        <v>38.04</v>
      </c>
    </row>
    <row r="160" spans="1:4" ht="16" thickBot="1" x14ac:dyDescent="0.4">
      <c r="A160" s="94"/>
      <c r="B160" s="16" t="s">
        <v>105</v>
      </c>
      <c r="C160" s="29">
        <f>'[1]MO - Garçom-Garçonete'!$Q$52</f>
        <v>0.03</v>
      </c>
      <c r="D160" s="17">
        <f>ROUND((($D$174+$D$155+$D$156)/(1-$C$157))*C160,2)</f>
        <v>175.56</v>
      </c>
    </row>
    <row r="161" spans="1:6" ht="16" thickBot="1" x14ac:dyDescent="0.4">
      <c r="A161" s="94"/>
      <c r="B161" s="16" t="s">
        <v>106</v>
      </c>
      <c r="C161" s="29">
        <v>0</v>
      </c>
      <c r="D161" s="17">
        <f>ROUND((($D$174+$D$155+$D$156)/(1-$C$157))*C161,2)</f>
        <v>0</v>
      </c>
    </row>
    <row r="162" spans="1:6" ht="16" thickBot="1" x14ac:dyDescent="0.4">
      <c r="A162" s="94"/>
      <c r="B162" s="16" t="s">
        <v>107</v>
      </c>
      <c r="C162" s="29">
        <f>C163</f>
        <v>0.05</v>
      </c>
      <c r="D162" s="17">
        <f>D163</f>
        <v>292.60000000000002</v>
      </c>
    </row>
    <row r="163" spans="1:6" ht="16" thickBot="1" x14ac:dyDescent="0.4">
      <c r="A163" s="95"/>
      <c r="B163" s="16" t="s">
        <v>108</v>
      </c>
      <c r="C163" s="29">
        <v>0.05</v>
      </c>
      <c r="D163" s="17">
        <f>ROUND((($D$174+$D$155+$D$156)/(1-$C$157))*C163,2)</f>
        <v>292.60000000000002</v>
      </c>
    </row>
    <row r="164" spans="1:6" ht="16" thickBot="1" x14ac:dyDescent="0.4">
      <c r="A164" s="89" t="s">
        <v>35</v>
      </c>
      <c r="B164" s="91"/>
      <c r="C164" s="30">
        <f>C155+C156+C157</f>
        <v>0.1176</v>
      </c>
      <c r="D164" s="18">
        <f>D155+D156+D157</f>
        <v>668.55000000000007</v>
      </c>
    </row>
    <row r="165" spans="1:6" ht="12" customHeight="1" x14ac:dyDescent="0.35">
      <c r="F165" s="31"/>
    </row>
    <row r="166" spans="1:6" x14ac:dyDescent="0.35">
      <c r="A166" s="92" t="s">
        <v>173</v>
      </c>
      <c r="B166" s="92"/>
      <c r="C166" s="92"/>
      <c r="D166" s="92"/>
    </row>
    <row r="167" spans="1:6" ht="6" customHeight="1" thickBot="1" x14ac:dyDescent="0.4"/>
    <row r="168" spans="1:6" ht="16" thickBot="1" x14ac:dyDescent="0.4">
      <c r="A168" s="13"/>
      <c r="B168" s="89" t="s">
        <v>109</v>
      </c>
      <c r="C168" s="91"/>
      <c r="D168" s="14" t="s">
        <v>2</v>
      </c>
    </row>
    <row r="169" spans="1:6" ht="16" thickBot="1" x14ac:dyDescent="0.4">
      <c r="A169" s="32" t="s">
        <v>3</v>
      </c>
      <c r="B169" s="87" t="s">
        <v>0</v>
      </c>
      <c r="C169" s="88"/>
      <c r="D169" s="20">
        <f>D27</f>
        <v>2238.1</v>
      </c>
    </row>
    <row r="170" spans="1:6" ht="16" thickBot="1" x14ac:dyDescent="0.4">
      <c r="A170" s="32" t="s">
        <v>5</v>
      </c>
      <c r="B170" s="87" t="s">
        <v>14</v>
      </c>
      <c r="C170" s="88">
        <f>C78</f>
        <v>0</v>
      </c>
      <c r="D170" s="20">
        <f>D78</f>
        <v>2352.8000000000002</v>
      </c>
    </row>
    <row r="171" spans="1:6" ht="16" thickBot="1" x14ac:dyDescent="0.4">
      <c r="A171" s="32" t="s">
        <v>7</v>
      </c>
      <c r="B171" s="87" t="s">
        <v>110</v>
      </c>
      <c r="C171" s="88">
        <f>C110</f>
        <v>0</v>
      </c>
      <c r="D171" s="20">
        <f>D110</f>
        <v>71.747736000000003</v>
      </c>
    </row>
    <row r="172" spans="1:6" ht="16" thickBot="1" x14ac:dyDescent="0.4">
      <c r="A172" s="32" t="s">
        <v>9</v>
      </c>
      <c r="B172" s="87" t="s">
        <v>67</v>
      </c>
      <c r="C172" s="88">
        <f>C142</f>
        <v>0</v>
      </c>
      <c r="D172" s="20">
        <f>D142</f>
        <v>380.53</v>
      </c>
    </row>
    <row r="173" spans="1:6" ht="16" thickBot="1" x14ac:dyDescent="0.4">
      <c r="A173" s="32" t="s">
        <v>11</v>
      </c>
      <c r="B173" s="87" t="s">
        <v>93</v>
      </c>
      <c r="C173" s="88">
        <f>C150</f>
        <v>0</v>
      </c>
      <c r="D173" s="17">
        <f>D150</f>
        <v>140.340495</v>
      </c>
    </row>
    <row r="174" spans="1:6" ht="16.5" customHeight="1" thickBot="1" x14ac:dyDescent="0.4">
      <c r="A174" s="89" t="s">
        <v>177</v>
      </c>
      <c r="B174" s="90"/>
      <c r="C174" s="91"/>
      <c r="D174" s="21">
        <f>SUM(D169:D173)</f>
        <v>5183.518231</v>
      </c>
    </row>
    <row r="175" spans="1:6" ht="16" thickBot="1" x14ac:dyDescent="0.4">
      <c r="A175" s="32" t="s">
        <v>28</v>
      </c>
      <c r="B175" s="87" t="s">
        <v>111</v>
      </c>
      <c r="C175" s="88">
        <f>D164</f>
        <v>668.55000000000007</v>
      </c>
      <c r="D175" s="20">
        <f>D164</f>
        <v>668.55000000000007</v>
      </c>
    </row>
    <row r="176" spans="1:6" ht="16.5" customHeight="1" thickBot="1" x14ac:dyDescent="0.4">
      <c r="A176" s="89" t="s">
        <v>112</v>
      </c>
      <c r="B176" s="90"/>
      <c r="C176" s="91"/>
      <c r="D176" s="21">
        <f>D174+D175</f>
        <v>5852.0682310000002</v>
      </c>
    </row>
  </sheetData>
  <mergeCells count="107">
    <mergeCell ref="A7:B7"/>
    <mergeCell ref="C7:D7"/>
    <mergeCell ref="A9:D9"/>
    <mergeCell ref="A11:B11"/>
    <mergeCell ref="C11:D11"/>
    <mergeCell ref="A12:B12"/>
    <mergeCell ref="C12:D12"/>
    <mergeCell ref="A1:D1"/>
    <mergeCell ref="A3:D3"/>
    <mergeCell ref="A5:B5"/>
    <mergeCell ref="C5:D5"/>
    <mergeCell ref="A6:B6"/>
    <mergeCell ref="C6:D6"/>
    <mergeCell ref="A16:B16"/>
    <mergeCell ref="C16:D16"/>
    <mergeCell ref="A17:B17"/>
    <mergeCell ref="C17:D17"/>
    <mergeCell ref="A19:D19"/>
    <mergeCell ref="B21:C21"/>
    <mergeCell ref="A13:B13"/>
    <mergeCell ref="C13:D13"/>
    <mergeCell ref="A14:B14"/>
    <mergeCell ref="C14:D14"/>
    <mergeCell ref="A15:B15"/>
    <mergeCell ref="C15:D15"/>
    <mergeCell ref="A29:D29"/>
    <mergeCell ref="A31:D31"/>
    <mergeCell ref="B33:C33"/>
    <mergeCell ref="B34:C34"/>
    <mergeCell ref="B35:C35"/>
    <mergeCell ref="A36:C36"/>
    <mergeCell ref="B22:C22"/>
    <mergeCell ref="B23:C23"/>
    <mergeCell ref="B24:C24"/>
    <mergeCell ref="B25:C25"/>
    <mergeCell ref="B26:C26"/>
    <mergeCell ref="A27:C27"/>
    <mergeCell ref="A61:A63"/>
    <mergeCell ref="A64:A66"/>
    <mergeCell ref="A67:A69"/>
    <mergeCell ref="A70:C70"/>
    <mergeCell ref="A72:D72"/>
    <mergeCell ref="B74:C74"/>
    <mergeCell ref="A38:D38"/>
    <mergeCell ref="A48:B48"/>
    <mergeCell ref="A50:B50"/>
    <mergeCell ref="A52:D52"/>
    <mergeCell ref="A55:A57"/>
    <mergeCell ref="A58:A60"/>
    <mergeCell ref="B84:C84"/>
    <mergeCell ref="B85:C85"/>
    <mergeCell ref="B86:C86"/>
    <mergeCell ref="A87:C87"/>
    <mergeCell ref="A89:D89"/>
    <mergeCell ref="B91:C91"/>
    <mergeCell ref="B75:C75"/>
    <mergeCell ref="B76:C76"/>
    <mergeCell ref="B77:C77"/>
    <mergeCell ref="A78:C78"/>
    <mergeCell ref="A80:D80"/>
    <mergeCell ref="A82:D82"/>
    <mergeCell ref="B100:C100"/>
    <mergeCell ref="A101:C101"/>
    <mergeCell ref="A102:C102"/>
    <mergeCell ref="A104:D104"/>
    <mergeCell ref="B106:C106"/>
    <mergeCell ref="B107:C107"/>
    <mergeCell ref="B92:C92"/>
    <mergeCell ref="B93:C93"/>
    <mergeCell ref="A94:C94"/>
    <mergeCell ref="A96:D96"/>
    <mergeCell ref="B98:C98"/>
    <mergeCell ref="B99:C99"/>
    <mergeCell ref="A131:D131"/>
    <mergeCell ref="B133:C133"/>
    <mergeCell ref="B134:C134"/>
    <mergeCell ref="A135:C135"/>
    <mergeCell ref="A137:D137"/>
    <mergeCell ref="B139:C139"/>
    <mergeCell ref="B108:C108"/>
    <mergeCell ref="B109:C109"/>
    <mergeCell ref="A110:C110"/>
    <mergeCell ref="A112:D112"/>
    <mergeCell ref="A114:C114"/>
    <mergeCell ref="A129:C129"/>
    <mergeCell ref="B148:C148"/>
    <mergeCell ref="B149:C149"/>
    <mergeCell ref="A150:C150"/>
    <mergeCell ref="A152:D152"/>
    <mergeCell ref="A157:A163"/>
    <mergeCell ref="A164:B164"/>
    <mergeCell ref="B140:C140"/>
    <mergeCell ref="B141:C141"/>
    <mergeCell ref="A142:C142"/>
    <mergeCell ref="A144:D144"/>
    <mergeCell ref="B146:C146"/>
    <mergeCell ref="B147:C147"/>
    <mergeCell ref="B173:C173"/>
    <mergeCell ref="A174:C174"/>
    <mergeCell ref="B175:C175"/>
    <mergeCell ref="A176:C176"/>
    <mergeCell ref="A166:D166"/>
    <mergeCell ref="B168:C168"/>
    <mergeCell ref="B169:C169"/>
    <mergeCell ref="B170:C170"/>
    <mergeCell ref="B171:C171"/>
    <mergeCell ref="B172:C172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0F39-3808-4A1F-A958-58B02455F9BB}">
  <sheetPr>
    <pageSetUpPr fitToPage="1"/>
  </sheetPr>
  <dimension ref="A1:F177"/>
  <sheetViews>
    <sheetView workbookViewId="0">
      <selection activeCell="E5" sqref="E5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372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100"/>
      <c r="E5" s="12"/>
    </row>
    <row r="6" spans="1:5" ht="16" thickBot="1" x14ac:dyDescent="0.4">
      <c r="A6" s="97" t="s">
        <v>115</v>
      </c>
      <c r="B6" s="97"/>
      <c r="C6" s="98" t="s">
        <v>190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205</v>
      </c>
      <c r="D11" s="99"/>
    </row>
    <row r="12" spans="1:5" ht="16" thickBot="1" x14ac:dyDescent="0.4">
      <c r="A12" s="97" t="s">
        <v>119</v>
      </c>
      <c r="B12" s="97"/>
      <c r="C12" s="98" t="s">
        <v>206</v>
      </c>
      <c r="D12" s="99"/>
    </row>
    <row r="13" spans="1:5" ht="16" thickBot="1" x14ac:dyDescent="0.4">
      <c r="A13" s="97" t="s">
        <v>120</v>
      </c>
      <c r="B13" s="97"/>
      <c r="C13" s="98">
        <v>27</v>
      </c>
      <c r="D13" s="99"/>
    </row>
    <row r="14" spans="1:5" ht="16" thickBot="1" x14ac:dyDescent="0.4">
      <c r="A14" s="97" t="s">
        <v>123</v>
      </c>
      <c r="B14" s="97"/>
      <c r="C14" s="98" t="s">
        <v>207</v>
      </c>
      <c r="D14" s="99"/>
    </row>
    <row r="15" spans="1:5" ht="16" thickBot="1" x14ac:dyDescent="0.4">
      <c r="A15" s="97" t="s">
        <v>121</v>
      </c>
      <c r="B15" s="97"/>
      <c r="C15" s="98" t="s">
        <v>208</v>
      </c>
      <c r="D15" s="99"/>
    </row>
    <row r="16" spans="1:5" ht="16" thickBot="1" x14ac:dyDescent="0.4">
      <c r="A16" s="97" t="s">
        <v>122</v>
      </c>
      <c r="B16" s="97"/>
      <c r="C16" s="101">
        <v>1515.92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1515.92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1515.92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126.28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42.09</v>
      </c>
    </row>
    <row r="36" spans="1:4" ht="16" thickBot="1" x14ac:dyDescent="0.4">
      <c r="A36" s="89" t="s">
        <v>13</v>
      </c>
      <c r="B36" s="90"/>
      <c r="C36" s="91"/>
      <c r="D36" s="21">
        <f>D34+D35</f>
        <v>168.37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>ROUND(($D$27+$D$36)*C41,2)</f>
        <v>336.86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ref="D42:D49" si="0">ROUND(($D$27+$D$36)*C42,2)</f>
        <v>42.11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50.53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25.26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16.84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10.11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3.37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485.08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 t="shared" si="0"/>
        <v>134.74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619.81999999999994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ROUND(C55*2*(22+C13),2)</f>
        <v>539</v>
      </c>
    </row>
    <row r="56" spans="1:4" ht="16" thickBot="1" x14ac:dyDescent="0.4">
      <c r="A56" s="94"/>
      <c r="B56" s="16" t="s">
        <v>40</v>
      </c>
      <c r="C56" s="41">
        <v>0.06</v>
      </c>
      <c r="D56" s="17">
        <f>ROUND(D27*C56,2)</f>
        <v>90.96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448.04</v>
      </c>
    </row>
    <row r="58" spans="1:4" ht="16" thickBot="1" x14ac:dyDescent="0.4">
      <c r="A58" s="93" t="s">
        <v>5</v>
      </c>
      <c r="B58" s="16" t="s">
        <v>42</v>
      </c>
      <c r="C58" s="17">
        <v>40.5</v>
      </c>
      <c r="D58" s="17">
        <f>ROUND(C58*22,2)</f>
        <v>891</v>
      </c>
    </row>
    <row r="59" spans="1:4" ht="16" thickBot="1" x14ac:dyDescent="0.4">
      <c r="A59" s="94"/>
      <c r="B59" s="16" t="s">
        <v>132</v>
      </c>
      <c r="C59" s="17">
        <v>0</v>
      </c>
      <c r="D59" s="17">
        <f>C59</f>
        <v>0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891</v>
      </c>
    </row>
    <row r="61" spans="1:4" ht="16" thickBot="1" x14ac:dyDescent="0.4">
      <c r="A61" s="93" t="s">
        <v>7</v>
      </c>
      <c r="B61" s="16" t="s">
        <v>130</v>
      </c>
      <c r="C61" s="17">
        <v>175.76</v>
      </c>
      <c r="D61" s="17">
        <f>C61</f>
        <v>175.76</v>
      </c>
    </row>
    <row r="62" spans="1:4" ht="16" thickBot="1" x14ac:dyDescent="0.4">
      <c r="A62" s="94"/>
      <c r="B62" s="16" t="s">
        <v>131</v>
      </c>
      <c r="C62" s="17">
        <v>0</v>
      </c>
      <c r="D62" s="17">
        <v>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175.76</v>
      </c>
    </row>
    <row r="64" spans="1:4" ht="16" thickBot="1" x14ac:dyDescent="0.4">
      <c r="A64" s="93" t="s">
        <v>9</v>
      </c>
      <c r="B64" s="16" t="s">
        <v>133</v>
      </c>
      <c r="C64" s="17">
        <v>11.92</v>
      </c>
      <c r="D64" s="17">
        <f>C64</f>
        <v>11.92</v>
      </c>
    </row>
    <row r="65" spans="1:4" ht="16" thickBot="1" x14ac:dyDescent="0.4">
      <c r="A65" s="94"/>
      <c r="B65" s="16" t="s">
        <v>131</v>
      </c>
      <c r="C65" s="17">
        <v>0</v>
      </c>
      <c r="D65" s="17">
        <f>C65</f>
        <v>0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11.92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1529.47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168.37</v>
      </c>
    </row>
    <row r="76" spans="1:4" ht="16" thickBot="1" x14ac:dyDescent="0.4">
      <c r="A76" s="15" t="s">
        <v>20</v>
      </c>
      <c r="B76" s="87" t="s">
        <v>21</v>
      </c>
      <c r="C76" s="88">
        <f>D50</f>
        <v>619.81999999999994</v>
      </c>
      <c r="D76" s="20">
        <f>D50</f>
        <v>619.81999999999994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1529.47</v>
      </c>
    </row>
    <row r="78" spans="1:4" ht="16" thickBot="1" x14ac:dyDescent="0.4">
      <c r="A78" s="89" t="s">
        <v>13</v>
      </c>
      <c r="B78" s="90"/>
      <c r="C78" s="91"/>
      <c r="D78" s="21">
        <f>SUM(D75:D77)</f>
        <v>2317.66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4" ht="6" customHeight="1" x14ac:dyDescent="0.35"/>
    <row r="82" spans="1:4" x14ac:dyDescent="0.35">
      <c r="A82" s="96" t="s">
        <v>48</v>
      </c>
      <c r="B82" s="96"/>
      <c r="C82" s="96"/>
      <c r="D82" s="96"/>
    </row>
    <row r="83" spans="1:4" ht="6" customHeight="1" thickBot="1" x14ac:dyDescent="0.4"/>
    <row r="84" spans="1:4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4" ht="16" thickBot="1" x14ac:dyDescent="0.4">
      <c r="A85" s="15" t="s">
        <v>3</v>
      </c>
      <c r="B85" s="87" t="s">
        <v>50</v>
      </c>
      <c r="C85" s="88"/>
      <c r="D85" s="20">
        <f>ROUND(((D27+D78-D49)/12)*0.1656*0.5,2)</f>
        <v>25.52</v>
      </c>
    </row>
    <row r="86" spans="1:4" ht="16" thickBot="1" x14ac:dyDescent="0.4">
      <c r="A86" s="15" t="s">
        <v>5</v>
      </c>
      <c r="B86" s="87" t="s">
        <v>51</v>
      </c>
      <c r="C86" s="88"/>
      <c r="D86" s="20">
        <f>ROUND((D27+D36)*0.08*0.4*0.1656*0.5,2)</f>
        <v>4.46</v>
      </c>
    </row>
    <row r="87" spans="1:4" ht="16" thickBot="1" x14ac:dyDescent="0.4">
      <c r="A87" s="89" t="s">
        <v>13</v>
      </c>
      <c r="B87" s="90"/>
      <c r="C87" s="91"/>
      <c r="D87" s="21">
        <f>D85+D86</f>
        <v>29.98</v>
      </c>
    </row>
    <row r="88" spans="1:4" ht="6" customHeight="1" x14ac:dyDescent="0.35"/>
    <row r="89" spans="1:4" x14ac:dyDescent="0.35">
      <c r="A89" s="96" t="s">
        <v>52</v>
      </c>
      <c r="B89" s="96"/>
      <c r="C89" s="96"/>
      <c r="D89" s="96"/>
    </row>
    <row r="90" spans="1:4" ht="6" customHeight="1" thickBot="1" x14ac:dyDescent="0.4"/>
    <row r="91" spans="1:4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4" ht="16" thickBot="1" x14ac:dyDescent="0.4">
      <c r="A92" s="15" t="s">
        <v>3</v>
      </c>
      <c r="B92" s="87" t="s">
        <v>54</v>
      </c>
      <c r="C92" s="88"/>
      <c r="D92" s="20">
        <f>ROUND(((D27+D78)/12)*0.1656*0.5,2)</f>
        <v>26.45</v>
      </c>
    </row>
    <row r="93" spans="1:4" ht="16" thickBot="1" x14ac:dyDescent="0.4">
      <c r="A93" s="15" t="s">
        <v>5</v>
      </c>
      <c r="B93" s="87" t="s">
        <v>55</v>
      </c>
      <c r="C93" s="88"/>
      <c r="D93" s="20">
        <f>ROUND((D27+D36)*0.08*0.4*0.1656*0.5,2)</f>
        <v>4.46</v>
      </c>
    </row>
    <row r="94" spans="1:4" ht="16" thickBot="1" x14ac:dyDescent="0.4">
      <c r="A94" s="89" t="s">
        <v>13</v>
      </c>
      <c r="B94" s="90"/>
      <c r="C94" s="91"/>
      <c r="D94" s="21">
        <f>D92+D93</f>
        <v>30.91</v>
      </c>
    </row>
    <row r="95" spans="1:4" ht="6" customHeight="1" x14ac:dyDescent="0.35"/>
    <row r="96" spans="1:4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-D87</f>
        <v>-29.98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-D94</f>
        <v>-30.91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-60.89</v>
      </c>
    </row>
    <row r="102" spans="1:4" ht="16.5" customHeight="1" thickBot="1" x14ac:dyDescent="0.4">
      <c r="A102" s="89" t="s">
        <v>61</v>
      </c>
      <c r="B102" s="90"/>
      <c r="C102" s="91"/>
      <c r="D102" s="27">
        <f>D101*0.0454</f>
        <v>-2.7644060000000001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29.98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30.91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-2.7644060000000001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58.125594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0.19821626471053883</v>
      </c>
      <c r="D117" s="20">
        <f>ROUND(((($D$27+$D$78+$D$110)/22)*20.3836)/12,2)</f>
        <v>300.48</v>
      </c>
    </row>
    <row r="118" spans="1:4" ht="16" thickBot="1" x14ac:dyDescent="0.4">
      <c r="A118" s="15" t="s">
        <v>5</v>
      </c>
      <c r="B118" s="16" t="s">
        <v>72</v>
      </c>
      <c r="C118" s="29">
        <f>'[1]MO - Carregador'!$P$35</f>
        <v>2.8E-3</v>
      </c>
      <c r="D118" s="20">
        <f>ROUND(($D$27+$D$78+$D$110)*C118,2)</f>
        <v>10.9</v>
      </c>
    </row>
    <row r="119" spans="1:4" ht="16" thickBot="1" x14ac:dyDescent="0.4">
      <c r="A119" s="15" t="s">
        <v>7</v>
      </c>
      <c r="B119" s="16" t="s">
        <v>73</v>
      </c>
      <c r="C119" s="29">
        <f>'[1]MO - Carregador'!$P$36</f>
        <v>5.0000000000000001E-4</v>
      </c>
      <c r="D119" s="20">
        <f t="shared" ref="D119:D128" si="1">ROUND(($D$27+$D$78+$D$110)*C119,2)</f>
        <v>1.95</v>
      </c>
    </row>
    <row r="120" spans="1:4" ht="16" thickBot="1" x14ac:dyDescent="0.4">
      <c r="A120" s="15" t="s">
        <v>9</v>
      </c>
      <c r="B120" s="16" t="s">
        <v>74</v>
      </c>
      <c r="C120" s="29">
        <f>'[1]MO - Carregador'!$P$37</f>
        <v>0</v>
      </c>
      <c r="D120" s="20">
        <f t="shared" si="1"/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Carregador'!$P$38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Carregador'!$P$39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Carregador'!$P$40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Carregador'!$P$41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Carregador'!$P$42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Carregador'!$P$43</f>
        <v>2.0000000000000001E-4</v>
      </c>
      <c r="D126" s="20">
        <f t="shared" si="1"/>
        <v>0.78</v>
      </c>
    </row>
    <row r="127" spans="1:4" ht="16" thickBot="1" x14ac:dyDescent="0.4">
      <c r="A127" s="15" t="s">
        <v>83</v>
      </c>
      <c r="B127" s="16" t="s">
        <v>84</v>
      </c>
      <c r="C127" s="29">
        <f>'[1]MO - Carregador'!$P$44</f>
        <v>2.5000000000000001E-4</v>
      </c>
      <c r="D127" s="20">
        <f>ROUND(($D$27+$D$78+$D$110)*C127,2)</f>
        <v>0.97</v>
      </c>
    </row>
    <row r="128" spans="1:4" ht="16" thickBot="1" x14ac:dyDescent="0.4">
      <c r="A128" s="15" t="s">
        <v>85</v>
      </c>
      <c r="B128" s="16" t="s">
        <v>86</v>
      </c>
      <c r="C128" s="29">
        <f>'[1]MO - Carregador'!$P$45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315.08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315.08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315.08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4" ht="6" customHeight="1" thickBot="1" x14ac:dyDescent="0.4"/>
    <row r="146" spans="1:4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4" ht="16" thickBot="1" x14ac:dyDescent="0.4">
      <c r="A147" s="15" t="s">
        <v>3</v>
      </c>
      <c r="B147" s="87" t="s">
        <v>95</v>
      </c>
      <c r="C147" s="88"/>
      <c r="D147" s="17">
        <f>'Grupo 1 - Uniformes'!F54</f>
        <v>58.666666666666671</v>
      </c>
    </row>
    <row r="148" spans="1:4" ht="16" thickBot="1" x14ac:dyDescent="0.4">
      <c r="A148" s="15" t="s">
        <v>5</v>
      </c>
      <c r="B148" s="87" t="s">
        <v>96</v>
      </c>
      <c r="C148" s="88">
        <v>0</v>
      </c>
      <c r="D148" s="17">
        <v>0</v>
      </c>
    </row>
    <row r="149" spans="1:4" ht="16" thickBot="1" x14ac:dyDescent="0.4">
      <c r="A149" s="15" t="s">
        <v>7</v>
      </c>
      <c r="B149" s="87" t="s">
        <v>97</v>
      </c>
      <c r="C149" s="88">
        <v>0</v>
      </c>
      <c r="D149" s="17">
        <v>0</v>
      </c>
    </row>
    <row r="150" spans="1:4" ht="16" thickBot="1" x14ac:dyDescent="0.4">
      <c r="A150" s="89" t="s">
        <v>35</v>
      </c>
      <c r="B150" s="90"/>
      <c r="C150" s="91"/>
      <c r="D150" s="18">
        <f>SUM(D147:D149)</f>
        <v>58.666666666666671</v>
      </c>
    </row>
    <row r="151" spans="1:4" ht="12" customHeight="1" x14ac:dyDescent="0.35"/>
    <row r="152" spans="1:4" x14ac:dyDescent="0.35">
      <c r="A152" s="92" t="s">
        <v>98</v>
      </c>
      <c r="B152" s="92"/>
      <c r="C152" s="92"/>
      <c r="D152" s="92"/>
    </row>
    <row r="153" spans="1:4" ht="6" customHeight="1" thickBot="1" x14ac:dyDescent="0.4"/>
    <row r="154" spans="1:4" ht="16" thickBot="1" x14ac:dyDescent="0.4">
      <c r="A154" s="13">
        <v>6</v>
      </c>
      <c r="B154" s="28" t="s">
        <v>99</v>
      </c>
      <c r="C154" s="14" t="s">
        <v>22</v>
      </c>
      <c r="D154" s="14" t="s">
        <v>2</v>
      </c>
    </row>
    <row r="155" spans="1:4" ht="16" thickBot="1" x14ac:dyDescent="0.4">
      <c r="A155" s="15" t="s">
        <v>3</v>
      </c>
      <c r="B155" s="16" t="s">
        <v>100</v>
      </c>
      <c r="C155" s="29">
        <f>'[1]MO - Carregador'!$P$49</f>
        <v>7.0309999999999999E-3</v>
      </c>
      <c r="D155" s="17">
        <f>ROUND(D174*C155,2)</f>
        <v>29.99</v>
      </c>
    </row>
    <row r="156" spans="1:4" ht="16" thickBot="1" x14ac:dyDescent="0.4">
      <c r="A156" s="15" t="s">
        <v>5</v>
      </c>
      <c r="B156" s="16" t="s">
        <v>101</v>
      </c>
      <c r="C156" s="29">
        <f>'[1]MO - Carregador'!$P$50</f>
        <v>5.0500000000000007E-3</v>
      </c>
      <c r="D156" s="17">
        <f>ROUND((D174+D155)*C156,2)</f>
        <v>21.69</v>
      </c>
    </row>
    <row r="157" spans="1:4" ht="16" thickBot="1" x14ac:dyDescent="0.4">
      <c r="A157" s="93" t="s">
        <v>7</v>
      </c>
      <c r="B157" s="16" t="s">
        <v>102</v>
      </c>
      <c r="C157" s="29">
        <f>C158+C161+C162</f>
        <v>8.6499999999999994E-2</v>
      </c>
      <c r="D157" s="17">
        <f>D158+D161+D162</f>
        <v>408.8</v>
      </c>
    </row>
    <row r="158" spans="1:4" ht="16" thickBot="1" x14ac:dyDescent="0.4">
      <c r="A158" s="94"/>
      <c r="B158" s="16" t="s">
        <v>103</v>
      </c>
      <c r="C158" s="29">
        <f>C159+C160</f>
        <v>3.6499999999999998E-2</v>
      </c>
      <c r="D158" s="17">
        <f>D159+D160</f>
        <v>172.5</v>
      </c>
    </row>
    <row r="159" spans="1:4" ht="16" thickBot="1" x14ac:dyDescent="0.4">
      <c r="A159" s="94"/>
      <c r="B159" s="16" t="s">
        <v>104</v>
      </c>
      <c r="C159" s="29">
        <f>'[1]MO - Carregador'!$P$51</f>
        <v>6.4999999999999997E-3</v>
      </c>
      <c r="D159" s="17">
        <f>ROUND((($D$174+$D$155+$D$156)/(1-$C$157))*C159,2)</f>
        <v>30.72</v>
      </c>
    </row>
    <row r="160" spans="1:4" ht="16" thickBot="1" x14ac:dyDescent="0.4">
      <c r="A160" s="94"/>
      <c r="B160" s="16" t="s">
        <v>105</v>
      </c>
      <c r="C160" s="29">
        <f>'[1]MO - Carregador'!$P$52</f>
        <v>0.03</v>
      </c>
      <c r="D160" s="17">
        <f>ROUND((($D$174+$D$155+$D$156)/(1-$C$157))*C160,2)</f>
        <v>141.78</v>
      </c>
    </row>
    <row r="161" spans="1:6" ht="16" thickBot="1" x14ac:dyDescent="0.4">
      <c r="A161" s="94"/>
      <c r="B161" s="16" t="s">
        <v>106</v>
      </c>
      <c r="C161" s="29">
        <v>0</v>
      </c>
      <c r="D161" s="17">
        <f>ROUND((($D$174+$D$155+$D$156)/(1-$C$157))*C161,2)</f>
        <v>0</v>
      </c>
    </row>
    <row r="162" spans="1:6" ht="16" thickBot="1" x14ac:dyDescent="0.4">
      <c r="A162" s="94"/>
      <c r="B162" s="16" t="s">
        <v>107</v>
      </c>
      <c r="C162" s="29">
        <f>C163</f>
        <v>0.05</v>
      </c>
      <c r="D162" s="17">
        <f>D163</f>
        <v>236.3</v>
      </c>
    </row>
    <row r="163" spans="1:6" ht="16" thickBot="1" x14ac:dyDescent="0.4">
      <c r="A163" s="95"/>
      <c r="B163" s="16" t="s">
        <v>108</v>
      </c>
      <c r="C163" s="29">
        <v>0.05</v>
      </c>
      <c r="D163" s="17">
        <f>ROUND((($D$174+$D$155+$D$156)/(1-$C$157))*C163,2)</f>
        <v>236.3</v>
      </c>
    </row>
    <row r="164" spans="1:6" ht="16" thickBot="1" x14ac:dyDescent="0.4">
      <c r="A164" s="89" t="s">
        <v>35</v>
      </c>
      <c r="B164" s="91"/>
      <c r="C164" s="30">
        <f>C155+C156+C157</f>
        <v>9.8581000000000002E-2</v>
      </c>
      <c r="D164" s="18">
        <f>D155+D156+D157</f>
        <v>460.48</v>
      </c>
    </row>
    <row r="165" spans="1:6" ht="12" customHeight="1" x14ac:dyDescent="0.35">
      <c r="F165" s="31"/>
    </row>
    <row r="166" spans="1:6" x14ac:dyDescent="0.35">
      <c r="A166" s="92" t="s">
        <v>173</v>
      </c>
      <c r="B166" s="92"/>
      <c r="C166" s="92"/>
      <c r="D166" s="92"/>
    </row>
    <row r="167" spans="1:6" ht="6" customHeight="1" thickBot="1" x14ac:dyDescent="0.4"/>
    <row r="168" spans="1:6" ht="16" thickBot="1" x14ac:dyDescent="0.4">
      <c r="A168" s="13"/>
      <c r="B168" s="89" t="s">
        <v>109</v>
      </c>
      <c r="C168" s="91"/>
      <c r="D168" s="14" t="s">
        <v>2</v>
      </c>
    </row>
    <row r="169" spans="1:6" ht="16" thickBot="1" x14ac:dyDescent="0.4">
      <c r="A169" s="32" t="s">
        <v>3</v>
      </c>
      <c r="B169" s="87" t="s">
        <v>0</v>
      </c>
      <c r="C169" s="88"/>
      <c r="D169" s="20">
        <f>D27</f>
        <v>1515.92</v>
      </c>
    </row>
    <row r="170" spans="1:6" ht="16" thickBot="1" x14ac:dyDescent="0.4">
      <c r="A170" s="32" t="s">
        <v>5</v>
      </c>
      <c r="B170" s="87" t="s">
        <v>14</v>
      </c>
      <c r="C170" s="88">
        <f>C78</f>
        <v>0</v>
      </c>
      <c r="D170" s="20">
        <f>D78</f>
        <v>2317.66</v>
      </c>
    </row>
    <row r="171" spans="1:6" ht="16" thickBot="1" x14ac:dyDescent="0.4">
      <c r="A171" s="32" t="s">
        <v>7</v>
      </c>
      <c r="B171" s="87" t="s">
        <v>110</v>
      </c>
      <c r="C171" s="88">
        <f>C110</f>
        <v>0</v>
      </c>
      <c r="D171" s="20">
        <f>D110</f>
        <v>58.125594</v>
      </c>
    </row>
    <row r="172" spans="1:6" ht="16" thickBot="1" x14ac:dyDescent="0.4">
      <c r="A172" s="32" t="s">
        <v>9</v>
      </c>
      <c r="B172" s="87" t="s">
        <v>67</v>
      </c>
      <c r="C172" s="88">
        <f>C142</f>
        <v>0</v>
      </c>
      <c r="D172" s="20">
        <f>D142</f>
        <v>315.08</v>
      </c>
    </row>
    <row r="173" spans="1:6" ht="16" thickBot="1" x14ac:dyDescent="0.4">
      <c r="A173" s="32" t="s">
        <v>11</v>
      </c>
      <c r="B173" s="87" t="s">
        <v>93</v>
      </c>
      <c r="C173" s="88">
        <f>C150</f>
        <v>0</v>
      </c>
      <c r="D173" s="17">
        <f>D150</f>
        <v>58.666666666666671</v>
      </c>
    </row>
    <row r="174" spans="1:6" ht="16.5" customHeight="1" thickBot="1" x14ac:dyDescent="0.4">
      <c r="A174" s="89" t="s">
        <v>177</v>
      </c>
      <c r="B174" s="90"/>
      <c r="C174" s="91"/>
      <c r="D174" s="21">
        <f>SUM(D169:D173)</f>
        <v>4265.4522606666669</v>
      </c>
    </row>
    <row r="175" spans="1:6" ht="16" thickBot="1" x14ac:dyDescent="0.4">
      <c r="A175" s="32" t="s">
        <v>28</v>
      </c>
      <c r="B175" s="87" t="s">
        <v>111</v>
      </c>
      <c r="C175" s="88">
        <f>D164</f>
        <v>460.48</v>
      </c>
      <c r="D175" s="20">
        <f>D164</f>
        <v>460.48</v>
      </c>
    </row>
    <row r="176" spans="1:6" ht="16.5" customHeight="1" thickBot="1" x14ac:dyDescent="0.4">
      <c r="A176" s="89" t="s">
        <v>112</v>
      </c>
      <c r="B176" s="90"/>
      <c r="C176" s="91"/>
      <c r="D176" s="21">
        <f>D174+D175</f>
        <v>4725.9322606666665</v>
      </c>
    </row>
    <row r="177" spans="1:4" ht="16.5" customHeight="1" thickBot="1" x14ac:dyDescent="0.4">
      <c r="A177" s="89" t="s">
        <v>209</v>
      </c>
      <c r="B177" s="90"/>
      <c r="C177" s="91"/>
      <c r="D177" s="21">
        <f>D176/220</f>
        <v>21.481510275757575</v>
      </c>
    </row>
  </sheetData>
  <mergeCells count="108">
    <mergeCell ref="A7:B7"/>
    <mergeCell ref="C7:D7"/>
    <mergeCell ref="A9:D9"/>
    <mergeCell ref="A11:B11"/>
    <mergeCell ref="C11:D11"/>
    <mergeCell ref="A12:B12"/>
    <mergeCell ref="C12:D12"/>
    <mergeCell ref="A1:D1"/>
    <mergeCell ref="A3:D3"/>
    <mergeCell ref="A5:B5"/>
    <mergeCell ref="C5:D5"/>
    <mergeCell ref="A6:B6"/>
    <mergeCell ref="C6:D6"/>
    <mergeCell ref="A16:B16"/>
    <mergeCell ref="C16:D16"/>
    <mergeCell ref="A17:B17"/>
    <mergeCell ref="C17:D17"/>
    <mergeCell ref="A19:D19"/>
    <mergeCell ref="B21:C21"/>
    <mergeCell ref="A13:B13"/>
    <mergeCell ref="C13:D13"/>
    <mergeCell ref="A14:B14"/>
    <mergeCell ref="C14:D14"/>
    <mergeCell ref="A15:B15"/>
    <mergeCell ref="C15:D15"/>
    <mergeCell ref="A29:D29"/>
    <mergeCell ref="A31:D31"/>
    <mergeCell ref="B33:C33"/>
    <mergeCell ref="B34:C34"/>
    <mergeCell ref="B35:C35"/>
    <mergeCell ref="A36:C36"/>
    <mergeCell ref="B22:C22"/>
    <mergeCell ref="B23:C23"/>
    <mergeCell ref="B24:C24"/>
    <mergeCell ref="B25:C25"/>
    <mergeCell ref="B26:C26"/>
    <mergeCell ref="A27:C27"/>
    <mergeCell ref="A61:A63"/>
    <mergeCell ref="A64:A66"/>
    <mergeCell ref="A67:A69"/>
    <mergeCell ref="A70:C70"/>
    <mergeCell ref="A72:D72"/>
    <mergeCell ref="B74:C74"/>
    <mergeCell ref="A38:D38"/>
    <mergeCell ref="A48:B48"/>
    <mergeCell ref="A50:B50"/>
    <mergeCell ref="A52:D52"/>
    <mergeCell ref="A55:A57"/>
    <mergeCell ref="A58:A60"/>
    <mergeCell ref="B84:C84"/>
    <mergeCell ref="B85:C85"/>
    <mergeCell ref="B86:C86"/>
    <mergeCell ref="A87:C87"/>
    <mergeCell ref="A89:D89"/>
    <mergeCell ref="B91:C91"/>
    <mergeCell ref="B75:C75"/>
    <mergeCell ref="B76:C76"/>
    <mergeCell ref="B77:C77"/>
    <mergeCell ref="A78:C78"/>
    <mergeCell ref="A80:D80"/>
    <mergeCell ref="A82:D82"/>
    <mergeCell ref="B100:C100"/>
    <mergeCell ref="A101:C101"/>
    <mergeCell ref="A102:C102"/>
    <mergeCell ref="A104:D104"/>
    <mergeCell ref="B106:C106"/>
    <mergeCell ref="B107:C107"/>
    <mergeCell ref="B92:C92"/>
    <mergeCell ref="B93:C93"/>
    <mergeCell ref="A94:C94"/>
    <mergeCell ref="A96:D96"/>
    <mergeCell ref="B98:C98"/>
    <mergeCell ref="B99:C99"/>
    <mergeCell ref="A131:D131"/>
    <mergeCell ref="B133:C133"/>
    <mergeCell ref="B134:C134"/>
    <mergeCell ref="A135:C135"/>
    <mergeCell ref="A137:D137"/>
    <mergeCell ref="B139:C139"/>
    <mergeCell ref="B108:C108"/>
    <mergeCell ref="B109:C109"/>
    <mergeCell ref="A110:C110"/>
    <mergeCell ref="A112:D112"/>
    <mergeCell ref="A114:C114"/>
    <mergeCell ref="A129:C129"/>
    <mergeCell ref="B148:C148"/>
    <mergeCell ref="B149:C149"/>
    <mergeCell ref="A150:C150"/>
    <mergeCell ref="A152:D152"/>
    <mergeCell ref="A157:A163"/>
    <mergeCell ref="A164:B164"/>
    <mergeCell ref="B140:C140"/>
    <mergeCell ref="B141:C141"/>
    <mergeCell ref="A142:C142"/>
    <mergeCell ref="A144:D144"/>
    <mergeCell ref="B146:C146"/>
    <mergeCell ref="B147:C147"/>
    <mergeCell ref="B173:C173"/>
    <mergeCell ref="A174:C174"/>
    <mergeCell ref="B175:C175"/>
    <mergeCell ref="A176:C176"/>
    <mergeCell ref="A177:C177"/>
    <mergeCell ref="A166:D166"/>
    <mergeCell ref="B168:C168"/>
    <mergeCell ref="B169:C169"/>
    <mergeCell ref="B170:C170"/>
    <mergeCell ref="B171:C171"/>
    <mergeCell ref="B172:C172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4E67-E368-4532-8432-972BF3E25110}">
  <sheetPr>
    <pageSetUpPr fitToPage="1"/>
  </sheetPr>
  <dimension ref="A1:F176"/>
  <sheetViews>
    <sheetView workbookViewId="0">
      <selection activeCell="E3" sqref="E3"/>
    </sheetView>
  </sheetViews>
  <sheetFormatPr defaultColWidth="9.1796875" defaultRowHeight="15.5" x14ac:dyDescent="0.35"/>
  <cols>
    <col min="1" max="1" width="9.1796875" style="10"/>
    <col min="2" max="2" width="72.1796875" style="10" customWidth="1"/>
    <col min="3" max="3" width="19.1796875" style="10" customWidth="1"/>
    <col min="4" max="4" width="14.26953125" style="10" customWidth="1"/>
    <col min="5" max="5" width="12" style="10" customWidth="1"/>
    <col min="6" max="6" width="15.1796875" style="10" customWidth="1"/>
    <col min="7" max="16384" width="9.1796875" style="10"/>
  </cols>
  <sheetData>
    <row r="1" spans="1:5" x14ac:dyDescent="0.35">
      <c r="A1" s="78" t="s">
        <v>201</v>
      </c>
      <c r="B1" s="78"/>
      <c r="C1" s="78"/>
      <c r="D1" s="78"/>
    </row>
    <row r="2" spans="1:5" ht="12" customHeight="1" x14ac:dyDescent="0.35"/>
    <row r="3" spans="1:5" x14ac:dyDescent="0.35">
      <c r="A3" s="92" t="s">
        <v>113</v>
      </c>
      <c r="B3" s="92"/>
      <c r="C3" s="92"/>
      <c r="D3" s="92"/>
    </row>
    <row r="4" spans="1:5" ht="6" customHeight="1" thickBot="1" x14ac:dyDescent="0.4">
      <c r="C4" s="11"/>
      <c r="D4" s="11"/>
    </row>
    <row r="5" spans="1:5" ht="16" thickBot="1" x14ac:dyDescent="0.4">
      <c r="A5" s="97" t="s">
        <v>114</v>
      </c>
      <c r="B5" s="97"/>
      <c r="C5" s="98" t="s">
        <v>126</v>
      </c>
      <c r="D5" s="100"/>
      <c r="E5" s="12"/>
    </row>
    <row r="6" spans="1:5" ht="16" thickBot="1" x14ac:dyDescent="0.4">
      <c r="A6" s="97" t="s">
        <v>115</v>
      </c>
      <c r="B6" s="97"/>
      <c r="C6" s="98" t="s">
        <v>190</v>
      </c>
      <c r="D6" s="99"/>
    </row>
    <row r="7" spans="1:5" ht="16" thickBot="1" x14ac:dyDescent="0.4">
      <c r="A7" s="97" t="s">
        <v>116</v>
      </c>
      <c r="B7" s="97"/>
      <c r="C7" s="98">
        <v>30</v>
      </c>
      <c r="D7" s="99"/>
    </row>
    <row r="8" spans="1:5" ht="12" customHeight="1" x14ac:dyDescent="0.35"/>
    <row r="9" spans="1:5" x14ac:dyDescent="0.35">
      <c r="A9" s="92" t="s">
        <v>117</v>
      </c>
      <c r="B9" s="92"/>
      <c r="C9" s="92"/>
      <c r="D9" s="92"/>
    </row>
    <row r="10" spans="1:5" ht="6" customHeight="1" thickBot="1" x14ac:dyDescent="0.4"/>
    <row r="11" spans="1:5" ht="16" thickBot="1" x14ac:dyDescent="0.4">
      <c r="A11" s="97" t="s">
        <v>118</v>
      </c>
      <c r="B11" s="97"/>
      <c r="C11" s="98" t="s">
        <v>202</v>
      </c>
      <c r="D11" s="99"/>
    </row>
    <row r="12" spans="1:5" ht="16" thickBot="1" x14ac:dyDescent="0.4">
      <c r="A12" s="97" t="s">
        <v>119</v>
      </c>
      <c r="B12" s="97"/>
      <c r="C12" s="98" t="s">
        <v>125</v>
      </c>
      <c r="D12" s="99"/>
    </row>
    <row r="13" spans="1:5" ht="16" thickBot="1" x14ac:dyDescent="0.4">
      <c r="A13" s="97" t="s">
        <v>120</v>
      </c>
      <c r="B13" s="97"/>
      <c r="C13" s="98">
        <v>1</v>
      </c>
      <c r="D13" s="99"/>
    </row>
    <row r="14" spans="1:5" ht="16" thickBot="1" x14ac:dyDescent="0.4">
      <c r="A14" s="97" t="s">
        <v>123</v>
      </c>
      <c r="B14" s="97"/>
      <c r="C14" s="98" t="s">
        <v>203</v>
      </c>
      <c r="D14" s="99"/>
    </row>
    <row r="15" spans="1:5" ht="16" thickBot="1" x14ac:dyDescent="0.4">
      <c r="A15" s="97" t="s">
        <v>121</v>
      </c>
      <c r="B15" s="97"/>
      <c r="C15" s="98" t="s">
        <v>204</v>
      </c>
      <c r="D15" s="99"/>
    </row>
    <row r="16" spans="1:5" ht="16" thickBot="1" x14ac:dyDescent="0.4">
      <c r="A16" s="97" t="s">
        <v>122</v>
      </c>
      <c r="B16" s="97"/>
      <c r="C16" s="101">
        <v>2997.58</v>
      </c>
      <c r="D16" s="102"/>
    </row>
    <row r="17" spans="1:5" ht="16" thickBot="1" x14ac:dyDescent="0.4">
      <c r="A17" s="97" t="s">
        <v>124</v>
      </c>
      <c r="B17" s="97"/>
      <c r="C17" s="103">
        <v>44927</v>
      </c>
      <c r="D17" s="104"/>
      <c r="E17" s="12"/>
    </row>
    <row r="18" spans="1:5" ht="12" customHeight="1" x14ac:dyDescent="0.35"/>
    <row r="19" spans="1:5" x14ac:dyDescent="0.35">
      <c r="A19" s="92" t="s">
        <v>0</v>
      </c>
      <c r="B19" s="92"/>
      <c r="C19" s="92"/>
      <c r="D19" s="92"/>
    </row>
    <row r="20" spans="1:5" ht="6" customHeight="1" thickBot="1" x14ac:dyDescent="0.4"/>
    <row r="21" spans="1:5" ht="16" thickBot="1" x14ac:dyDescent="0.4">
      <c r="A21" s="13">
        <v>1</v>
      </c>
      <c r="B21" s="89" t="s">
        <v>1</v>
      </c>
      <c r="C21" s="91"/>
      <c r="D21" s="14" t="s">
        <v>2</v>
      </c>
    </row>
    <row r="22" spans="1:5" ht="16" thickBot="1" x14ac:dyDescent="0.4">
      <c r="A22" s="15" t="s">
        <v>3</v>
      </c>
      <c r="B22" s="87" t="s">
        <v>4</v>
      </c>
      <c r="C22" s="88"/>
      <c r="D22" s="17">
        <f>C16</f>
        <v>2997.58</v>
      </c>
    </row>
    <row r="23" spans="1:5" ht="16" thickBot="1" x14ac:dyDescent="0.4">
      <c r="A23" s="15" t="s">
        <v>5</v>
      </c>
      <c r="B23" s="87" t="s">
        <v>6</v>
      </c>
      <c r="C23" s="88">
        <v>0</v>
      </c>
      <c r="D23" s="17">
        <v>0</v>
      </c>
    </row>
    <row r="24" spans="1:5" ht="16" thickBot="1" x14ac:dyDescent="0.4">
      <c r="A24" s="15" t="s">
        <v>7</v>
      </c>
      <c r="B24" s="87" t="s">
        <v>8</v>
      </c>
      <c r="C24" s="88">
        <v>0</v>
      </c>
      <c r="D24" s="17">
        <v>0</v>
      </c>
    </row>
    <row r="25" spans="1:5" ht="16" thickBot="1" x14ac:dyDescent="0.4">
      <c r="A25" s="15" t="s">
        <v>9</v>
      </c>
      <c r="B25" s="87" t="s">
        <v>10</v>
      </c>
      <c r="C25" s="88">
        <v>0</v>
      </c>
      <c r="D25" s="17">
        <v>0</v>
      </c>
    </row>
    <row r="26" spans="1:5" ht="16" thickBot="1" x14ac:dyDescent="0.4">
      <c r="A26" s="15" t="s">
        <v>11</v>
      </c>
      <c r="B26" s="87" t="s">
        <v>12</v>
      </c>
      <c r="C26" s="88">
        <v>0</v>
      </c>
      <c r="D26" s="17">
        <v>0</v>
      </c>
    </row>
    <row r="27" spans="1:5" ht="16" thickBot="1" x14ac:dyDescent="0.4">
      <c r="A27" s="89" t="s">
        <v>13</v>
      </c>
      <c r="B27" s="90"/>
      <c r="C27" s="91"/>
      <c r="D27" s="18">
        <f>SUM(D22:D26)</f>
        <v>2997.58</v>
      </c>
    </row>
    <row r="28" spans="1:5" ht="12" customHeight="1" x14ac:dyDescent="0.35"/>
    <row r="29" spans="1:5" x14ac:dyDescent="0.35">
      <c r="A29" s="92" t="s">
        <v>14</v>
      </c>
      <c r="B29" s="92"/>
      <c r="C29" s="92"/>
      <c r="D29" s="92"/>
    </row>
    <row r="30" spans="1:5" ht="6" customHeight="1" x14ac:dyDescent="0.35">
      <c r="A30" s="19"/>
    </row>
    <row r="31" spans="1:5" x14ac:dyDescent="0.35">
      <c r="A31" s="96" t="s">
        <v>15</v>
      </c>
      <c r="B31" s="96"/>
      <c r="C31" s="96"/>
      <c r="D31" s="96"/>
    </row>
    <row r="32" spans="1:5" ht="6" customHeight="1" thickBot="1" x14ac:dyDescent="0.4"/>
    <row r="33" spans="1:4" ht="16" thickBot="1" x14ac:dyDescent="0.4">
      <c r="A33" s="13" t="s">
        <v>16</v>
      </c>
      <c r="B33" s="89" t="s">
        <v>46</v>
      </c>
      <c r="C33" s="91"/>
      <c r="D33" s="14" t="s">
        <v>2</v>
      </c>
    </row>
    <row r="34" spans="1:4" ht="16" thickBot="1" x14ac:dyDescent="0.4">
      <c r="A34" s="15" t="s">
        <v>3</v>
      </c>
      <c r="B34" s="87" t="s">
        <v>17</v>
      </c>
      <c r="C34" s="88"/>
      <c r="D34" s="20">
        <f>ROUND(D27*0.0833,2)</f>
        <v>249.7</v>
      </c>
    </row>
    <row r="35" spans="1:4" ht="16" thickBot="1" x14ac:dyDescent="0.4">
      <c r="A35" s="15" t="s">
        <v>5</v>
      </c>
      <c r="B35" s="87" t="s">
        <v>18</v>
      </c>
      <c r="C35" s="88">
        <f>ROUND(C27*0.0833*0.3333,2)</f>
        <v>0</v>
      </c>
      <c r="D35" s="20">
        <f>ROUND(D27*0.0833*0.3333,2)</f>
        <v>83.22</v>
      </c>
    </row>
    <row r="36" spans="1:4" ht="16" thickBot="1" x14ac:dyDescent="0.4">
      <c r="A36" s="89" t="s">
        <v>13</v>
      </c>
      <c r="B36" s="90"/>
      <c r="C36" s="91"/>
      <c r="D36" s="21">
        <f>D34+D35</f>
        <v>332.91999999999996</v>
      </c>
    </row>
    <row r="37" spans="1:4" ht="6" customHeight="1" x14ac:dyDescent="0.35"/>
    <row r="38" spans="1:4" ht="32.25" customHeight="1" x14ac:dyDescent="0.35">
      <c r="A38" s="105" t="s">
        <v>19</v>
      </c>
      <c r="B38" s="105"/>
      <c r="C38" s="105"/>
      <c r="D38" s="105"/>
    </row>
    <row r="39" spans="1:4" ht="6" customHeight="1" thickBot="1" x14ac:dyDescent="0.4"/>
    <row r="40" spans="1:4" ht="16" thickBot="1" x14ac:dyDescent="0.4">
      <c r="A40" s="13" t="s">
        <v>20</v>
      </c>
      <c r="B40" s="14" t="s">
        <v>21</v>
      </c>
      <c r="C40" s="14" t="s">
        <v>22</v>
      </c>
      <c r="D40" s="14" t="s">
        <v>2</v>
      </c>
    </row>
    <row r="41" spans="1:4" ht="16" thickBot="1" x14ac:dyDescent="0.4">
      <c r="A41" s="15" t="s">
        <v>3</v>
      </c>
      <c r="B41" s="16" t="s">
        <v>23</v>
      </c>
      <c r="C41" s="22">
        <v>0.2</v>
      </c>
      <c r="D41" s="17">
        <f>ROUND(($D$27+$D$36)*C41,2)</f>
        <v>666.1</v>
      </c>
    </row>
    <row r="42" spans="1:4" ht="16" thickBot="1" x14ac:dyDescent="0.4">
      <c r="A42" s="15" t="s">
        <v>5</v>
      </c>
      <c r="B42" s="16" t="s">
        <v>24</v>
      </c>
      <c r="C42" s="22">
        <v>2.5000000000000001E-2</v>
      </c>
      <c r="D42" s="17">
        <f t="shared" ref="D42:D49" si="0">ROUND(($D$27+$D$36)*C42,2)</f>
        <v>83.26</v>
      </c>
    </row>
    <row r="43" spans="1:4" ht="16" thickBot="1" x14ac:dyDescent="0.4">
      <c r="A43" s="15" t="s">
        <v>7</v>
      </c>
      <c r="B43" s="16" t="s">
        <v>25</v>
      </c>
      <c r="C43" s="22">
        <v>0.03</v>
      </c>
      <c r="D43" s="17">
        <f t="shared" si="0"/>
        <v>99.92</v>
      </c>
    </row>
    <row r="44" spans="1:4" ht="16" thickBot="1" x14ac:dyDescent="0.4">
      <c r="A44" s="15" t="s">
        <v>9</v>
      </c>
      <c r="B44" s="16" t="s">
        <v>26</v>
      </c>
      <c r="C44" s="22">
        <v>1.4999999999999999E-2</v>
      </c>
      <c r="D44" s="17">
        <f t="shared" si="0"/>
        <v>49.96</v>
      </c>
    </row>
    <row r="45" spans="1:4" ht="16" thickBot="1" x14ac:dyDescent="0.4">
      <c r="A45" s="15" t="s">
        <v>11</v>
      </c>
      <c r="B45" s="16" t="s">
        <v>27</v>
      </c>
      <c r="C45" s="22">
        <v>0.01</v>
      </c>
      <c r="D45" s="17">
        <f t="shared" si="0"/>
        <v>33.31</v>
      </c>
    </row>
    <row r="46" spans="1:4" ht="16" thickBot="1" x14ac:dyDescent="0.4">
      <c r="A46" s="15" t="s">
        <v>28</v>
      </c>
      <c r="B46" s="16" t="s">
        <v>29</v>
      </c>
      <c r="C46" s="22">
        <v>6.0000000000000001E-3</v>
      </c>
      <c r="D46" s="17">
        <f t="shared" si="0"/>
        <v>19.98</v>
      </c>
    </row>
    <row r="47" spans="1:4" ht="16" thickBot="1" x14ac:dyDescent="0.4">
      <c r="A47" s="15" t="s">
        <v>30</v>
      </c>
      <c r="B47" s="16" t="s">
        <v>31</v>
      </c>
      <c r="C47" s="22">
        <v>2E-3</v>
      </c>
      <c r="D47" s="17">
        <f t="shared" si="0"/>
        <v>6.66</v>
      </c>
    </row>
    <row r="48" spans="1:4" ht="16" thickBot="1" x14ac:dyDescent="0.4">
      <c r="A48" s="89" t="s">
        <v>32</v>
      </c>
      <c r="B48" s="91"/>
      <c r="C48" s="23">
        <f>SUM(C41:C47)</f>
        <v>0.28800000000000003</v>
      </c>
      <c r="D48" s="18">
        <f>SUM(D41:D47)</f>
        <v>959.18999999999994</v>
      </c>
    </row>
    <row r="49" spans="1:4" ht="16" thickBot="1" x14ac:dyDescent="0.4">
      <c r="A49" s="15" t="s">
        <v>33</v>
      </c>
      <c r="B49" s="16" t="s">
        <v>34</v>
      </c>
      <c r="C49" s="22">
        <v>0.08</v>
      </c>
      <c r="D49" s="17">
        <f t="shared" si="0"/>
        <v>266.44</v>
      </c>
    </row>
    <row r="50" spans="1:4" ht="16" thickBot="1" x14ac:dyDescent="0.4">
      <c r="A50" s="89" t="s">
        <v>35</v>
      </c>
      <c r="B50" s="91"/>
      <c r="C50" s="23">
        <f>C48+C49</f>
        <v>0.36800000000000005</v>
      </c>
      <c r="D50" s="18">
        <f>D48+D49</f>
        <v>1225.6299999999999</v>
      </c>
    </row>
    <row r="51" spans="1:4" ht="6" customHeight="1" x14ac:dyDescent="0.35"/>
    <row r="52" spans="1:4" x14ac:dyDescent="0.35">
      <c r="A52" s="96" t="s">
        <v>36</v>
      </c>
      <c r="B52" s="96"/>
      <c r="C52" s="96"/>
      <c r="D52" s="96"/>
    </row>
    <row r="53" spans="1:4" ht="6" customHeight="1" thickBot="1" x14ac:dyDescent="0.4"/>
    <row r="54" spans="1:4" ht="16" thickBot="1" x14ac:dyDescent="0.4">
      <c r="A54" s="13" t="s">
        <v>37</v>
      </c>
      <c r="B54" s="14" t="s">
        <v>38</v>
      </c>
      <c r="C54" s="14" t="s">
        <v>172</v>
      </c>
      <c r="D54" s="14" t="s">
        <v>2</v>
      </c>
    </row>
    <row r="55" spans="1:4" ht="16" thickBot="1" x14ac:dyDescent="0.4">
      <c r="A55" s="93" t="s">
        <v>3</v>
      </c>
      <c r="B55" s="16" t="s">
        <v>39</v>
      </c>
      <c r="C55" s="17">
        <v>5.5</v>
      </c>
      <c r="D55" s="17">
        <f>ROUND(C55*2*22,2)</f>
        <v>242</v>
      </c>
    </row>
    <row r="56" spans="1:4" ht="16" thickBot="1" x14ac:dyDescent="0.4">
      <c r="A56" s="94"/>
      <c r="B56" s="16" t="s">
        <v>40</v>
      </c>
      <c r="C56" s="41">
        <v>0.06</v>
      </c>
      <c r="D56" s="17">
        <f>ROUND(D27*C56,2)</f>
        <v>179.85</v>
      </c>
    </row>
    <row r="57" spans="1:4" ht="16" thickBot="1" x14ac:dyDescent="0.4">
      <c r="A57" s="95"/>
      <c r="B57" s="24" t="s">
        <v>41</v>
      </c>
      <c r="C57" s="18" t="s">
        <v>157</v>
      </c>
      <c r="D57" s="18">
        <f>D55-D56</f>
        <v>62.150000000000006</v>
      </c>
    </row>
    <row r="58" spans="1:4" ht="16" thickBot="1" x14ac:dyDescent="0.4">
      <c r="A58" s="93" t="s">
        <v>5</v>
      </c>
      <c r="B58" s="16" t="s">
        <v>42</v>
      </c>
      <c r="C58" s="17">
        <v>40.5</v>
      </c>
      <c r="D58" s="17">
        <f>ROUND(C58*22,2)</f>
        <v>891</v>
      </c>
    </row>
    <row r="59" spans="1:4" ht="16" thickBot="1" x14ac:dyDescent="0.4">
      <c r="A59" s="94"/>
      <c r="B59" s="16" t="s">
        <v>132</v>
      </c>
      <c r="C59" s="17">
        <v>0</v>
      </c>
      <c r="D59" s="17">
        <f>C59</f>
        <v>0</v>
      </c>
    </row>
    <row r="60" spans="1:4" ht="16" thickBot="1" x14ac:dyDescent="0.4">
      <c r="A60" s="95"/>
      <c r="B60" s="24" t="s">
        <v>43</v>
      </c>
      <c r="C60" s="18" t="s">
        <v>157</v>
      </c>
      <c r="D60" s="18">
        <f>D58-D59</f>
        <v>891</v>
      </c>
    </row>
    <row r="61" spans="1:4" ht="16" thickBot="1" x14ac:dyDescent="0.4">
      <c r="A61" s="93" t="s">
        <v>7</v>
      </c>
      <c r="B61" s="16" t="s">
        <v>130</v>
      </c>
      <c r="C61" s="17">
        <v>175.76</v>
      </c>
      <c r="D61" s="17">
        <f>C61</f>
        <v>175.76</v>
      </c>
    </row>
    <row r="62" spans="1:4" ht="16" thickBot="1" x14ac:dyDescent="0.4">
      <c r="A62" s="94"/>
      <c r="B62" s="16" t="s">
        <v>131</v>
      </c>
      <c r="C62" s="17">
        <v>0</v>
      </c>
      <c r="D62" s="17">
        <v>0</v>
      </c>
    </row>
    <row r="63" spans="1:4" ht="16" thickBot="1" x14ac:dyDescent="0.4">
      <c r="A63" s="95"/>
      <c r="B63" s="24" t="s">
        <v>129</v>
      </c>
      <c r="C63" s="18" t="s">
        <v>157</v>
      </c>
      <c r="D63" s="18">
        <f>D61-D62</f>
        <v>175.76</v>
      </c>
    </row>
    <row r="64" spans="1:4" ht="16" thickBot="1" x14ac:dyDescent="0.4">
      <c r="A64" s="93" t="s">
        <v>9</v>
      </c>
      <c r="B64" s="16" t="s">
        <v>133</v>
      </c>
      <c r="C64" s="17">
        <v>11.92</v>
      </c>
      <c r="D64" s="17">
        <f>C64</f>
        <v>11.92</v>
      </c>
    </row>
    <row r="65" spans="1:4" ht="16" thickBot="1" x14ac:dyDescent="0.4">
      <c r="A65" s="94"/>
      <c r="B65" s="16" t="s">
        <v>131</v>
      </c>
      <c r="C65" s="17">
        <v>0</v>
      </c>
      <c r="D65" s="17">
        <f>C65</f>
        <v>0</v>
      </c>
    </row>
    <row r="66" spans="1:4" ht="16" thickBot="1" x14ac:dyDescent="0.4">
      <c r="A66" s="95"/>
      <c r="B66" s="24" t="s">
        <v>134</v>
      </c>
      <c r="C66" s="18" t="s">
        <v>157</v>
      </c>
      <c r="D66" s="18">
        <f>D64-D65</f>
        <v>11.92</v>
      </c>
    </row>
    <row r="67" spans="1:4" ht="16" thickBot="1" x14ac:dyDescent="0.4">
      <c r="A67" s="93" t="s">
        <v>11</v>
      </c>
      <c r="B67" s="16" t="s">
        <v>135</v>
      </c>
      <c r="C67" s="17">
        <v>2.75</v>
      </c>
      <c r="D67" s="17">
        <f>C67</f>
        <v>2.75</v>
      </c>
    </row>
    <row r="68" spans="1:4" ht="16" thickBot="1" x14ac:dyDescent="0.4">
      <c r="A68" s="94"/>
      <c r="B68" s="16" t="s">
        <v>40</v>
      </c>
      <c r="C68" s="17">
        <v>0</v>
      </c>
      <c r="D68" s="17">
        <v>0</v>
      </c>
    </row>
    <row r="69" spans="1:4" ht="16" thickBot="1" x14ac:dyDescent="0.4">
      <c r="A69" s="95"/>
      <c r="B69" s="24" t="s">
        <v>136</v>
      </c>
      <c r="C69" s="18" t="s">
        <v>157</v>
      </c>
      <c r="D69" s="18">
        <f>D67-D68</f>
        <v>2.75</v>
      </c>
    </row>
    <row r="70" spans="1:4" ht="16" thickBot="1" x14ac:dyDescent="0.4">
      <c r="A70" s="89" t="s">
        <v>13</v>
      </c>
      <c r="B70" s="90"/>
      <c r="C70" s="91"/>
      <c r="D70" s="18">
        <f>D57+D60+D63+D66+D69</f>
        <v>1143.58</v>
      </c>
    </row>
    <row r="71" spans="1:4" ht="6" customHeight="1" x14ac:dyDescent="0.35"/>
    <row r="72" spans="1:4" x14ac:dyDescent="0.35">
      <c r="A72" s="96" t="s">
        <v>44</v>
      </c>
      <c r="B72" s="96"/>
      <c r="C72" s="96"/>
      <c r="D72" s="96"/>
    </row>
    <row r="73" spans="1:4" ht="6" customHeight="1" thickBot="1" x14ac:dyDescent="0.4"/>
    <row r="74" spans="1:4" ht="16" thickBot="1" x14ac:dyDescent="0.4">
      <c r="A74" s="13">
        <v>2</v>
      </c>
      <c r="B74" s="89" t="s">
        <v>45</v>
      </c>
      <c r="C74" s="91"/>
      <c r="D74" s="14" t="s">
        <v>2</v>
      </c>
    </row>
    <row r="75" spans="1:4" ht="16" thickBot="1" x14ac:dyDescent="0.4">
      <c r="A75" s="15" t="s">
        <v>16</v>
      </c>
      <c r="B75" s="87" t="s">
        <v>46</v>
      </c>
      <c r="C75" s="88"/>
      <c r="D75" s="20">
        <f>D36</f>
        <v>332.91999999999996</v>
      </c>
    </row>
    <row r="76" spans="1:4" ht="16" thickBot="1" x14ac:dyDescent="0.4">
      <c r="A76" s="15" t="s">
        <v>20</v>
      </c>
      <c r="B76" s="87" t="s">
        <v>21</v>
      </c>
      <c r="C76" s="88">
        <f>D50</f>
        <v>1225.6299999999999</v>
      </c>
      <c r="D76" s="20">
        <f>D50</f>
        <v>1225.6299999999999</v>
      </c>
    </row>
    <row r="77" spans="1:4" ht="16" thickBot="1" x14ac:dyDescent="0.4">
      <c r="A77" s="15" t="s">
        <v>37</v>
      </c>
      <c r="B77" s="87" t="s">
        <v>38</v>
      </c>
      <c r="C77" s="88">
        <f>C70</f>
        <v>0</v>
      </c>
      <c r="D77" s="20">
        <f>D70</f>
        <v>1143.58</v>
      </c>
    </row>
    <row r="78" spans="1:4" ht="16" thickBot="1" x14ac:dyDescent="0.4">
      <c r="A78" s="89" t="s">
        <v>13</v>
      </c>
      <c r="B78" s="90"/>
      <c r="C78" s="91"/>
      <c r="D78" s="21">
        <f>SUM(D75:D77)</f>
        <v>2702.1299999999997</v>
      </c>
    </row>
    <row r="79" spans="1:4" ht="12" customHeight="1" x14ac:dyDescent="0.35">
      <c r="A79" s="25"/>
    </row>
    <row r="80" spans="1:4" x14ac:dyDescent="0.35">
      <c r="A80" s="92" t="s">
        <v>47</v>
      </c>
      <c r="B80" s="92"/>
      <c r="C80" s="92"/>
      <c r="D80" s="92"/>
    </row>
    <row r="81" spans="1:4" ht="6" customHeight="1" x14ac:dyDescent="0.35"/>
    <row r="82" spans="1:4" x14ac:dyDescent="0.35">
      <c r="A82" s="96" t="s">
        <v>48</v>
      </c>
      <c r="B82" s="96"/>
      <c r="C82" s="96"/>
      <c r="D82" s="96"/>
    </row>
    <row r="83" spans="1:4" ht="6" customHeight="1" thickBot="1" x14ac:dyDescent="0.4"/>
    <row r="84" spans="1:4" ht="16" thickBot="1" x14ac:dyDescent="0.4">
      <c r="A84" s="13" t="s">
        <v>49</v>
      </c>
      <c r="B84" s="89" t="s">
        <v>50</v>
      </c>
      <c r="C84" s="91"/>
      <c r="D84" s="14" t="s">
        <v>2</v>
      </c>
    </row>
    <row r="85" spans="1:4" ht="16" thickBot="1" x14ac:dyDescent="0.4">
      <c r="A85" s="15" t="s">
        <v>3</v>
      </c>
      <c r="B85" s="87" t="s">
        <v>50</v>
      </c>
      <c r="C85" s="88"/>
      <c r="D85" s="20">
        <f>ROUND(((D27+D78-D49)/12)*0.1656*0.5,2)</f>
        <v>37.49</v>
      </c>
    </row>
    <row r="86" spans="1:4" ht="16" thickBot="1" x14ac:dyDescent="0.4">
      <c r="A86" s="15" t="s">
        <v>5</v>
      </c>
      <c r="B86" s="87" t="s">
        <v>51</v>
      </c>
      <c r="C86" s="88"/>
      <c r="D86" s="20">
        <f>ROUND((D27+D36)*0.08*0.4*0.1656*0.5,2)</f>
        <v>8.82</v>
      </c>
    </row>
    <row r="87" spans="1:4" ht="16" thickBot="1" x14ac:dyDescent="0.4">
      <c r="A87" s="89" t="s">
        <v>13</v>
      </c>
      <c r="B87" s="90"/>
      <c r="C87" s="91"/>
      <c r="D87" s="21">
        <f>D85+D86</f>
        <v>46.31</v>
      </c>
    </row>
    <row r="88" spans="1:4" ht="6" customHeight="1" x14ac:dyDescent="0.35"/>
    <row r="89" spans="1:4" x14ac:dyDescent="0.35">
      <c r="A89" s="96" t="s">
        <v>52</v>
      </c>
      <c r="B89" s="96"/>
      <c r="C89" s="96"/>
      <c r="D89" s="96"/>
    </row>
    <row r="90" spans="1:4" ht="6" customHeight="1" thickBot="1" x14ac:dyDescent="0.4"/>
    <row r="91" spans="1:4" ht="16" thickBot="1" x14ac:dyDescent="0.4">
      <c r="A91" s="13" t="s">
        <v>53</v>
      </c>
      <c r="B91" s="89" t="s">
        <v>54</v>
      </c>
      <c r="C91" s="91"/>
      <c r="D91" s="14" t="s">
        <v>2</v>
      </c>
    </row>
    <row r="92" spans="1:4" ht="16" thickBot="1" x14ac:dyDescent="0.4">
      <c r="A92" s="15" t="s">
        <v>3</v>
      </c>
      <c r="B92" s="87" t="s">
        <v>54</v>
      </c>
      <c r="C92" s="88"/>
      <c r="D92" s="20">
        <f>ROUND(((D27+D78)/12)*0.1656*0.5,2)</f>
        <v>39.33</v>
      </c>
    </row>
    <row r="93" spans="1:4" ht="16" thickBot="1" x14ac:dyDescent="0.4">
      <c r="A93" s="15" t="s">
        <v>5</v>
      </c>
      <c r="B93" s="87" t="s">
        <v>55</v>
      </c>
      <c r="C93" s="88"/>
      <c r="D93" s="20">
        <f>ROUND((D27+D36)*0.08*0.4*0.1656*0.5,2)</f>
        <v>8.82</v>
      </c>
    </row>
    <row r="94" spans="1:4" ht="16" thickBot="1" x14ac:dyDescent="0.4">
      <c r="A94" s="89" t="s">
        <v>13</v>
      </c>
      <c r="B94" s="90"/>
      <c r="C94" s="91"/>
      <c r="D94" s="21">
        <f>D92+D93</f>
        <v>48.15</v>
      </c>
    </row>
    <row r="95" spans="1:4" ht="6" customHeight="1" x14ac:dyDescent="0.35"/>
    <row r="96" spans="1:4" x14ac:dyDescent="0.35">
      <c r="A96" s="96" t="s">
        <v>56</v>
      </c>
      <c r="B96" s="96"/>
      <c r="C96" s="96"/>
      <c r="D96" s="96"/>
    </row>
    <row r="97" spans="1:4" ht="6" customHeight="1" thickBot="1" x14ac:dyDescent="0.4"/>
    <row r="98" spans="1:4" ht="16" thickBot="1" x14ac:dyDescent="0.4">
      <c r="A98" s="13" t="s">
        <v>66</v>
      </c>
      <c r="B98" s="89" t="s">
        <v>57</v>
      </c>
      <c r="C98" s="91"/>
      <c r="D98" s="14" t="s">
        <v>2</v>
      </c>
    </row>
    <row r="99" spans="1:4" ht="16" thickBot="1" x14ac:dyDescent="0.4">
      <c r="A99" s="15" t="s">
        <v>3</v>
      </c>
      <c r="B99" s="87" t="s">
        <v>58</v>
      </c>
      <c r="C99" s="88"/>
      <c r="D99" s="26">
        <f>-D87</f>
        <v>-46.31</v>
      </c>
    </row>
    <row r="100" spans="1:4" ht="16" thickBot="1" x14ac:dyDescent="0.4">
      <c r="A100" s="15" t="s">
        <v>5</v>
      </c>
      <c r="B100" s="87" t="s">
        <v>59</v>
      </c>
      <c r="C100" s="88"/>
      <c r="D100" s="26">
        <f>-D94</f>
        <v>-48.15</v>
      </c>
    </row>
    <row r="101" spans="1:4" ht="16.5" customHeight="1" thickBot="1" x14ac:dyDescent="0.4">
      <c r="A101" s="89" t="s">
        <v>60</v>
      </c>
      <c r="B101" s="90"/>
      <c r="C101" s="91"/>
      <c r="D101" s="27">
        <f>D99+D100</f>
        <v>-94.460000000000008</v>
      </c>
    </row>
    <row r="102" spans="1:4" ht="16.5" customHeight="1" thickBot="1" x14ac:dyDescent="0.4">
      <c r="A102" s="89" t="s">
        <v>61</v>
      </c>
      <c r="B102" s="90"/>
      <c r="C102" s="91"/>
      <c r="D102" s="27">
        <f>D101*0.0454</f>
        <v>-4.2884840000000004</v>
      </c>
    </row>
    <row r="103" spans="1:4" ht="6" customHeight="1" x14ac:dyDescent="0.35"/>
    <row r="104" spans="1:4" x14ac:dyDescent="0.35">
      <c r="A104" s="96" t="s">
        <v>62</v>
      </c>
      <c r="B104" s="96"/>
      <c r="C104" s="96"/>
      <c r="D104" s="96"/>
    </row>
    <row r="105" spans="1:4" ht="6" customHeight="1" thickBot="1" x14ac:dyDescent="0.4"/>
    <row r="106" spans="1:4" ht="16" thickBot="1" x14ac:dyDescent="0.4">
      <c r="A106" s="13">
        <v>3</v>
      </c>
      <c r="B106" s="89" t="s">
        <v>63</v>
      </c>
      <c r="C106" s="91"/>
      <c r="D106" s="14" t="s">
        <v>2</v>
      </c>
    </row>
    <row r="107" spans="1:4" ht="16" thickBot="1" x14ac:dyDescent="0.4">
      <c r="A107" s="15" t="s">
        <v>49</v>
      </c>
      <c r="B107" s="87" t="s">
        <v>64</v>
      </c>
      <c r="C107" s="88">
        <f>C87</f>
        <v>0</v>
      </c>
      <c r="D107" s="20">
        <f>D87</f>
        <v>46.31</v>
      </c>
    </row>
    <row r="108" spans="1:4" ht="16" thickBot="1" x14ac:dyDescent="0.4">
      <c r="A108" s="15" t="s">
        <v>53</v>
      </c>
      <c r="B108" s="87" t="s">
        <v>65</v>
      </c>
      <c r="C108" s="88">
        <f>C94</f>
        <v>0</v>
      </c>
      <c r="D108" s="20">
        <f>D94</f>
        <v>48.15</v>
      </c>
    </row>
    <row r="109" spans="1:4" ht="16" thickBot="1" x14ac:dyDescent="0.4">
      <c r="A109" s="15" t="s">
        <v>66</v>
      </c>
      <c r="B109" s="87" t="s">
        <v>61</v>
      </c>
      <c r="C109" s="88">
        <f>C102</f>
        <v>0</v>
      </c>
      <c r="D109" s="26">
        <f>D102</f>
        <v>-4.2884840000000004</v>
      </c>
    </row>
    <row r="110" spans="1:4" ht="16" thickBot="1" x14ac:dyDescent="0.4">
      <c r="A110" s="89" t="s">
        <v>13</v>
      </c>
      <c r="B110" s="90"/>
      <c r="C110" s="91"/>
      <c r="D110" s="21">
        <f>SUM(D107:D109)</f>
        <v>90.171516000000011</v>
      </c>
    </row>
    <row r="111" spans="1:4" ht="12" customHeight="1" x14ac:dyDescent="0.35"/>
    <row r="112" spans="1:4" x14ac:dyDescent="0.35">
      <c r="A112" s="92" t="s">
        <v>67</v>
      </c>
      <c r="B112" s="92"/>
      <c r="C112" s="92"/>
      <c r="D112" s="92"/>
    </row>
    <row r="113" spans="1:4" ht="6" customHeight="1" x14ac:dyDescent="0.35"/>
    <row r="114" spans="1:4" x14ac:dyDescent="0.35">
      <c r="A114" s="96" t="s">
        <v>68</v>
      </c>
      <c r="B114" s="96"/>
      <c r="C114" s="96"/>
      <c r="D114" s="34"/>
    </row>
    <row r="115" spans="1:4" ht="6" customHeight="1" thickBot="1" x14ac:dyDescent="0.4">
      <c r="A115" s="19"/>
    </row>
    <row r="116" spans="1:4" ht="16" thickBot="1" x14ac:dyDescent="0.4">
      <c r="A116" s="13" t="s">
        <v>69</v>
      </c>
      <c r="B116" s="14" t="s">
        <v>70</v>
      </c>
      <c r="C116" s="14" t="s">
        <v>184</v>
      </c>
      <c r="D116" s="14" t="s">
        <v>2</v>
      </c>
    </row>
    <row r="117" spans="1:4" ht="16" thickBot="1" x14ac:dyDescent="0.4">
      <c r="A117" s="15" t="s">
        <v>3</v>
      </c>
      <c r="B117" s="16" t="s">
        <v>71</v>
      </c>
      <c r="C117" s="29">
        <f>D117/D27</f>
        <v>0.14913363446513522</v>
      </c>
      <c r="D117" s="20">
        <f>ROUND(((($D$27+$D$78+$D$110)/22)*20.3836)/12,2)</f>
        <v>447.04</v>
      </c>
    </row>
    <row r="118" spans="1:4" ht="16" thickBot="1" x14ac:dyDescent="0.4">
      <c r="A118" s="15" t="s">
        <v>5</v>
      </c>
      <c r="B118" s="16" t="s">
        <v>72</v>
      </c>
      <c r="C118" s="29">
        <f>'[1]MO - Supervisor(a)'!$P$35</f>
        <v>2.8E-3</v>
      </c>
      <c r="D118" s="20">
        <f>ROUND(($D$27+$D$78+$D$110)*C118,2)</f>
        <v>16.21</v>
      </c>
    </row>
    <row r="119" spans="1:4" ht="16" thickBot="1" x14ac:dyDescent="0.4">
      <c r="A119" s="15" t="s">
        <v>7</v>
      </c>
      <c r="B119" s="16" t="s">
        <v>73</v>
      </c>
      <c r="C119" s="29">
        <f>'[1]MO - Supervisor(a)'!$P$36</f>
        <v>3.5E-4</v>
      </c>
      <c r="D119" s="20">
        <f t="shared" ref="D119:D128" si="1">ROUND(($D$27+$D$78+$D$110)*C119,2)</f>
        <v>2.0299999999999998</v>
      </c>
    </row>
    <row r="120" spans="1:4" ht="16" thickBot="1" x14ac:dyDescent="0.4">
      <c r="A120" s="15" t="s">
        <v>9</v>
      </c>
      <c r="B120" s="16" t="s">
        <v>74</v>
      </c>
      <c r="C120" s="29">
        <f>'[1]MO - Supervisor(a)'!$P$37</f>
        <v>0</v>
      </c>
      <c r="D120" s="20">
        <f t="shared" si="1"/>
        <v>0</v>
      </c>
    </row>
    <row r="121" spans="1:4" ht="16" thickBot="1" x14ac:dyDescent="0.4">
      <c r="A121" s="15" t="s">
        <v>11</v>
      </c>
      <c r="B121" s="16" t="s">
        <v>75</v>
      </c>
      <c r="C121" s="29">
        <f>'[1]MO - Supervisor(a)'!$P$38</f>
        <v>0</v>
      </c>
      <c r="D121" s="20">
        <f t="shared" si="1"/>
        <v>0</v>
      </c>
    </row>
    <row r="122" spans="1:4" ht="16" thickBot="1" x14ac:dyDescent="0.4">
      <c r="A122" s="15" t="s">
        <v>28</v>
      </c>
      <c r="B122" s="16" t="s">
        <v>76</v>
      </c>
      <c r="C122" s="29">
        <f>'[1]MO - Supervisor(a)'!$P$39</f>
        <v>0</v>
      </c>
      <c r="D122" s="20">
        <f t="shared" si="1"/>
        <v>0</v>
      </c>
    </row>
    <row r="123" spans="1:4" ht="16" thickBot="1" x14ac:dyDescent="0.4">
      <c r="A123" s="15" t="s">
        <v>30</v>
      </c>
      <c r="B123" s="16" t="s">
        <v>77</v>
      </c>
      <c r="C123" s="29">
        <f>'[1]MO - Supervisor(a)'!$P$40</f>
        <v>0</v>
      </c>
      <c r="D123" s="20">
        <f t="shared" si="1"/>
        <v>0</v>
      </c>
    </row>
    <row r="124" spans="1:4" ht="16" thickBot="1" x14ac:dyDescent="0.4">
      <c r="A124" s="15" t="s">
        <v>33</v>
      </c>
      <c r="B124" s="16" t="s">
        <v>78</v>
      </c>
      <c r="C124" s="29">
        <f>'[1]MO - Supervisor(a)'!$P$41</f>
        <v>0</v>
      </c>
      <c r="D124" s="20">
        <f t="shared" si="1"/>
        <v>0</v>
      </c>
    </row>
    <row r="125" spans="1:4" ht="16" thickBot="1" x14ac:dyDescent="0.4">
      <c r="A125" s="15" t="s">
        <v>79</v>
      </c>
      <c r="B125" s="16" t="s">
        <v>80</v>
      </c>
      <c r="C125" s="29">
        <f>'[1]MO - Supervisor(a)'!$P$42</f>
        <v>0</v>
      </c>
      <c r="D125" s="20">
        <f t="shared" si="1"/>
        <v>0</v>
      </c>
    </row>
    <row r="126" spans="1:4" ht="16" thickBot="1" x14ac:dyDescent="0.4">
      <c r="A126" s="15" t="s">
        <v>81</v>
      </c>
      <c r="B126" s="16" t="s">
        <v>82</v>
      </c>
      <c r="C126" s="29">
        <f>'[1]MO - Supervisor(a)'!$P$43</f>
        <v>2.0000000000000001E-4</v>
      </c>
      <c r="D126" s="20">
        <f t="shared" si="1"/>
        <v>1.1599999999999999</v>
      </c>
    </row>
    <row r="127" spans="1:4" ht="16" thickBot="1" x14ac:dyDescent="0.4">
      <c r="A127" s="15" t="s">
        <v>83</v>
      </c>
      <c r="B127" s="16" t="s">
        <v>84</v>
      </c>
      <c r="C127" s="29">
        <f>'[1]MO - Supervisor(a)'!$P$44</f>
        <v>2.5000000000000001E-4</v>
      </c>
      <c r="D127" s="20">
        <f>ROUND(($D$27+$D$78+$D$110)*C127,2)</f>
        <v>1.45</v>
      </c>
    </row>
    <row r="128" spans="1:4" ht="16" thickBot="1" x14ac:dyDescent="0.4">
      <c r="A128" s="15" t="s">
        <v>85</v>
      </c>
      <c r="B128" s="16" t="s">
        <v>86</v>
      </c>
      <c r="C128" s="29">
        <f>'[1]MO - Supervisor(a)'!$P$45</f>
        <v>0</v>
      </c>
      <c r="D128" s="20">
        <f t="shared" si="1"/>
        <v>0</v>
      </c>
    </row>
    <row r="129" spans="1:4" ht="16" thickBot="1" x14ac:dyDescent="0.4">
      <c r="A129" s="89" t="s">
        <v>35</v>
      </c>
      <c r="B129" s="90"/>
      <c r="C129" s="91"/>
      <c r="D129" s="21">
        <f>SUM(D117:D128)</f>
        <v>467.89</v>
      </c>
    </row>
    <row r="130" spans="1:4" ht="6" customHeight="1" x14ac:dyDescent="0.35"/>
    <row r="131" spans="1:4" x14ac:dyDescent="0.35">
      <c r="A131" s="96" t="s">
        <v>87</v>
      </c>
      <c r="B131" s="96"/>
      <c r="C131" s="96"/>
      <c r="D131" s="96"/>
    </row>
    <row r="132" spans="1:4" ht="6" customHeight="1" thickBot="1" x14ac:dyDescent="0.4">
      <c r="A132" s="19"/>
    </row>
    <row r="133" spans="1:4" ht="16" thickBot="1" x14ac:dyDescent="0.4">
      <c r="A133" s="13" t="s">
        <v>88</v>
      </c>
      <c r="B133" s="89" t="s">
        <v>89</v>
      </c>
      <c r="C133" s="91"/>
      <c r="D133" s="14" t="s">
        <v>2</v>
      </c>
    </row>
    <row r="134" spans="1:4" ht="16" thickBot="1" x14ac:dyDescent="0.4">
      <c r="A134" s="15" t="s">
        <v>3</v>
      </c>
      <c r="B134" s="87" t="s">
        <v>90</v>
      </c>
      <c r="C134" s="88"/>
      <c r="D134" s="17">
        <v>0</v>
      </c>
    </row>
    <row r="135" spans="1:4" ht="16" thickBot="1" x14ac:dyDescent="0.4">
      <c r="A135" s="89" t="s">
        <v>13</v>
      </c>
      <c r="B135" s="90"/>
      <c r="C135" s="91"/>
      <c r="D135" s="18">
        <f>D134</f>
        <v>0</v>
      </c>
    </row>
    <row r="136" spans="1:4" ht="6" customHeight="1" x14ac:dyDescent="0.35"/>
    <row r="137" spans="1:4" x14ac:dyDescent="0.35">
      <c r="A137" s="96" t="s">
        <v>91</v>
      </c>
      <c r="B137" s="96"/>
      <c r="C137" s="96"/>
      <c r="D137" s="96"/>
    </row>
    <row r="138" spans="1:4" ht="6" customHeight="1" thickBot="1" x14ac:dyDescent="0.4">
      <c r="A138" s="19"/>
    </row>
    <row r="139" spans="1:4" ht="16" thickBot="1" x14ac:dyDescent="0.4">
      <c r="A139" s="13">
        <v>4</v>
      </c>
      <c r="B139" s="89" t="s">
        <v>92</v>
      </c>
      <c r="C139" s="91"/>
      <c r="D139" s="14" t="s">
        <v>2</v>
      </c>
    </row>
    <row r="140" spans="1:4" ht="16" thickBot="1" x14ac:dyDescent="0.4">
      <c r="A140" s="15" t="s">
        <v>69</v>
      </c>
      <c r="B140" s="87" t="s">
        <v>70</v>
      </c>
      <c r="C140" s="88"/>
      <c r="D140" s="20">
        <f>D129</f>
        <v>467.89</v>
      </c>
    </row>
    <row r="141" spans="1:4" ht="16" thickBot="1" x14ac:dyDescent="0.4">
      <c r="A141" s="15" t="s">
        <v>88</v>
      </c>
      <c r="B141" s="87" t="s">
        <v>89</v>
      </c>
      <c r="C141" s="88">
        <f>C135</f>
        <v>0</v>
      </c>
      <c r="D141" s="20">
        <f>D135</f>
        <v>0</v>
      </c>
    </row>
    <row r="142" spans="1:4" ht="16" thickBot="1" x14ac:dyDescent="0.4">
      <c r="A142" s="89" t="s">
        <v>13</v>
      </c>
      <c r="B142" s="90"/>
      <c r="C142" s="91"/>
      <c r="D142" s="21">
        <f>D140+D141</f>
        <v>467.89</v>
      </c>
    </row>
    <row r="143" spans="1:4" ht="12" customHeight="1" x14ac:dyDescent="0.35"/>
    <row r="144" spans="1:4" x14ac:dyDescent="0.35">
      <c r="A144" s="92" t="s">
        <v>93</v>
      </c>
      <c r="B144" s="92"/>
      <c r="C144" s="92"/>
      <c r="D144" s="92"/>
    </row>
    <row r="145" spans="1:4" ht="6" customHeight="1" thickBot="1" x14ac:dyDescent="0.4"/>
    <row r="146" spans="1:4" ht="16" thickBot="1" x14ac:dyDescent="0.4">
      <c r="A146" s="13">
        <v>5</v>
      </c>
      <c r="B146" s="89" t="s">
        <v>94</v>
      </c>
      <c r="C146" s="91"/>
      <c r="D146" s="14" t="s">
        <v>2</v>
      </c>
    </row>
    <row r="147" spans="1:4" ht="16" thickBot="1" x14ac:dyDescent="0.4">
      <c r="A147" s="15" t="s">
        <v>3</v>
      </c>
      <c r="B147" s="87" t="s">
        <v>95</v>
      </c>
      <c r="C147" s="88"/>
      <c r="D147" s="17">
        <f>'Grupo 1 - Uniformes'!F61</f>
        <v>62.223195991666671</v>
      </c>
    </row>
    <row r="148" spans="1:4" ht="16" thickBot="1" x14ac:dyDescent="0.4">
      <c r="A148" s="15" t="s">
        <v>5</v>
      </c>
      <c r="B148" s="87" t="s">
        <v>96</v>
      </c>
      <c r="C148" s="88">
        <v>0</v>
      </c>
      <c r="D148" s="17">
        <v>0</v>
      </c>
    </row>
    <row r="149" spans="1:4" ht="16" thickBot="1" x14ac:dyDescent="0.4">
      <c r="A149" s="15" t="s">
        <v>7</v>
      </c>
      <c r="B149" s="87" t="s">
        <v>97</v>
      </c>
      <c r="C149" s="88">
        <v>0</v>
      </c>
      <c r="D149" s="17">
        <v>0</v>
      </c>
    </row>
    <row r="150" spans="1:4" ht="16" thickBot="1" x14ac:dyDescent="0.4">
      <c r="A150" s="89" t="s">
        <v>35</v>
      </c>
      <c r="B150" s="90"/>
      <c r="C150" s="91"/>
      <c r="D150" s="18">
        <f>SUM(D147:D149)</f>
        <v>62.223195991666671</v>
      </c>
    </row>
    <row r="151" spans="1:4" ht="12" customHeight="1" x14ac:dyDescent="0.35"/>
    <row r="152" spans="1:4" x14ac:dyDescent="0.35">
      <c r="A152" s="92" t="s">
        <v>98</v>
      </c>
      <c r="B152" s="92"/>
      <c r="C152" s="92"/>
      <c r="D152" s="92"/>
    </row>
    <row r="153" spans="1:4" ht="6" customHeight="1" thickBot="1" x14ac:dyDescent="0.4"/>
    <row r="154" spans="1:4" ht="16" thickBot="1" x14ac:dyDescent="0.4">
      <c r="A154" s="13">
        <v>6</v>
      </c>
      <c r="B154" s="28" t="s">
        <v>99</v>
      </c>
      <c r="C154" s="14" t="s">
        <v>22</v>
      </c>
      <c r="D154" s="14" t="s">
        <v>2</v>
      </c>
    </row>
    <row r="155" spans="1:4" ht="16" thickBot="1" x14ac:dyDescent="0.4">
      <c r="A155" s="15" t="s">
        <v>3</v>
      </c>
      <c r="B155" s="16" t="s">
        <v>100</v>
      </c>
      <c r="C155" s="29">
        <f>'[1]MO - Supervisor(a)'!$P$49</f>
        <v>1.2500000000000001E-2</v>
      </c>
      <c r="D155" s="17">
        <f>ROUND(D174*C155,2)</f>
        <v>79</v>
      </c>
    </row>
    <row r="156" spans="1:4" ht="16" thickBot="1" x14ac:dyDescent="0.4">
      <c r="A156" s="15" t="s">
        <v>5</v>
      </c>
      <c r="B156" s="16" t="s">
        <v>101</v>
      </c>
      <c r="C156" s="29">
        <f>'[1]MO - Supervisor(a)'!$P$50</f>
        <v>9.9500000000000005E-3</v>
      </c>
      <c r="D156" s="17">
        <f>ROUND((D174+D155)*C156,2)</f>
        <v>63.67</v>
      </c>
    </row>
    <row r="157" spans="1:4" ht="16" thickBot="1" x14ac:dyDescent="0.4">
      <c r="A157" s="93" t="s">
        <v>7</v>
      </c>
      <c r="B157" s="16" t="s">
        <v>102</v>
      </c>
      <c r="C157" s="29">
        <f>C158+C161+C162</f>
        <v>8.5749999999999993E-2</v>
      </c>
      <c r="D157" s="17">
        <f>D158+D161+D162</f>
        <v>606.15</v>
      </c>
    </row>
    <row r="158" spans="1:4" ht="16" thickBot="1" x14ac:dyDescent="0.4">
      <c r="A158" s="94"/>
      <c r="B158" s="16" t="s">
        <v>103</v>
      </c>
      <c r="C158" s="29">
        <f>C159+C160</f>
        <v>3.5749999999999997E-2</v>
      </c>
      <c r="D158" s="17">
        <f>D159+D160</f>
        <v>252.70999999999998</v>
      </c>
    </row>
    <row r="159" spans="1:4" ht="16" thickBot="1" x14ac:dyDescent="0.4">
      <c r="A159" s="94"/>
      <c r="B159" s="16" t="s">
        <v>104</v>
      </c>
      <c r="C159" s="29">
        <f>'[1]MO - Supervisor(a)'!$P$51</f>
        <v>6.4999999999999997E-3</v>
      </c>
      <c r="D159" s="17">
        <f>ROUND((($D$174+$D$155+$D$156)/(1-$C$157))*C159,2)</f>
        <v>45.95</v>
      </c>
    </row>
    <row r="160" spans="1:4" ht="16" thickBot="1" x14ac:dyDescent="0.4">
      <c r="A160" s="94"/>
      <c r="B160" s="16" t="s">
        <v>105</v>
      </c>
      <c r="C160" s="29">
        <f>'[1]MO - Supervisor(a)'!$P$52</f>
        <v>2.9249999999999998E-2</v>
      </c>
      <c r="D160" s="17">
        <f>ROUND((($D$174+$D$155+$D$156)/(1-$C$157))*C160,2)</f>
        <v>206.76</v>
      </c>
    </row>
    <row r="161" spans="1:6" ht="16" thickBot="1" x14ac:dyDescent="0.4">
      <c r="A161" s="94"/>
      <c r="B161" s="16" t="s">
        <v>106</v>
      </c>
      <c r="C161" s="29">
        <v>0</v>
      </c>
      <c r="D161" s="17">
        <f>ROUND((($D$174+$D$155+$D$156)/(1-$C$157))*C161,2)</f>
        <v>0</v>
      </c>
    </row>
    <row r="162" spans="1:6" ht="16" thickBot="1" x14ac:dyDescent="0.4">
      <c r="A162" s="94"/>
      <c r="B162" s="16" t="s">
        <v>107</v>
      </c>
      <c r="C162" s="29">
        <f>C163</f>
        <v>0.05</v>
      </c>
      <c r="D162" s="17">
        <f>D163</f>
        <v>353.44</v>
      </c>
    </row>
    <row r="163" spans="1:6" ht="16" thickBot="1" x14ac:dyDescent="0.4">
      <c r="A163" s="95"/>
      <c r="B163" s="16" t="s">
        <v>108</v>
      </c>
      <c r="C163" s="29">
        <v>0.05</v>
      </c>
      <c r="D163" s="17">
        <f>ROUND((($D$174+$D$155+$D$156)/(1-$C$157))*C163,2)</f>
        <v>353.44</v>
      </c>
    </row>
    <row r="164" spans="1:6" ht="16" thickBot="1" x14ac:dyDescent="0.4">
      <c r="A164" s="89" t="s">
        <v>35</v>
      </c>
      <c r="B164" s="91"/>
      <c r="C164" s="30">
        <f>C155+C156+C157</f>
        <v>0.10819999999999999</v>
      </c>
      <c r="D164" s="18">
        <f>D155+D156+D157</f>
        <v>748.81999999999994</v>
      </c>
    </row>
    <row r="165" spans="1:6" ht="12" customHeight="1" x14ac:dyDescent="0.35">
      <c r="F165" s="31"/>
    </row>
    <row r="166" spans="1:6" x14ac:dyDescent="0.35">
      <c r="A166" s="92" t="s">
        <v>173</v>
      </c>
      <c r="B166" s="92"/>
      <c r="C166" s="92"/>
      <c r="D166" s="92"/>
    </row>
    <row r="167" spans="1:6" ht="6" customHeight="1" thickBot="1" x14ac:dyDescent="0.4"/>
    <row r="168" spans="1:6" ht="16" thickBot="1" x14ac:dyDescent="0.4">
      <c r="A168" s="13"/>
      <c r="B168" s="89" t="s">
        <v>109</v>
      </c>
      <c r="C168" s="91"/>
      <c r="D168" s="14" t="s">
        <v>2</v>
      </c>
    </row>
    <row r="169" spans="1:6" ht="16" thickBot="1" x14ac:dyDescent="0.4">
      <c r="A169" s="32" t="s">
        <v>3</v>
      </c>
      <c r="B169" s="87" t="s">
        <v>0</v>
      </c>
      <c r="C169" s="88"/>
      <c r="D169" s="20">
        <f>D27</f>
        <v>2997.58</v>
      </c>
    </row>
    <row r="170" spans="1:6" ht="16" thickBot="1" x14ac:dyDescent="0.4">
      <c r="A170" s="32" t="s">
        <v>5</v>
      </c>
      <c r="B170" s="87" t="s">
        <v>14</v>
      </c>
      <c r="C170" s="88">
        <f>C78</f>
        <v>0</v>
      </c>
      <c r="D170" s="20">
        <f>D78</f>
        <v>2702.1299999999997</v>
      </c>
    </row>
    <row r="171" spans="1:6" ht="16" thickBot="1" x14ac:dyDescent="0.4">
      <c r="A171" s="32" t="s">
        <v>7</v>
      </c>
      <c r="B171" s="87" t="s">
        <v>110</v>
      </c>
      <c r="C171" s="88">
        <f>C110</f>
        <v>0</v>
      </c>
      <c r="D171" s="20">
        <f>D110</f>
        <v>90.171516000000011</v>
      </c>
    </row>
    <row r="172" spans="1:6" ht="16" thickBot="1" x14ac:dyDescent="0.4">
      <c r="A172" s="32" t="s">
        <v>9</v>
      </c>
      <c r="B172" s="87" t="s">
        <v>67</v>
      </c>
      <c r="C172" s="88">
        <f>C142</f>
        <v>0</v>
      </c>
      <c r="D172" s="20">
        <f>D142</f>
        <v>467.89</v>
      </c>
    </row>
    <row r="173" spans="1:6" ht="16" thickBot="1" x14ac:dyDescent="0.4">
      <c r="A173" s="32" t="s">
        <v>11</v>
      </c>
      <c r="B173" s="87" t="s">
        <v>93</v>
      </c>
      <c r="C173" s="88">
        <f>C150</f>
        <v>0</v>
      </c>
      <c r="D173" s="17">
        <f>D150</f>
        <v>62.223195991666671</v>
      </c>
    </row>
    <row r="174" spans="1:6" ht="16.5" customHeight="1" thickBot="1" x14ac:dyDescent="0.4">
      <c r="A174" s="89" t="s">
        <v>177</v>
      </c>
      <c r="B174" s="90"/>
      <c r="C174" s="91"/>
      <c r="D174" s="21">
        <f>SUM(D169:D173)</f>
        <v>6319.9947119916669</v>
      </c>
    </row>
    <row r="175" spans="1:6" ht="16" thickBot="1" x14ac:dyDescent="0.4">
      <c r="A175" s="32" t="s">
        <v>28</v>
      </c>
      <c r="B175" s="87" t="s">
        <v>111</v>
      </c>
      <c r="C175" s="88">
        <f>D164</f>
        <v>748.81999999999994</v>
      </c>
      <c r="D175" s="20">
        <f>D164</f>
        <v>748.81999999999994</v>
      </c>
    </row>
    <row r="176" spans="1:6" ht="16.5" customHeight="1" thickBot="1" x14ac:dyDescent="0.4">
      <c r="A176" s="89" t="s">
        <v>112</v>
      </c>
      <c r="B176" s="90"/>
      <c r="C176" s="91"/>
      <c r="D176" s="21">
        <f>D174+D175</f>
        <v>7068.8147119916666</v>
      </c>
    </row>
  </sheetData>
  <mergeCells count="107">
    <mergeCell ref="A7:B7"/>
    <mergeCell ref="C7:D7"/>
    <mergeCell ref="A9:D9"/>
    <mergeCell ref="A11:B11"/>
    <mergeCell ref="C11:D11"/>
    <mergeCell ref="A12:B12"/>
    <mergeCell ref="C12:D12"/>
    <mergeCell ref="A1:D1"/>
    <mergeCell ref="A3:D3"/>
    <mergeCell ref="A5:B5"/>
    <mergeCell ref="C5:D5"/>
    <mergeCell ref="A6:B6"/>
    <mergeCell ref="C6:D6"/>
    <mergeCell ref="A16:B16"/>
    <mergeCell ref="C16:D16"/>
    <mergeCell ref="A17:B17"/>
    <mergeCell ref="C17:D17"/>
    <mergeCell ref="A19:D19"/>
    <mergeCell ref="B21:C21"/>
    <mergeCell ref="A13:B13"/>
    <mergeCell ref="C13:D13"/>
    <mergeCell ref="A14:B14"/>
    <mergeCell ref="C14:D14"/>
    <mergeCell ref="A15:B15"/>
    <mergeCell ref="C15:D15"/>
    <mergeCell ref="A29:D29"/>
    <mergeCell ref="A31:D31"/>
    <mergeCell ref="B33:C33"/>
    <mergeCell ref="B34:C34"/>
    <mergeCell ref="B35:C35"/>
    <mergeCell ref="A36:C36"/>
    <mergeCell ref="B22:C22"/>
    <mergeCell ref="B23:C23"/>
    <mergeCell ref="B24:C24"/>
    <mergeCell ref="B25:C25"/>
    <mergeCell ref="B26:C26"/>
    <mergeCell ref="A27:C27"/>
    <mergeCell ref="A61:A63"/>
    <mergeCell ref="A64:A66"/>
    <mergeCell ref="A67:A69"/>
    <mergeCell ref="A70:C70"/>
    <mergeCell ref="A72:D72"/>
    <mergeCell ref="B74:C74"/>
    <mergeCell ref="A38:D38"/>
    <mergeCell ref="A48:B48"/>
    <mergeCell ref="A50:B50"/>
    <mergeCell ref="A52:D52"/>
    <mergeCell ref="A55:A57"/>
    <mergeCell ref="A58:A60"/>
    <mergeCell ref="B84:C84"/>
    <mergeCell ref="B85:C85"/>
    <mergeCell ref="B86:C86"/>
    <mergeCell ref="A87:C87"/>
    <mergeCell ref="A89:D89"/>
    <mergeCell ref="B91:C91"/>
    <mergeCell ref="B75:C75"/>
    <mergeCell ref="B76:C76"/>
    <mergeCell ref="B77:C77"/>
    <mergeCell ref="A78:C78"/>
    <mergeCell ref="A80:D80"/>
    <mergeCell ref="A82:D82"/>
    <mergeCell ref="B100:C100"/>
    <mergeCell ref="A101:C101"/>
    <mergeCell ref="A102:C102"/>
    <mergeCell ref="A104:D104"/>
    <mergeCell ref="B106:C106"/>
    <mergeCell ref="B107:C107"/>
    <mergeCell ref="B92:C92"/>
    <mergeCell ref="B93:C93"/>
    <mergeCell ref="A94:C94"/>
    <mergeCell ref="A96:D96"/>
    <mergeCell ref="B98:C98"/>
    <mergeCell ref="B99:C99"/>
    <mergeCell ref="A131:D131"/>
    <mergeCell ref="B133:C133"/>
    <mergeCell ref="B134:C134"/>
    <mergeCell ref="A135:C135"/>
    <mergeCell ref="A137:D137"/>
    <mergeCell ref="B139:C139"/>
    <mergeCell ref="B108:C108"/>
    <mergeCell ref="B109:C109"/>
    <mergeCell ref="A110:C110"/>
    <mergeCell ref="A112:D112"/>
    <mergeCell ref="A114:C114"/>
    <mergeCell ref="A129:C129"/>
    <mergeCell ref="B148:C148"/>
    <mergeCell ref="B149:C149"/>
    <mergeCell ref="A150:C150"/>
    <mergeCell ref="A152:D152"/>
    <mergeCell ref="A157:A163"/>
    <mergeCell ref="A164:B164"/>
    <mergeCell ref="B140:C140"/>
    <mergeCell ref="B141:C141"/>
    <mergeCell ref="A142:C142"/>
    <mergeCell ref="A144:D144"/>
    <mergeCell ref="B146:C146"/>
    <mergeCell ref="B147:C147"/>
    <mergeCell ref="B173:C173"/>
    <mergeCell ref="A174:C174"/>
    <mergeCell ref="B175:C175"/>
    <mergeCell ref="A176:C176"/>
    <mergeCell ref="A166:D166"/>
    <mergeCell ref="B168:C168"/>
    <mergeCell ref="B169:C169"/>
    <mergeCell ref="B170:C170"/>
    <mergeCell ref="B171:C171"/>
    <mergeCell ref="B172:C172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1CEA-5EDF-44E9-A89E-F643F18D15AE}">
  <dimension ref="A1:F61"/>
  <sheetViews>
    <sheetView workbookViewId="0">
      <selection activeCell="G5" sqref="G5"/>
    </sheetView>
  </sheetViews>
  <sheetFormatPr defaultColWidth="9.1796875" defaultRowHeight="14.5" x14ac:dyDescent="0.35"/>
  <cols>
    <col min="1" max="1" width="16.26953125" style="1" bestFit="1" customWidth="1"/>
    <col min="2" max="2" width="15.81640625" style="1" bestFit="1" customWidth="1"/>
    <col min="3" max="3" width="15.81640625" style="1" customWidth="1"/>
    <col min="4" max="4" width="13.1796875" style="1" customWidth="1"/>
    <col min="5" max="5" width="14.453125" style="1" customWidth="1"/>
    <col min="6" max="6" width="15.453125" style="1" customWidth="1"/>
    <col min="7" max="16384" width="9.1796875" style="1"/>
  </cols>
  <sheetData>
    <row r="1" spans="1:6" ht="15.5" x14ac:dyDescent="0.35">
      <c r="A1" s="92" t="s">
        <v>212</v>
      </c>
      <c r="B1" s="92"/>
      <c r="C1" s="92"/>
      <c r="D1" s="92"/>
      <c r="E1" s="92"/>
      <c r="F1" s="92"/>
    </row>
    <row r="2" spans="1:6" ht="12" customHeight="1" x14ac:dyDescent="0.35">
      <c r="A2" s="35"/>
      <c r="B2" s="36"/>
      <c r="C2" s="37"/>
      <c r="D2" s="38"/>
      <c r="E2" s="38"/>
      <c r="F2" s="38"/>
    </row>
    <row r="3" spans="1:6" ht="15.5" x14ac:dyDescent="0.35">
      <c r="A3" s="92" t="s">
        <v>171</v>
      </c>
      <c r="B3" s="92"/>
      <c r="C3" s="92"/>
      <c r="D3" s="92"/>
      <c r="E3" s="92"/>
      <c r="F3" s="92"/>
    </row>
    <row r="4" spans="1:6" ht="6" customHeight="1" x14ac:dyDescent="0.35">
      <c r="A4" s="39"/>
      <c r="B4" s="39"/>
      <c r="C4" s="39"/>
      <c r="D4" s="39"/>
      <c r="E4" s="39"/>
      <c r="F4" s="39"/>
    </row>
    <row r="5" spans="1:6" s="10" customFormat="1" ht="46.5" x14ac:dyDescent="0.35">
      <c r="A5" s="48" t="s">
        <v>138</v>
      </c>
      <c r="B5" s="49" t="s">
        <v>139</v>
      </c>
      <c r="C5" s="50" t="s">
        <v>140</v>
      </c>
      <c r="D5" s="49" t="s">
        <v>141</v>
      </c>
      <c r="E5" s="49" t="s">
        <v>142</v>
      </c>
      <c r="F5" s="49" t="s">
        <v>143</v>
      </c>
    </row>
    <row r="6" spans="1:6" s="10" customFormat="1" ht="15.5" x14ac:dyDescent="0.35">
      <c r="A6" s="106" t="s">
        <v>213</v>
      </c>
      <c r="B6" s="52" t="s">
        <v>152</v>
      </c>
      <c r="C6" s="54">
        <f>[1]Uniformes!$AV$10</f>
        <v>41.321285000000003</v>
      </c>
      <c r="D6" s="51">
        <v>4</v>
      </c>
      <c r="E6" s="53">
        <f t="shared" ref="E6:E9" si="0">D6*C6</f>
        <v>165.28514000000001</v>
      </c>
      <c r="F6" s="54">
        <f>E6/12</f>
        <v>13.773761666666667</v>
      </c>
    </row>
    <row r="7" spans="1:6" s="10" customFormat="1" ht="15.5" x14ac:dyDescent="0.35">
      <c r="A7" s="106"/>
      <c r="B7" s="52" t="s">
        <v>214</v>
      </c>
      <c r="C7" s="54">
        <f>[1]Uniformes!$AV$11</f>
        <v>24.02</v>
      </c>
      <c r="D7" s="51">
        <v>8</v>
      </c>
      <c r="E7" s="53">
        <f t="shared" si="0"/>
        <v>192.16</v>
      </c>
      <c r="F7" s="54">
        <f t="shared" ref="F7:F9" si="1">E7/12</f>
        <v>16.013333333333332</v>
      </c>
    </row>
    <row r="8" spans="1:6" s="10" customFormat="1" ht="15.5" x14ac:dyDescent="0.35">
      <c r="A8" s="106"/>
      <c r="B8" s="52" t="s">
        <v>150</v>
      </c>
      <c r="C8" s="54">
        <f>[1]Uniformes!$AV$12</f>
        <v>4.5</v>
      </c>
      <c r="D8" s="51">
        <v>8</v>
      </c>
      <c r="E8" s="53">
        <f t="shared" si="0"/>
        <v>36</v>
      </c>
      <c r="F8" s="54">
        <f t="shared" si="1"/>
        <v>3</v>
      </c>
    </row>
    <row r="9" spans="1:6" s="10" customFormat="1" ht="15.5" x14ac:dyDescent="0.35">
      <c r="A9" s="106"/>
      <c r="B9" s="52" t="s">
        <v>215</v>
      </c>
      <c r="C9" s="54">
        <f>[1]Uniformes!$AV$13</f>
        <v>42.105000000000004</v>
      </c>
      <c r="D9" s="51">
        <v>4</v>
      </c>
      <c r="E9" s="53">
        <f t="shared" si="0"/>
        <v>168.42000000000002</v>
      </c>
      <c r="F9" s="54">
        <f t="shared" si="1"/>
        <v>14.035000000000002</v>
      </c>
    </row>
    <row r="10" spans="1:6" s="10" customFormat="1" ht="15.5" x14ac:dyDescent="0.35">
      <c r="A10" s="107" t="s">
        <v>216</v>
      </c>
      <c r="B10" s="107"/>
      <c r="C10" s="107"/>
      <c r="D10" s="107"/>
      <c r="E10" s="107"/>
      <c r="F10" s="55">
        <f>SUM(F6:F9)</f>
        <v>46.822095000000004</v>
      </c>
    </row>
    <row r="11" spans="1:6" ht="6" customHeight="1" x14ac:dyDescent="0.35">
      <c r="A11" s="39"/>
      <c r="B11" s="39"/>
      <c r="C11" s="39"/>
      <c r="D11" s="39"/>
      <c r="E11" s="39"/>
      <c r="F11" s="39"/>
    </row>
    <row r="12" spans="1:6" s="10" customFormat="1" ht="46.5" x14ac:dyDescent="0.35">
      <c r="A12" s="48" t="s">
        <v>138</v>
      </c>
      <c r="B12" s="49" t="s">
        <v>139</v>
      </c>
      <c r="C12" s="50" t="s">
        <v>140</v>
      </c>
      <c r="D12" s="49" t="s">
        <v>141</v>
      </c>
      <c r="E12" s="49" t="s">
        <v>142</v>
      </c>
      <c r="F12" s="49" t="s">
        <v>143</v>
      </c>
    </row>
    <row r="13" spans="1:6" s="10" customFormat="1" ht="15.5" x14ac:dyDescent="0.35">
      <c r="A13" s="106" t="s">
        <v>217</v>
      </c>
      <c r="B13" s="52" t="s">
        <v>152</v>
      </c>
      <c r="C13" s="54">
        <f>[1]Uniformes!$AV$17</f>
        <v>48.800903249999998</v>
      </c>
      <c r="D13" s="51">
        <v>4</v>
      </c>
      <c r="E13" s="53">
        <f t="shared" ref="E13:E18" si="2">D13*C13</f>
        <v>195.20361299999999</v>
      </c>
      <c r="F13" s="54">
        <f>E13/12</f>
        <v>16.266967749999999</v>
      </c>
    </row>
    <row r="14" spans="1:6" s="10" customFormat="1" ht="15.5" x14ac:dyDescent="0.35">
      <c r="A14" s="106"/>
      <c r="B14" s="52" t="s">
        <v>218</v>
      </c>
      <c r="C14" s="54">
        <f>[1]Uniformes!$AV$18</f>
        <v>42.854417499999997</v>
      </c>
      <c r="D14" s="51">
        <v>6</v>
      </c>
      <c r="E14" s="53">
        <f t="shared" si="2"/>
        <v>257.12650499999995</v>
      </c>
      <c r="F14" s="54">
        <f t="shared" ref="F14:F18" si="3">E14/12</f>
        <v>21.427208749999995</v>
      </c>
    </row>
    <row r="15" spans="1:6" s="10" customFormat="1" ht="15.5" x14ac:dyDescent="0.35">
      <c r="A15" s="106"/>
      <c r="B15" s="52" t="s">
        <v>214</v>
      </c>
      <c r="C15" s="54">
        <f>[1]Uniformes!$AV$19</f>
        <v>39</v>
      </c>
      <c r="D15" s="51">
        <v>8</v>
      </c>
      <c r="E15" s="53">
        <f t="shared" si="2"/>
        <v>312</v>
      </c>
      <c r="F15" s="54">
        <f t="shared" si="3"/>
        <v>26</v>
      </c>
    </row>
    <row r="16" spans="1:6" s="10" customFormat="1" ht="15.5" x14ac:dyDescent="0.35">
      <c r="A16" s="106"/>
      <c r="B16" s="52" t="s">
        <v>219</v>
      </c>
      <c r="C16" s="54">
        <f>[1]Uniformes!$AV$20</f>
        <v>18.566265000000001</v>
      </c>
      <c r="D16" s="51">
        <v>4</v>
      </c>
      <c r="E16" s="53">
        <f t="shared" si="2"/>
        <v>74.265060000000005</v>
      </c>
      <c r="F16" s="54">
        <f t="shared" si="3"/>
        <v>6.1887550000000005</v>
      </c>
    </row>
    <row r="17" spans="1:6" s="10" customFormat="1" ht="15.5" x14ac:dyDescent="0.35">
      <c r="A17" s="106"/>
      <c r="B17" s="52" t="s">
        <v>150</v>
      </c>
      <c r="C17" s="54">
        <f>[1]Uniformes!$AV$21</f>
        <v>8</v>
      </c>
      <c r="D17" s="51">
        <v>8</v>
      </c>
      <c r="E17" s="53">
        <f t="shared" si="2"/>
        <v>64</v>
      </c>
      <c r="F17" s="54">
        <f t="shared" si="3"/>
        <v>5.333333333333333</v>
      </c>
    </row>
    <row r="18" spans="1:6" s="10" customFormat="1" ht="15.5" x14ac:dyDescent="0.35">
      <c r="A18" s="106"/>
      <c r="B18" s="52" t="s">
        <v>215</v>
      </c>
      <c r="C18" s="54">
        <f>[1]Uniformes!$AV$22</f>
        <v>53</v>
      </c>
      <c r="D18" s="51">
        <v>4</v>
      </c>
      <c r="E18" s="53">
        <f t="shared" si="2"/>
        <v>212</v>
      </c>
      <c r="F18" s="54">
        <f t="shared" si="3"/>
        <v>17.666666666666668</v>
      </c>
    </row>
    <row r="19" spans="1:6" s="10" customFormat="1" ht="15.5" x14ac:dyDescent="0.35">
      <c r="A19" s="107" t="s">
        <v>220</v>
      </c>
      <c r="B19" s="107"/>
      <c r="C19" s="107"/>
      <c r="D19" s="107"/>
      <c r="E19" s="107"/>
      <c r="F19" s="55">
        <f>SUM(F13:F18)</f>
        <v>92.882931499999998</v>
      </c>
    </row>
    <row r="20" spans="1:6" s="10" customFormat="1" ht="15.5" x14ac:dyDescent="0.35">
      <c r="A20" s="106" t="s">
        <v>221</v>
      </c>
      <c r="B20" s="52" t="s">
        <v>222</v>
      </c>
      <c r="C20" s="54">
        <f>[1]Uniformes!$AV$26</f>
        <v>44.400451625000002</v>
      </c>
      <c r="D20" s="51">
        <v>4</v>
      </c>
      <c r="E20" s="53">
        <f t="shared" ref="E20:E26" si="4">D20*C20</f>
        <v>177.60180650000001</v>
      </c>
      <c r="F20" s="54">
        <f>E20/12</f>
        <v>14.800150541666667</v>
      </c>
    </row>
    <row r="21" spans="1:6" s="10" customFormat="1" ht="15.5" x14ac:dyDescent="0.35">
      <c r="A21" s="106"/>
      <c r="B21" s="52" t="s">
        <v>218</v>
      </c>
      <c r="C21" s="54">
        <f>[1]Uniformes!$AV$27</f>
        <v>40</v>
      </c>
      <c r="D21" s="51">
        <v>6</v>
      </c>
      <c r="E21" s="53">
        <f t="shared" si="4"/>
        <v>240</v>
      </c>
      <c r="F21" s="54">
        <f t="shared" ref="F21:F26" si="5">E21/12</f>
        <v>20</v>
      </c>
    </row>
    <row r="22" spans="1:6" s="10" customFormat="1" ht="15.5" x14ac:dyDescent="0.35">
      <c r="A22" s="106"/>
      <c r="B22" s="52" t="s">
        <v>214</v>
      </c>
      <c r="C22" s="54">
        <f>[1]Uniformes!$AV$28</f>
        <v>39</v>
      </c>
      <c r="D22" s="51">
        <v>8</v>
      </c>
      <c r="E22" s="53">
        <f t="shared" si="4"/>
        <v>312</v>
      </c>
      <c r="F22" s="54">
        <f t="shared" si="5"/>
        <v>26</v>
      </c>
    </row>
    <row r="23" spans="1:6" s="10" customFormat="1" ht="15.5" x14ac:dyDescent="0.35">
      <c r="A23" s="106"/>
      <c r="B23" s="52" t="s">
        <v>219</v>
      </c>
      <c r="C23" s="54">
        <f>[1]Uniformes!$AV$29</f>
        <v>16.132529999999999</v>
      </c>
      <c r="D23" s="51">
        <v>4</v>
      </c>
      <c r="E23" s="53">
        <f t="shared" si="4"/>
        <v>64.530119999999997</v>
      </c>
      <c r="F23" s="54">
        <f t="shared" si="5"/>
        <v>5.37751</v>
      </c>
    </row>
    <row r="24" spans="1:6" s="10" customFormat="1" ht="15.5" x14ac:dyDescent="0.35">
      <c r="A24" s="106"/>
      <c r="B24" s="52" t="s">
        <v>223</v>
      </c>
      <c r="C24" s="54">
        <f>[1]Uniformes!$AV$30</f>
        <v>9.1999999999999993</v>
      </c>
      <c r="D24" s="51">
        <v>4</v>
      </c>
      <c r="E24" s="53">
        <f t="shared" si="4"/>
        <v>36.799999999999997</v>
      </c>
      <c r="F24" s="54">
        <f>E24/12</f>
        <v>3.0666666666666664</v>
      </c>
    </row>
    <row r="25" spans="1:6" s="10" customFormat="1" ht="15.5" x14ac:dyDescent="0.35">
      <c r="A25" s="106"/>
      <c r="B25" s="52" t="s">
        <v>150</v>
      </c>
      <c r="C25" s="54">
        <f>[1]Uniformes!$AV$31</f>
        <v>8.16</v>
      </c>
      <c r="D25" s="51">
        <v>8</v>
      </c>
      <c r="E25" s="53">
        <f t="shared" si="4"/>
        <v>65.28</v>
      </c>
      <c r="F25" s="54">
        <f t="shared" si="5"/>
        <v>5.44</v>
      </c>
    </row>
    <row r="26" spans="1:6" s="10" customFormat="1" ht="15.5" x14ac:dyDescent="0.35">
      <c r="A26" s="106"/>
      <c r="B26" s="52" t="s">
        <v>215</v>
      </c>
      <c r="C26" s="54">
        <f>[1]Uniformes!$AV$32</f>
        <v>45.581576124999998</v>
      </c>
      <c r="D26" s="51">
        <v>4</v>
      </c>
      <c r="E26" s="53">
        <f t="shared" si="4"/>
        <v>182.32630449999999</v>
      </c>
      <c r="F26" s="54">
        <f t="shared" si="5"/>
        <v>15.193858708333332</v>
      </c>
    </row>
    <row r="27" spans="1:6" s="10" customFormat="1" ht="15.5" x14ac:dyDescent="0.35">
      <c r="A27" s="107" t="s">
        <v>224</v>
      </c>
      <c r="B27" s="107"/>
      <c r="C27" s="107"/>
      <c r="D27" s="107"/>
      <c r="E27" s="107"/>
      <c r="F27" s="55">
        <f>SUM(F20:F26)</f>
        <v>89.878185916666666</v>
      </c>
    </row>
    <row r="28" spans="1:6" s="10" customFormat="1" ht="15.5" x14ac:dyDescent="0.35">
      <c r="A28" s="107" t="s">
        <v>225</v>
      </c>
      <c r="B28" s="107"/>
      <c r="C28" s="107"/>
      <c r="D28" s="107"/>
      <c r="E28" s="107"/>
      <c r="F28" s="55">
        <f>(AVERAGE(F19,F27))</f>
        <v>91.380558708333325</v>
      </c>
    </row>
    <row r="29" spans="1:6" ht="6" customHeight="1" x14ac:dyDescent="0.35">
      <c r="A29" s="39"/>
      <c r="B29" s="39"/>
      <c r="C29" s="39"/>
      <c r="D29" s="39"/>
      <c r="E29" s="39"/>
      <c r="F29" s="39"/>
    </row>
    <row r="30" spans="1:6" s="10" customFormat="1" ht="46.5" x14ac:dyDescent="0.35">
      <c r="A30" s="48" t="s">
        <v>138</v>
      </c>
      <c r="B30" s="49" t="s">
        <v>139</v>
      </c>
      <c r="C30" s="50" t="s">
        <v>140</v>
      </c>
      <c r="D30" s="49" t="s">
        <v>141</v>
      </c>
      <c r="E30" s="49" t="s">
        <v>142</v>
      </c>
      <c r="F30" s="49" t="s">
        <v>143</v>
      </c>
    </row>
    <row r="31" spans="1:6" s="10" customFormat="1" ht="15.5" x14ac:dyDescent="0.35">
      <c r="A31" s="106" t="s">
        <v>226</v>
      </c>
      <c r="B31" s="52" t="s">
        <v>227</v>
      </c>
      <c r="C31" s="54">
        <f>[1]Uniformes!$AV$36</f>
        <v>122</v>
      </c>
      <c r="D31" s="51">
        <v>4</v>
      </c>
      <c r="E31" s="53">
        <f t="shared" ref="E31:E37" si="6">D31*C31</f>
        <v>488</v>
      </c>
      <c r="F31" s="54">
        <f>E31/12</f>
        <v>40.666666666666664</v>
      </c>
    </row>
    <row r="32" spans="1:6" s="10" customFormat="1" ht="15.5" x14ac:dyDescent="0.35">
      <c r="A32" s="106"/>
      <c r="B32" s="52" t="s">
        <v>147</v>
      </c>
      <c r="C32" s="54">
        <f>[1]Uniformes!$AV$37</f>
        <v>40</v>
      </c>
      <c r="D32" s="51">
        <v>8</v>
      </c>
      <c r="E32" s="53">
        <f t="shared" si="6"/>
        <v>320</v>
      </c>
      <c r="F32" s="54">
        <f t="shared" ref="F32:F37" si="7">E32/12</f>
        <v>26.666666666666668</v>
      </c>
    </row>
    <row r="33" spans="1:6" s="10" customFormat="1" ht="15.5" x14ac:dyDescent="0.35">
      <c r="A33" s="106"/>
      <c r="B33" s="52" t="s">
        <v>148</v>
      </c>
      <c r="C33" s="54">
        <f>[1]Uniformes!$AV$38</f>
        <v>10</v>
      </c>
      <c r="D33" s="51">
        <v>4</v>
      </c>
      <c r="E33" s="53">
        <f t="shared" si="6"/>
        <v>40</v>
      </c>
      <c r="F33" s="54">
        <f t="shared" si="7"/>
        <v>3.3333333333333335</v>
      </c>
    </row>
    <row r="34" spans="1:6" s="10" customFormat="1" ht="15.5" x14ac:dyDescent="0.35">
      <c r="A34" s="106"/>
      <c r="B34" s="52" t="s">
        <v>150</v>
      </c>
      <c r="C34" s="54">
        <f>[1]Uniformes!$AV$39</f>
        <v>8</v>
      </c>
      <c r="D34" s="51">
        <v>8</v>
      </c>
      <c r="E34" s="53">
        <f t="shared" si="6"/>
        <v>64</v>
      </c>
      <c r="F34" s="54">
        <f t="shared" si="7"/>
        <v>5.333333333333333</v>
      </c>
    </row>
    <row r="35" spans="1:6" s="10" customFormat="1" ht="15.5" x14ac:dyDescent="0.35">
      <c r="A35" s="106"/>
      <c r="B35" s="52" t="s">
        <v>149</v>
      </c>
      <c r="C35" s="54">
        <f>[1]Uniformes!$AV$40</f>
        <v>15.566265</v>
      </c>
      <c r="D35" s="51">
        <v>4</v>
      </c>
      <c r="E35" s="53">
        <f t="shared" si="6"/>
        <v>62.265059999999998</v>
      </c>
      <c r="F35" s="54">
        <f t="shared" si="7"/>
        <v>5.1887549999999996</v>
      </c>
    </row>
    <row r="36" spans="1:6" s="10" customFormat="1" ht="15.5" x14ac:dyDescent="0.35">
      <c r="A36" s="106"/>
      <c r="B36" s="52" t="s">
        <v>215</v>
      </c>
      <c r="C36" s="54">
        <f>[1]Uniformes!$AV$41</f>
        <v>53</v>
      </c>
      <c r="D36" s="51">
        <v>4</v>
      </c>
      <c r="E36" s="53">
        <f t="shared" ref="E36" si="8">D36*C36</f>
        <v>212</v>
      </c>
      <c r="F36" s="54">
        <f t="shared" ref="F36" si="9">E36/12</f>
        <v>17.666666666666668</v>
      </c>
    </row>
    <row r="37" spans="1:6" s="10" customFormat="1" ht="15.5" x14ac:dyDescent="0.35">
      <c r="A37" s="106"/>
      <c r="B37" s="52" t="s">
        <v>228</v>
      </c>
      <c r="C37" s="54">
        <f>[1]Uniformes!$AV$42</f>
        <v>122.3383525</v>
      </c>
      <c r="D37" s="51">
        <v>4</v>
      </c>
      <c r="E37" s="53">
        <f t="shared" si="6"/>
        <v>489.35341</v>
      </c>
      <c r="F37" s="54">
        <f t="shared" si="7"/>
        <v>40.779450833333335</v>
      </c>
    </row>
    <row r="38" spans="1:6" s="10" customFormat="1" ht="15.5" x14ac:dyDescent="0.35">
      <c r="A38" s="107" t="s">
        <v>229</v>
      </c>
      <c r="B38" s="107"/>
      <c r="C38" s="107"/>
      <c r="D38" s="107"/>
      <c r="E38" s="107"/>
      <c r="F38" s="55">
        <f>SUM(F31:F37)</f>
        <v>139.6348725</v>
      </c>
    </row>
    <row r="39" spans="1:6" s="10" customFormat="1" ht="15.5" x14ac:dyDescent="0.35">
      <c r="A39" s="106" t="s">
        <v>234</v>
      </c>
      <c r="B39" s="52" t="s">
        <v>227</v>
      </c>
      <c r="C39" s="54">
        <f>[1]Uniformes!$AV$46</f>
        <v>135</v>
      </c>
      <c r="D39" s="51">
        <v>4</v>
      </c>
      <c r="E39" s="53">
        <f t="shared" ref="E39:E45" si="10">D39*C39</f>
        <v>540</v>
      </c>
      <c r="F39" s="54">
        <f>E39/12</f>
        <v>45</v>
      </c>
    </row>
    <row r="40" spans="1:6" s="10" customFormat="1" ht="15.5" x14ac:dyDescent="0.35">
      <c r="A40" s="106"/>
      <c r="B40" s="52" t="s">
        <v>147</v>
      </c>
      <c r="C40" s="54">
        <f>[1]Uniformes!$AV$47</f>
        <v>40</v>
      </c>
      <c r="D40" s="51">
        <v>8</v>
      </c>
      <c r="E40" s="53">
        <f t="shared" si="10"/>
        <v>320</v>
      </c>
      <c r="F40" s="54">
        <f t="shared" ref="F40:F42" si="11">E40/12</f>
        <v>26.666666666666668</v>
      </c>
    </row>
    <row r="41" spans="1:6" s="10" customFormat="1" ht="15.5" x14ac:dyDescent="0.35">
      <c r="A41" s="106"/>
      <c r="B41" s="52" t="s">
        <v>230</v>
      </c>
      <c r="C41" s="54">
        <f>[1]Uniformes!$AV$48</f>
        <v>9.3000000000000007</v>
      </c>
      <c r="D41" s="51">
        <v>4</v>
      </c>
      <c r="E41" s="53">
        <f t="shared" si="10"/>
        <v>37.200000000000003</v>
      </c>
      <c r="F41" s="54">
        <f t="shared" si="11"/>
        <v>3.1</v>
      </c>
    </row>
    <row r="42" spans="1:6" s="10" customFormat="1" ht="15.5" x14ac:dyDescent="0.35">
      <c r="A42" s="106"/>
      <c r="B42" s="52" t="s">
        <v>150</v>
      </c>
      <c r="C42" s="54">
        <f>[1]Uniformes!$AV$49</f>
        <v>7</v>
      </c>
      <c r="D42" s="51">
        <v>8</v>
      </c>
      <c r="E42" s="53">
        <f t="shared" si="10"/>
        <v>56</v>
      </c>
      <c r="F42" s="54">
        <f t="shared" si="11"/>
        <v>4.666666666666667</v>
      </c>
    </row>
    <row r="43" spans="1:6" s="10" customFormat="1" ht="15.5" x14ac:dyDescent="0.35">
      <c r="A43" s="106"/>
      <c r="B43" s="52" t="s">
        <v>231</v>
      </c>
      <c r="C43" s="54">
        <f>[1]Uniformes!$AV$50</f>
        <v>10</v>
      </c>
      <c r="D43" s="51">
        <v>4</v>
      </c>
      <c r="E43" s="53">
        <f t="shared" si="10"/>
        <v>40</v>
      </c>
      <c r="F43" s="54">
        <f>E43/12</f>
        <v>3.3333333333333335</v>
      </c>
    </row>
    <row r="44" spans="1:6" s="10" customFormat="1" ht="15.5" x14ac:dyDescent="0.35">
      <c r="A44" s="106"/>
      <c r="B44" s="52" t="s">
        <v>215</v>
      </c>
      <c r="C44" s="54">
        <f>[1]Uniformes!$AV$51</f>
        <v>52.5</v>
      </c>
      <c r="D44" s="51">
        <v>4</v>
      </c>
      <c r="E44" s="53">
        <f t="shared" si="10"/>
        <v>210</v>
      </c>
      <c r="F44" s="54">
        <f t="shared" ref="F44:F45" si="12">E44/12</f>
        <v>17.5</v>
      </c>
    </row>
    <row r="45" spans="1:6" s="10" customFormat="1" ht="15.5" x14ac:dyDescent="0.35">
      <c r="A45" s="106"/>
      <c r="B45" s="52" t="s">
        <v>228</v>
      </c>
      <c r="C45" s="54">
        <f>[1]Uniformes!$AV$52</f>
        <v>122.3383525</v>
      </c>
      <c r="D45" s="51">
        <v>4</v>
      </c>
      <c r="E45" s="53">
        <f t="shared" si="10"/>
        <v>489.35341</v>
      </c>
      <c r="F45" s="54">
        <f t="shared" si="12"/>
        <v>40.779450833333335</v>
      </c>
    </row>
    <row r="46" spans="1:6" s="10" customFormat="1" ht="15.5" x14ac:dyDescent="0.35">
      <c r="A46" s="107" t="s">
        <v>232</v>
      </c>
      <c r="B46" s="107"/>
      <c r="C46" s="107"/>
      <c r="D46" s="107"/>
      <c r="E46" s="107"/>
      <c r="F46" s="55">
        <f>SUM(F39:F45)</f>
        <v>141.04611750000001</v>
      </c>
    </row>
    <row r="47" spans="1:6" s="10" customFormat="1" ht="15.5" x14ac:dyDescent="0.35">
      <c r="A47" s="107" t="s">
        <v>233</v>
      </c>
      <c r="B47" s="107"/>
      <c r="C47" s="107"/>
      <c r="D47" s="107"/>
      <c r="E47" s="107"/>
      <c r="F47" s="55">
        <f>(AVERAGE(F38,F46))</f>
        <v>140.340495</v>
      </c>
    </row>
    <row r="48" spans="1:6" ht="6" customHeight="1" x14ac:dyDescent="0.35">
      <c r="A48" s="39"/>
      <c r="B48" s="39"/>
      <c r="C48" s="39"/>
      <c r="D48" s="39"/>
      <c r="E48" s="39"/>
      <c r="F48" s="39"/>
    </row>
    <row r="49" spans="1:6" s="10" customFormat="1" ht="46.5" x14ac:dyDescent="0.35">
      <c r="A49" s="48" t="s">
        <v>138</v>
      </c>
      <c r="B49" s="49" t="s">
        <v>139</v>
      </c>
      <c r="C49" s="50" t="s">
        <v>140</v>
      </c>
      <c r="D49" s="49" t="s">
        <v>141</v>
      </c>
      <c r="E49" s="49" t="s">
        <v>142</v>
      </c>
      <c r="F49" s="49" t="s">
        <v>143</v>
      </c>
    </row>
    <row r="50" spans="1:6" s="10" customFormat="1" ht="15.5" x14ac:dyDescent="0.35">
      <c r="A50" s="106" t="s">
        <v>235</v>
      </c>
      <c r="B50" s="52" t="s">
        <v>152</v>
      </c>
      <c r="C50" s="54">
        <f>[1]Uniformes!$AV$56</f>
        <v>50</v>
      </c>
      <c r="D50" s="51">
        <v>4</v>
      </c>
      <c r="E50" s="53">
        <f t="shared" ref="E50:E53" si="13">D50*C50</f>
        <v>200</v>
      </c>
      <c r="F50" s="54">
        <f>E50/12</f>
        <v>16.666666666666668</v>
      </c>
    </row>
    <row r="51" spans="1:6" s="10" customFormat="1" ht="15.5" x14ac:dyDescent="0.35">
      <c r="A51" s="106"/>
      <c r="B51" s="52" t="s">
        <v>214</v>
      </c>
      <c r="C51" s="54">
        <f>[1]Uniformes!$AV$57</f>
        <v>30</v>
      </c>
      <c r="D51" s="51">
        <v>8</v>
      </c>
      <c r="E51" s="53">
        <f t="shared" si="13"/>
        <v>240</v>
      </c>
      <c r="F51" s="54">
        <f t="shared" ref="F51:F53" si="14">E51/12</f>
        <v>20</v>
      </c>
    </row>
    <row r="52" spans="1:6" s="10" customFormat="1" ht="15.5" x14ac:dyDescent="0.35">
      <c r="A52" s="106"/>
      <c r="B52" s="52" t="s">
        <v>150</v>
      </c>
      <c r="C52" s="54">
        <f>[1]Uniformes!$AV$58</f>
        <v>10.5</v>
      </c>
      <c r="D52" s="51">
        <v>8</v>
      </c>
      <c r="E52" s="53">
        <f t="shared" si="13"/>
        <v>84</v>
      </c>
      <c r="F52" s="54">
        <f t="shared" si="14"/>
        <v>7</v>
      </c>
    </row>
    <row r="53" spans="1:6" s="10" customFormat="1" ht="15.5" x14ac:dyDescent="0.35">
      <c r="A53" s="106"/>
      <c r="B53" s="52" t="s">
        <v>215</v>
      </c>
      <c r="C53" s="54">
        <f>[1]Uniformes!$AV$59</f>
        <v>45</v>
      </c>
      <c r="D53" s="51">
        <v>4</v>
      </c>
      <c r="E53" s="53">
        <f t="shared" si="13"/>
        <v>180</v>
      </c>
      <c r="F53" s="54">
        <f t="shared" si="14"/>
        <v>15</v>
      </c>
    </row>
    <row r="54" spans="1:6" s="10" customFormat="1" ht="15.5" x14ac:dyDescent="0.35">
      <c r="A54" s="107" t="s">
        <v>236</v>
      </c>
      <c r="B54" s="107"/>
      <c r="C54" s="107"/>
      <c r="D54" s="107"/>
      <c r="E54" s="107"/>
      <c r="F54" s="55">
        <f>SUM(F50:F53)</f>
        <v>58.666666666666671</v>
      </c>
    </row>
    <row r="55" spans="1:6" ht="6" customHeight="1" x14ac:dyDescent="0.35">
      <c r="A55" s="39"/>
      <c r="B55" s="39"/>
      <c r="C55" s="39"/>
      <c r="D55" s="39"/>
      <c r="E55" s="39"/>
      <c r="F55" s="39"/>
    </row>
    <row r="56" spans="1:6" s="10" customFormat="1" ht="46.5" x14ac:dyDescent="0.35">
      <c r="A56" s="48" t="s">
        <v>138</v>
      </c>
      <c r="B56" s="49" t="s">
        <v>139</v>
      </c>
      <c r="C56" s="50" t="s">
        <v>140</v>
      </c>
      <c r="D56" s="49" t="s">
        <v>141</v>
      </c>
      <c r="E56" s="49" t="s">
        <v>142</v>
      </c>
      <c r="F56" s="49" t="s">
        <v>143</v>
      </c>
    </row>
    <row r="57" spans="1:6" s="10" customFormat="1" ht="15.5" x14ac:dyDescent="0.35">
      <c r="A57" s="106" t="s">
        <v>237</v>
      </c>
      <c r="B57" s="52" t="s">
        <v>152</v>
      </c>
      <c r="C57" s="54">
        <f>[1]Uniformes!$AV$63</f>
        <v>43</v>
      </c>
      <c r="D57" s="51">
        <v>4</v>
      </c>
      <c r="E57" s="53">
        <f t="shared" ref="E57:E60" si="15">D57*C57</f>
        <v>172</v>
      </c>
      <c r="F57" s="54">
        <f>E57/12</f>
        <v>14.333333333333334</v>
      </c>
    </row>
    <row r="58" spans="1:6" s="10" customFormat="1" ht="15.5" x14ac:dyDescent="0.35">
      <c r="A58" s="106"/>
      <c r="B58" s="52" t="s">
        <v>147</v>
      </c>
      <c r="C58" s="54">
        <f>[1]Uniformes!$AV$64</f>
        <v>41.497615312500002</v>
      </c>
      <c r="D58" s="51">
        <v>8</v>
      </c>
      <c r="E58" s="53">
        <f t="shared" si="15"/>
        <v>331.98092250000002</v>
      </c>
      <c r="F58" s="54">
        <f t="shared" ref="F58:F60" si="16">E58/12</f>
        <v>27.665076875</v>
      </c>
    </row>
    <row r="59" spans="1:6" s="10" customFormat="1" ht="15.5" x14ac:dyDescent="0.35">
      <c r="A59" s="106"/>
      <c r="B59" s="52" t="s">
        <v>150</v>
      </c>
      <c r="C59" s="54">
        <f>[1]Uniformes!$AV$65</f>
        <v>5.3371786750000005</v>
      </c>
      <c r="D59" s="51">
        <v>8</v>
      </c>
      <c r="E59" s="53">
        <f t="shared" si="15"/>
        <v>42.697429400000004</v>
      </c>
      <c r="F59" s="54">
        <f t="shared" si="16"/>
        <v>3.558119116666667</v>
      </c>
    </row>
    <row r="60" spans="1:6" s="10" customFormat="1" ht="15.5" x14ac:dyDescent="0.35">
      <c r="A60" s="106"/>
      <c r="B60" s="52" t="s">
        <v>215</v>
      </c>
      <c r="C60" s="54">
        <f>[1]Uniformes!$AV$66</f>
        <v>50</v>
      </c>
      <c r="D60" s="51">
        <v>4</v>
      </c>
      <c r="E60" s="53">
        <f t="shared" si="15"/>
        <v>200</v>
      </c>
      <c r="F60" s="54">
        <f t="shared" si="16"/>
        <v>16.666666666666668</v>
      </c>
    </row>
    <row r="61" spans="1:6" s="10" customFormat="1" ht="15.5" x14ac:dyDescent="0.35">
      <c r="A61" s="107" t="s">
        <v>238</v>
      </c>
      <c r="B61" s="107"/>
      <c r="C61" s="107"/>
      <c r="D61" s="107"/>
      <c r="E61" s="107"/>
      <c r="F61" s="55">
        <f>SUM(F57:F60)</f>
        <v>62.223195991666671</v>
      </c>
    </row>
  </sheetData>
  <mergeCells count="18">
    <mergeCell ref="A39:A45"/>
    <mergeCell ref="A1:F1"/>
    <mergeCell ref="A3:F3"/>
    <mergeCell ref="A6:A9"/>
    <mergeCell ref="A10:E10"/>
    <mergeCell ref="A13:A18"/>
    <mergeCell ref="A19:E19"/>
    <mergeCell ref="A20:A26"/>
    <mergeCell ref="A27:E27"/>
    <mergeCell ref="A28:E28"/>
    <mergeCell ref="A31:A37"/>
    <mergeCell ref="A38:E38"/>
    <mergeCell ref="A57:A60"/>
    <mergeCell ref="A61:E61"/>
    <mergeCell ref="A46:E46"/>
    <mergeCell ref="A47:E47"/>
    <mergeCell ref="A50:A53"/>
    <mergeCell ref="A54:E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94BB-5EA6-418D-89E4-BA1B83A4A914}">
  <dimension ref="A1:H74"/>
  <sheetViews>
    <sheetView workbookViewId="0">
      <selection activeCell="F22" sqref="F22"/>
    </sheetView>
  </sheetViews>
  <sheetFormatPr defaultRowHeight="15.5" x14ac:dyDescent="0.35"/>
  <cols>
    <col min="1" max="1" width="22.7265625" style="59" customWidth="1"/>
    <col min="2" max="2" width="56.453125" style="59" customWidth="1"/>
    <col min="3" max="3" width="13.453125" style="59" bestFit="1" customWidth="1"/>
    <col min="4" max="4" width="13.453125" style="63" customWidth="1"/>
    <col min="5" max="5" width="13.453125" style="67" bestFit="1" customWidth="1"/>
    <col min="6" max="6" width="16.6328125" style="67" customWidth="1"/>
    <col min="7" max="7" width="13.453125" style="63" customWidth="1"/>
    <col min="8" max="8" width="14.26953125" style="63" customWidth="1"/>
    <col min="9" max="16384" width="8.7265625" style="59"/>
  </cols>
  <sheetData>
    <row r="1" spans="1:8" x14ac:dyDescent="0.35">
      <c r="A1" s="92" t="s">
        <v>374</v>
      </c>
      <c r="B1" s="92"/>
      <c r="C1" s="92"/>
      <c r="D1" s="92"/>
      <c r="E1" s="92"/>
      <c r="F1" s="92"/>
      <c r="G1" s="92"/>
      <c r="H1" s="92"/>
    </row>
    <row r="2" spans="1:8" ht="12" customHeight="1" x14ac:dyDescent="0.35">
      <c r="A2" s="117"/>
      <c r="B2" s="117"/>
      <c r="C2" s="117"/>
      <c r="D2" s="117"/>
      <c r="E2" s="117"/>
      <c r="F2" s="117"/>
      <c r="G2" s="117"/>
      <c r="H2" s="117"/>
    </row>
    <row r="3" spans="1:8" ht="31" x14ac:dyDescent="0.35">
      <c r="A3" s="49" t="s">
        <v>239</v>
      </c>
      <c r="B3" s="49" t="s">
        <v>288</v>
      </c>
      <c r="C3" s="49" t="s">
        <v>119</v>
      </c>
      <c r="D3" s="61" t="s">
        <v>289</v>
      </c>
      <c r="E3" s="64" t="s">
        <v>170</v>
      </c>
      <c r="F3" s="65" t="s">
        <v>291</v>
      </c>
      <c r="G3" s="61" t="s">
        <v>290</v>
      </c>
      <c r="H3" s="61" t="s">
        <v>292</v>
      </c>
    </row>
    <row r="4" spans="1:8" ht="16" customHeight="1" x14ac:dyDescent="0.35">
      <c r="A4" s="118" t="s">
        <v>253</v>
      </c>
      <c r="B4" s="60" t="s">
        <v>298</v>
      </c>
      <c r="C4" s="52" t="s">
        <v>299</v>
      </c>
      <c r="D4" s="62">
        <f>'[1]Insumos de Limpeza'!$X$10</f>
        <v>1.9</v>
      </c>
      <c r="E4" s="66">
        <v>48</v>
      </c>
      <c r="F4" s="66">
        <f>E4*30</f>
        <v>1440</v>
      </c>
      <c r="G4" s="62">
        <f>E4*D4</f>
        <v>91.199999999999989</v>
      </c>
      <c r="H4" s="62">
        <f>G4*30</f>
        <v>2735.9999999999995</v>
      </c>
    </row>
    <row r="5" spans="1:8" ht="16" customHeight="1" x14ac:dyDescent="0.35">
      <c r="A5" s="119"/>
      <c r="B5" s="60" t="s">
        <v>300</v>
      </c>
      <c r="C5" s="52" t="s">
        <v>301</v>
      </c>
      <c r="D5" s="62">
        <f>'[1]Insumos de Limpeza'!$X$11</f>
        <v>8.102238925</v>
      </c>
      <c r="E5" s="66">
        <v>15</v>
      </c>
      <c r="F5" s="66">
        <f t="shared" ref="F5:F40" si="0">E5*30</f>
        <v>450</v>
      </c>
      <c r="G5" s="62">
        <f>E5*D5</f>
        <v>121.53358387500001</v>
      </c>
      <c r="H5" s="62">
        <f t="shared" ref="H5:H14" si="1">G5*30</f>
        <v>3646.0075162500002</v>
      </c>
    </row>
    <row r="6" spans="1:8" ht="16" customHeight="1" x14ac:dyDescent="0.35">
      <c r="A6" s="119"/>
      <c r="B6" s="60" t="s">
        <v>302</v>
      </c>
      <c r="C6" s="52" t="s">
        <v>299</v>
      </c>
      <c r="D6" s="62">
        <f>'[1]Insumos de Limpeza'!$X$12</f>
        <v>5.8550000000000004</v>
      </c>
      <c r="E6" s="66">
        <v>48</v>
      </c>
      <c r="F6" s="66">
        <f t="shared" si="0"/>
        <v>1440</v>
      </c>
      <c r="G6" s="62">
        <f t="shared" ref="G6:G40" si="2">E6*D6</f>
        <v>281.04000000000002</v>
      </c>
      <c r="H6" s="62">
        <f t="shared" si="1"/>
        <v>8431.2000000000007</v>
      </c>
    </row>
    <row r="7" spans="1:8" ht="16" customHeight="1" x14ac:dyDescent="0.35">
      <c r="A7" s="119"/>
      <c r="B7" s="60" t="s">
        <v>303</v>
      </c>
      <c r="C7" s="52" t="s">
        <v>304</v>
      </c>
      <c r="D7" s="62">
        <f>'[1]Insumos de Limpeza'!$X$13</f>
        <v>28.82</v>
      </c>
      <c r="E7" s="66">
        <v>3</v>
      </c>
      <c r="F7" s="66">
        <f t="shared" si="0"/>
        <v>90</v>
      </c>
      <c r="G7" s="62">
        <f t="shared" si="2"/>
        <v>86.460000000000008</v>
      </c>
      <c r="H7" s="62">
        <f t="shared" si="1"/>
        <v>2593.8000000000002</v>
      </c>
    </row>
    <row r="8" spans="1:8" ht="16" customHeight="1" x14ac:dyDescent="0.35">
      <c r="A8" s="119"/>
      <c r="B8" s="60" t="s">
        <v>305</v>
      </c>
      <c r="C8" s="52" t="s">
        <v>306</v>
      </c>
      <c r="D8" s="62">
        <f>'[1]Insumos de Limpeza'!$X$14</f>
        <v>7.5250000000000004</v>
      </c>
      <c r="E8" s="66">
        <v>36</v>
      </c>
      <c r="F8" s="66">
        <f t="shared" si="0"/>
        <v>1080</v>
      </c>
      <c r="G8" s="62">
        <f t="shared" si="2"/>
        <v>270.90000000000003</v>
      </c>
      <c r="H8" s="62">
        <f t="shared" si="1"/>
        <v>8127.0000000000009</v>
      </c>
    </row>
    <row r="9" spans="1:8" ht="16" customHeight="1" x14ac:dyDescent="0.35">
      <c r="A9" s="119"/>
      <c r="B9" s="60" t="s">
        <v>307</v>
      </c>
      <c r="C9" s="52" t="s">
        <v>250</v>
      </c>
      <c r="D9" s="62">
        <f>'[1]Insumos de Limpeza'!$X$15</f>
        <v>3.7</v>
      </c>
      <c r="E9" s="66">
        <v>96</v>
      </c>
      <c r="F9" s="66">
        <f t="shared" si="0"/>
        <v>2880</v>
      </c>
      <c r="G9" s="62">
        <f t="shared" si="2"/>
        <v>355.20000000000005</v>
      </c>
      <c r="H9" s="62">
        <f t="shared" si="1"/>
        <v>10656.000000000002</v>
      </c>
    </row>
    <row r="10" spans="1:8" ht="16" customHeight="1" x14ac:dyDescent="0.35">
      <c r="A10" s="119"/>
      <c r="B10" s="60" t="s">
        <v>308</v>
      </c>
      <c r="C10" s="52" t="s">
        <v>250</v>
      </c>
      <c r="D10" s="62">
        <f>'[1]Insumos de Limpeza'!$X$16</f>
        <v>2.665</v>
      </c>
      <c r="E10" s="66">
        <v>200</v>
      </c>
      <c r="F10" s="66">
        <f t="shared" si="0"/>
        <v>6000</v>
      </c>
      <c r="G10" s="62">
        <f t="shared" si="2"/>
        <v>533</v>
      </c>
      <c r="H10" s="62">
        <f t="shared" si="1"/>
        <v>15990</v>
      </c>
    </row>
    <row r="11" spans="1:8" ht="16" customHeight="1" x14ac:dyDescent="0.35">
      <c r="A11" s="119"/>
      <c r="B11" s="60" t="s">
        <v>309</v>
      </c>
      <c r="C11" s="52" t="s">
        <v>304</v>
      </c>
      <c r="D11" s="62">
        <f>'[1]Insumos de Limpeza'!$X$17</f>
        <v>37.200000000000003</v>
      </c>
      <c r="E11" s="66">
        <v>1</v>
      </c>
      <c r="F11" s="66">
        <f t="shared" si="0"/>
        <v>30</v>
      </c>
      <c r="G11" s="62">
        <f t="shared" si="2"/>
        <v>37.200000000000003</v>
      </c>
      <c r="H11" s="62">
        <f t="shared" si="1"/>
        <v>1116</v>
      </c>
    </row>
    <row r="12" spans="1:8" ht="16" customHeight="1" x14ac:dyDescent="0.35">
      <c r="A12" s="119"/>
      <c r="B12" s="60" t="s">
        <v>310</v>
      </c>
      <c r="C12" s="52" t="s">
        <v>306</v>
      </c>
      <c r="D12" s="62">
        <f>'[1]Insumos de Limpeza'!$X$18</f>
        <v>2.98</v>
      </c>
      <c r="E12" s="66">
        <v>48</v>
      </c>
      <c r="F12" s="66">
        <f t="shared" si="0"/>
        <v>1440</v>
      </c>
      <c r="G12" s="62">
        <f t="shared" si="2"/>
        <v>143.04</v>
      </c>
      <c r="H12" s="62">
        <f t="shared" si="1"/>
        <v>4291.2</v>
      </c>
    </row>
    <row r="13" spans="1:8" ht="16" customHeight="1" x14ac:dyDescent="0.35">
      <c r="A13" s="119"/>
      <c r="B13" s="60" t="s">
        <v>311</v>
      </c>
      <c r="C13" s="52" t="s">
        <v>304</v>
      </c>
      <c r="D13" s="62">
        <f>'[1]Insumos de Limpeza'!$X$19</f>
        <v>40.49</v>
      </c>
      <c r="E13" s="66">
        <v>2</v>
      </c>
      <c r="F13" s="66">
        <f t="shared" si="0"/>
        <v>60</v>
      </c>
      <c r="G13" s="62">
        <f t="shared" si="2"/>
        <v>80.98</v>
      </c>
      <c r="H13" s="62">
        <f t="shared" si="1"/>
        <v>2429.4</v>
      </c>
    </row>
    <row r="14" spans="1:8" ht="16" customHeight="1" x14ac:dyDescent="0.35">
      <c r="A14" s="119"/>
      <c r="B14" s="60" t="s">
        <v>312</v>
      </c>
      <c r="C14" s="52" t="s">
        <v>250</v>
      </c>
      <c r="D14" s="62">
        <f>'[1]Insumos de Limpeza'!$X$20</f>
        <v>19.48</v>
      </c>
      <c r="E14" s="66">
        <v>1</v>
      </c>
      <c r="F14" s="66">
        <f t="shared" si="0"/>
        <v>30</v>
      </c>
      <c r="G14" s="62">
        <f t="shared" si="2"/>
        <v>19.48</v>
      </c>
      <c r="H14" s="62">
        <f t="shared" si="1"/>
        <v>584.4</v>
      </c>
    </row>
    <row r="15" spans="1:8" ht="16" customHeight="1" x14ac:dyDescent="0.35">
      <c r="A15" s="119"/>
      <c r="B15" s="60" t="s">
        <v>313</v>
      </c>
      <c r="C15" s="52" t="s">
        <v>250</v>
      </c>
      <c r="D15" s="62">
        <f>'[1]Insumos de Limpeza'!$X$21</f>
        <v>35.9</v>
      </c>
      <c r="E15" s="66">
        <v>1</v>
      </c>
      <c r="F15" s="66">
        <f t="shared" si="0"/>
        <v>30</v>
      </c>
      <c r="G15" s="62">
        <f t="shared" si="2"/>
        <v>35.9</v>
      </c>
      <c r="H15" s="62">
        <f>G15*30</f>
        <v>1077</v>
      </c>
    </row>
    <row r="16" spans="1:8" ht="16" customHeight="1" x14ac:dyDescent="0.35">
      <c r="A16" s="119"/>
      <c r="B16" s="60" t="s">
        <v>314</v>
      </c>
      <c r="C16" s="52" t="s">
        <v>250</v>
      </c>
      <c r="D16" s="62">
        <f>'[1]Insumos de Limpeza'!$X$22</f>
        <v>4.3</v>
      </c>
      <c r="E16" s="66">
        <v>5</v>
      </c>
      <c r="F16" s="66">
        <f t="shared" si="0"/>
        <v>150</v>
      </c>
      <c r="G16" s="62">
        <f t="shared" si="2"/>
        <v>21.5</v>
      </c>
      <c r="H16" s="62">
        <f t="shared" ref="H16:H25" si="3">G16*30</f>
        <v>645</v>
      </c>
    </row>
    <row r="17" spans="1:8" ht="16" customHeight="1" x14ac:dyDescent="0.35">
      <c r="A17" s="119"/>
      <c r="B17" s="60" t="s">
        <v>315</v>
      </c>
      <c r="C17" s="52" t="s">
        <v>250</v>
      </c>
      <c r="D17" s="62">
        <f>'[1]Insumos de Limpeza'!$X$23</f>
        <v>68</v>
      </c>
      <c r="E17" s="66">
        <v>1</v>
      </c>
      <c r="F17" s="66">
        <f t="shared" si="0"/>
        <v>30</v>
      </c>
      <c r="G17" s="62">
        <f t="shared" si="2"/>
        <v>68</v>
      </c>
      <c r="H17" s="62">
        <f t="shared" si="3"/>
        <v>2040</v>
      </c>
    </row>
    <row r="18" spans="1:8" ht="16" customHeight="1" x14ac:dyDescent="0.35">
      <c r="A18" s="119"/>
      <c r="B18" s="60" t="s">
        <v>316</v>
      </c>
      <c r="C18" s="52" t="s">
        <v>262</v>
      </c>
      <c r="D18" s="62">
        <f>'[1]Insumos de Limpeza'!$X$24</f>
        <v>1.9699999999999998</v>
      </c>
      <c r="E18" s="66">
        <v>1</v>
      </c>
      <c r="F18" s="66">
        <f t="shared" si="0"/>
        <v>30</v>
      </c>
      <c r="G18" s="62">
        <f t="shared" si="2"/>
        <v>1.9699999999999998</v>
      </c>
      <c r="H18" s="62">
        <f t="shared" si="3"/>
        <v>59.099999999999994</v>
      </c>
    </row>
    <row r="19" spans="1:8" ht="16" customHeight="1" x14ac:dyDescent="0.35">
      <c r="A19" s="119"/>
      <c r="B19" s="60" t="s">
        <v>317</v>
      </c>
      <c r="C19" s="52" t="s">
        <v>250</v>
      </c>
      <c r="D19" s="62">
        <f>'[1]Insumos de Limpeza'!$X$25</f>
        <v>0.73</v>
      </c>
      <c r="E19" s="66">
        <v>50</v>
      </c>
      <c r="F19" s="66">
        <f t="shared" si="0"/>
        <v>1500</v>
      </c>
      <c r="G19" s="62">
        <f t="shared" si="2"/>
        <v>36.5</v>
      </c>
      <c r="H19" s="62">
        <f t="shared" si="3"/>
        <v>1095</v>
      </c>
    </row>
    <row r="20" spans="1:8" ht="16" customHeight="1" x14ac:dyDescent="0.35">
      <c r="A20" s="119"/>
      <c r="B20" s="60" t="s">
        <v>318</v>
      </c>
      <c r="C20" s="52" t="s">
        <v>250</v>
      </c>
      <c r="D20" s="62">
        <f>'[1]Insumos de Limpeza'!$X$26</f>
        <v>1.85</v>
      </c>
      <c r="E20" s="66">
        <v>24</v>
      </c>
      <c r="F20" s="66">
        <f t="shared" si="0"/>
        <v>720</v>
      </c>
      <c r="G20" s="62">
        <f t="shared" si="2"/>
        <v>44.400000000000006</v>
      </c>
      <c r="H20" s="62">
        <f t="shared" si="3"/>
        <v>1332.0000000000002</v>
      </c>
    </row>
    <row r="21" spans="1:8" ht="16" customHeight="1" x14ac:dyDescent="0.35">
      <c r="A21" s="119"/>
      <c r="B21" s="60" t="s">
        <v>319</v>
      </c>
      <c r="C21" s="52" t="s">
        <v>299</v>
      </c>
      <c r="D21" s="62">
        <f>'[1]Insumos de Limpeza'!$X$27</f>
        <v>8.1999999999999993</v>
      </c>
      <c r="E21" s="66">
        <v>6</v>
      </c>
      <c r="F21" s="66">
        <f t="shared" si="0"/>
        <v>180</v>
      </c>
      <c r="G21" s="62">
        <f t="shared" si="2"/>
        <v>49.199999999999996</v>
      </c>
      <c r="H21" s="62">
        <f t="shared" si="3"/>
        <v>1475.9999999999998</v>
      </c>
    </row>
    <row r="22" spans="1:8" ht="16" customHeight="1" x14ac:dyDescent="0.35">
      <c r="A22" s="119"/>
      <c r="B22" s="60" t="s">
        <v>320</v>
      </c>
      <c r="C22" s="52" t="s">
        <v>304</v>
      </c>
      <c r="D22" s="62">
        <f>'[1]Insumos de Limpeza'!$X$28</f>
        <v>43.66</v>
      </c>
      <c r="E22" s="66">
        <v>1</v>
      </c>
      <c r="F22" s="66">
        <f t="shared" si="0"/>
        <v>30</v>
      </c>
      <c r="G22" s="62">
        <f t="shared" si="2"/>
        <v>43.66</v>
      </c>
      <c r="H22" s="62">
        <f t="shared" si="3"/>
        <v>1309.8</v>
      </c>
    </row>
    <row r="23" spans="1:8" ht="16" customHeight="1" x14ac:dyDescent="0.35">
      <c r="A23" s="119"/>
      <c r="B23" s="60" t="s">
        <v>321</v>
      </c>
      <c r="C23" s="52" t="s">
        <v>250</v>
      </c>
      <c r="D23" s="62">
        <f>'[1]Insumos de Limpeza'!$X$29</f>
        <v>4.165</v>
      </c>
      <c r="E23" s="66">
        <v>36</v>
      </c>
      <c r="F23" s="66">
        <f t="shared" si="0"/>
        <v>1080</v>
      </c>
      <c r="G23" s="62">
        <f t="shared" si="2"/>
        <v>149.94</v>
      </c>
      <c r="H23" s="62">
        <f t="shared" si="3"/>
        <v>4498.2</v>
      </c>
    </row>
    <row r="24" spans="1:8" ht="16" customHeight="1" x14ac:dyDescent="0.35">
      <c r="A24" s="119"/>
      <c r="B24" s="60" t="s">
        <v>322</v>
      </c>
      <c r="C24" s="52" t="s">
        <v>250</v>
      </c>
      <c r="D24" s="62">
        <f>'[1]Insumos de Limpeza'!$X$30</f>
        <v>3.53</v>
      </c>
      <c r="E24" s="66">
        <v>1</v>
      </c>
      <c r="F24" s="66">
        <f t="shared" si="0"/>
        <v>30</v>
      </c>
      <c r="G24" s="62">
        <f t="shared" si="2"/>
        <v>3.53</v>
      </c>
      <c r="H24" s="62">
        <f t="shared" si="3"/>
        <v>105.89999999999999</v>
      </c>
    </row>
    <row r="25" spans="1:8" ht="16" customHeight="1" x14ac:dyDescent="0.35">
      <c r="A25" s="119"/>
      <c r="B25" s="60" t="s">
        <v>323</v>
      </c>
      <c r="C25" s="52" t="s">
        <v>324</v>
      </c>
      <c r="D25" s="62">
        <f>'[1]Insumos de Limpeza'!$X$31</f>
        <v>4.5200000000000005</v>
      </c>
      <c r="E25" s="66">
        <v>12</v>
      </c>
      <c r="F25" s="66">
        <f t="shared" si="0"/>
        <v>360</v>
      </c>
      <c r="G25" s="62">
        <f t="shared" si="2"/>
        <v>54.240000000000009</v>
      </c>
      <c r="H25" s="62">
        <f t="shared" si="3"/>
        <v>1627.2000000000003</v>
      </c>
    </row>
    <row r="26" spans="1:8" ht="16" customHeight="1" x14ac:dyDescent="0.35">
      <c r="A26" s="119"/>
      <c r="B26" s="60" t="s">
        <v>325</v>
      </c>
      <c r="C26" s="52" t="s">
        <v>324</v>
      </c>
      <c r="D26" s="62">
        <f>'[1]Insumos de Limpeza'!$X$32</f>
        <v>4.95</v>
      </c>
      <c r="E26" s="66">
        <v>5</v>
      </c>
      <c r="F26" s="66">
        <f t="shared" si="0"/>
        <v>150</v>
      </c>
      <c r="G26" s="62">
        <f t="shared" si="2"/>
        <v>24.75</v>
      </c>
      <c r="H26" s="62">
        <f>G26*30</f>
        <v>742.5</v>
      </c>
    </row>
    <row r="27" spans="1:8" ht="16" customHeight="1" x14ac:dyDescent="0.35">
      <c r="A27" s="119"/>
      <c r="B27" s="60" t="s">
        <v>326</v>
      </c>
      <c r="C27" s="52" t="s">
        <v>324</v>
      </c>
      <c r="D27" s="62">
        <f>'[1]Insumos de Limpeza'!$X$33</f>
        <v>4.95</v>
      </c>
      <c r="E27" s="66">
        <v>5</v>
      </c>
      <c r="F27" s="66">
        <f t="shared" si="0"/>
        <v>150</v>
      </c>
      <c r="G27" s="62">
        <f t="shared" si="2"/>
        <v>24.75</v>
      </c>
      <c r="H27" s="62">
        <f t="shared" ref="H27:H40" si="4">G27*30</f>
        <v>742.5</v>
      </c>
    </row>
    <row r="28" spans="1:8" ht="16" customHeight="1" x14ac:dyDescent="0.35">
      <c r="A28" s="119"/>
      <c r="B28" s="60" t="s">
        <v>327</v>
      </c>
      <c r="C28" s="52" t="s">
        <v>250</v>
      </c>
      <c r="D28" s="62">
        <f>'[1]Insumos de Limpeza'!$X$34</f>
        <v>1.3900000000000001</v>
      </c>
      <c r="E28" s="66">
        <v>100</v>
      </c>
      <c r="F28" s="66">
        <f t="shared" si="0"/>
        <v>3000</v>
      </c>
      <c r="G28" s="62">
        <f t="shared" si="2"/>
        <v>139</v>
      </c>
      <c r="H28" s="62">
        <f t="shared" si="4"/>
        <v>4170</v>
      </c>
    </row>
    <row r="29" spans="1:8" ht="16" customHeight="1" x14ac:dyDescent="0.35">
      <c r="A29" s="119"/>
      <c r="B29" s="60" t="s">
        <v>328</v>
      </c>
      <c r="C29" s="52" t="s">
        <v>250</v>
      </c>
      <c r="D29" s="62">
        <f>'[1]Insumos de Limpeza'!$X$35</f>
        <v>3.95</v>
      </c>
      <c r="E29" s="66">
        <v>60</v>
      </c>
      <c r="F29" s="66">
        <f t="shared" si="0"/>
        <v>1800</v>
      </c>
      <c r="G29" s="62">
        <f t="shared" si="2"/>
        <v>237</v>
      </c>
      <c r="H29" s="62">
        <f t="shared" si="4"/>
        <v>7110</v>
      </c>
    </row>
    <row r="30" spans="1:8" ht="16" customHeight="1" x14ac:dyDescent="0.35">
      <c r="A30" s="119"/>
      <c r="B30" s="60" t="s">
        <v>329</v>
      </c>
      <c r="C30" s="52" t="s">
        <v>256</v>
      </c>
      <c r="D30" s="62">
        <f>'[1]Insumos de Limpeza'!$X$36</f>
        <v>94.085000000000008</v>
      </c>
      <c r="E30" s="66">
        <v>25</v>
      </c>
      <c r="F30" s="66">
        <f t="shared" si="0"/>
        <v>750</v>
      </c>
      <c r="G30" s="62">
        <f t="shared" si="2"/>
        <v>2352.125</v>
      </c>
      <c r="H30" s="62">
        <f t="shared" si="4"/>
        <v>70563.75</v>
      </c>
    </row>
    <row r="31" spans="1:8" ht="16" customHeight="1" x14ac:dyDescent="0.35">
      <c r="A31" s="119"/>
      <c r="B31" s="60" t="s">
        <v>330</v>
      </c>
      <c r="C31" s="52" t="s">
        <v>262</v>
      </c>
      <c r="D31" s="62">
        <f>'[1]Insumos de Limpeza'!$X$37</f>
        <v>6.5</v>
      </c>
      <c r="E31" s="66">
        <v>7</v>
      </c>
      <c r="F31" s="66">
        <f t="shared" si="0"/>
        <v>210</v>
      </c>
      <c r="G31" s="62">
        <f t="shared" si="2"/>
        <v>45.5</v>
      </c>
      <c r="H31" s="62">
        <f t="shared" si="4"/>
        <v>1365</v>
      </c>
    </row>
    <row r="32" spans="1:8" ht="16" customHeight="1" x14ac:dyDescent="0.35">
      <c r="A32" s="119"/>
      <c r="B32" s="60" t="s">
        <v>331</v>
      </c>
      <c r="C32" s="52" t="s">
        <v>304</v>
      </c>
      <c r="D32" s="62">
        <f>'[1]Insumos de Limpeza'!$X$38</f>
        <v>28.191596174999997</v>
      </c>
      <c r="E32" s="66">
        <v>1</v>
      </c>
      <c r="F32" s="66">
        <f t="shared" si="0"/>
        <v>30</v>
      </c>
      <c r="G32" s="62">
        <f t="shared" si="2"/>
        <v>28.191596174999997</v>
      </c>
      <c r="H32" s="62">
        <f t="shared" si="4"/>
        <v>845.74788524999997</v>
      </c>
    </row>
    <row r="33" spans="1:8" ht="16" customHeight="1" x14ac:dyDescent="0.35">
      <c r="A33" s="119"/>
      <c r="B33" s="60" t="s">
        <v>332</v>
      </c>
      <c r="C33" s="52" t="s">
        <v>301</v>
      </c>
      <c r="D33" s="62">
        <f>'[1]Insumos de Limpeza'!$X$39</f>
        <v>6.1</v>
      </c>
      <c r="E33" s="66">
        <v>24</v>
      </c>
      <c r="F33" s="66">
        <f t="shared" si="0"/>
        <v>720</v>
      </c>
      <c r="G33" s="62">
        <f t="shared" si="2"/>
        <v>146.39999999999998</v>
      </c>
      <c r="H33" s="62">
        <f t="shared" si="4"/>
        <v>4391.9999999999991</v>
      </c>
    </row>
    <row r="34" spans="1:8" ht="16" customHeight="1" x14ac:dyDescent="0.35">
      <c r="A34" s="119"/>
      <c r="B34" s="60" t="s">
        <v>333</v>
      </c>
      <c r="C34" s="52" t="s">
        <v>262</v>
      </c>
      <c r="D34" s="62">
        <f>'[1]Insumos de Limpeza'!$X$40</f>
        <v>18.899999999999999</v>
      </c>
      <c r="E34" s="66">
        <v>1</v>
      </c>
      <c r="F34" s="66">
        <f t="shared" si="0"/>
        <v>30</v>
      </c>
      <c r="G34" s="62">
        <f t="shared" si="2"/>
        <v>18.899999999999999</v>
      </c>
      <c r="H34" s="62">
        <f t="shared" si="4"/>
        <v>567</v>
      </c>
    </row>
    <row r="35" spans="1:8" ht="16" customHeight="1" x14ac:dyDescent="0.35">
      <c r="A35" s="119"/>
      <c r="B35" s="60" t="s">
        <v>334</v>
      </c>
      <c r="C35" s="52" t="s">
        <v>262</v>
      </c>
      <c r="D35" s="62">
        <f>'[1]Insumos de Limpeza'!$X$41</f>
        <v>16.924999999999997</v>
      </c>
      <c r="E35" s="66">
        <v>2</v>
      </c>
      <c r="F35" s="66">
        <f t="shared" si="0"/>
        <v>60</v>
      </c>
      <c r="G35" s="62">
        <f t="shared" si="2"/>
        <v>33.849999999999994</v>
      </c>
      <c r="H35" s="62">
        <f t="shared" si="4"/>
        <v>1015.4999999999998</v>
      </c>
    </row>
    <row r="36" spans="1:8" ht="16" customHeight="1" x14ac:dyDescent="0.35">
      <c r="A36" s="119"/>
      <c r="B36" s="60" t="s">
        <v>335</v>
      </c>
      <c r="C36" s="52" t="s">
        <v>262</v>
      </c>
      <c r="D36" s="62">
        <f>'[1]Insumos de Limpeza'!$X$42</f>
        <v>29.1</v>
      </c>
      <c r="E36" s="66">
        <v>3</v>
      </c>
      <c r="F36" s="66">
        <f t="shared" si="0"/>
        <v>90</v>
      </c>
      <c r="G36" s="62">
        <f t="shared" si="2"/>
        <v>87.300000000000011</v>
      </c>
      <c r="H36" s="62">
        <f t="shared" si="4"/>
        <v>2619.0000000000005</v>
      </c>
    </row>
    <row r="37" spans="1:8" ht="16" customHeight="1" x14ac:dyDescent="0.35">
      <c r="A37" s="119"/>
      <c r="B37" s="60" t="s">
        <v>336</v>
      </c>
      <c r="C37" s="52" t="s">
        <v>262</v>
      </c>
      <c r="D37" s="62">
        <f>'[1]Insumos de Limpeza'!$X$43</f>
        <v>30.5</v>
      </c>
      <c r="E37" s="66">
        <v>1</v>
      </c>
      <c r="F37" s="66">
        <f t="shared" si="0"/>
        <v>30</v>
      </c>
      <c r="G37" s="62">
        <f t="shared" si="2"/>
        <v>30.5</v>
      </c>
      <c r="H37" s="62">
        <f t="shared" si="4"/>
        <v>915</v>
      </c>
    </row>
    <row r="38" spans="1:8" ht="16" customHeight="1" x14ac:dyDescent="0.35">
      <c r="A38" s="119"/>
      <c r="B38" s="60" t="s">
        <v>337</v>
      </c>
      <c r="C38" s="52" t="s">
        <v>262</v>
      </c>
      <c r="D38" s="62">
        <f>'[1]Insumos de Limpeza'!$X$44</f>
        <v>30.5</v>
      </c>
      <c r="E38" s="66">
        <v>8</v>
      </c>
      <c r="F38" s="66">
        <f t="shared" si="0"/>
        <v>240</v>
      </c>
      <c r="G38" s="62">
        <f t="shared" si="2"/>
        <v>244</v>
      </c>
      <c r="H38" s="62">
        <f t="shared" si="4"/>
        <v>7320</v>
      </c>
    </row>
    <row r="39" spans="1:8" ht="16" customHeight="1" x14ac:dyDescent="0.35">
      <c r="A39" s="119"/>
      <c r="B39" s="60" t="s">
        <v>338</v>
      </c>
      <c r="C39" s="52" t="s">
        <v>262</v>
      </c>
      <c r="D39" s="62">
        <f>'[1]Insumos de Limpeza'!$X$45</f>
        <v>30.5</v>
      </c>
      <c r="E39" s="66">
        <v>5</v>
      </c>
      <c r="F39" s="66">
        <f t="shared" si="0"/>
        <v>150</v>
      </c>
      <c r="G39" s="62">
        <f t="shared" si="2"/>
        <v>152.5</v>
      </c>
      <c r="H39" s="62">
        <f t="shared" si="4"/>
        <v>4575</v>
      </c>
    </row>
    <row r="40" spans="1:8" ht="16" customHeight="1" x14ac:dyDescent="0.35">
      <c r="A40" s="119"/>
      <c r="B40" s="60" t="s">
        <v>264</v>
      </c>
      <c r="C40" s="52" t="s">
        <v>256</v>
      </c>
      <c r="D40" s="62">
        <f>'[1]Insumos de Limpeza'!$X$46</f>
        <v>93.67</v>
      </c>
      <c r="E40" s="66">
        <v>18</v>
      </c>
      <c r="F40" s="66">
        <f t="shared" si="0"/>
        <v>540</v>
      </c>
      <c r="G40" s="62">
        <f t="shared" si="2"/>
        <v>1686.06</v>
      </c>
      <c r="H40" s="62">
        <f t="shared" si="4"/>
        <v>50581.799999999996</v>
      </c>
    </row>
    <row r="41" spans="1:8" ht="16" customHeight="1" x14ac:dyDescent="0.35">
      <c r="A41" s="120"/>
      <c r="B41" s="111" t="s">
        <v>294</v>
      </c>
      <c r="C41" s="112"/>
      <c r="D41" s="112"/>
      <c r="E41" s="112"/>
      <c r="F41" s="113"/>
      <c r="G41" s="70">
        <f>SUM(G4:G40)</f>
        <v>7779.7001800500002</v>
      </c>
      <c r="H41" s="70">
        <f>SUM(H4:H40)</f>
        <v>233391.00540149998</v>
      </c>
    </row>
    <row r="42" spans="1:8" ht="16" customHeight="1" x14ac:dyDescent="0.35">
      <c r="A42" s="118" t="s">
        <v>287</v>
      </c>
      <c r="B42" s="60" t="s">
        <v>339</v>
      </c>
      <c r="C42" s="52" t="s">
        <v>250</v>
      </c>
      <c r="D42" s="62">
        <f>'[1]Insumos de Limpeza'!$X$50</f>
        <v>9.1999999999999993</v>
      </c>
      <c r="E42" s="66">
        <v>1</v>
      </c>
      <c r="F42" s="66">
        <f>ROUND(E42*2.5,0)</f>
        <v>3</v>
      </c>
      <c r="G42" s="62">
        <f>ROUND(H42/30,2)</f>
        <v>0.92</v>
      </c>
      <c r="H42" s="62">
        <f>D42*F42</f>
        <v>27.599999999999998</v>
      </c>
    </row>
    <row r="43" spans="1:8" ht="16" customHeight="1" x14ac:dyDescent="0.35">
      <c r="A43" s="119"/>
      <c r="B43" s="60" t="s">
        <v>340</v>
      </c>
      <c r="C43" s="52" t="s">
        <v>250</v>
      </c>
      <c r="D43" s="62">
        <f>'[1]Insumos de Limpeza'!$X$51</f>
        <v>24.868624375000003</v>
      </c>
      <c r="E43" s="66">
        <v>5</v>
      </c>
      <c r="F43" s="66">
        <f t="shared" ref="F43:F64" si="5">ROUND(E43*2.5,0)</f>
        <v>13</v>
      </c>
      <c r="G43" s="62">
        <f t="shared" ref="G43:G64" si="6">ROUND(H43/30,2)</f>
        <v>10.78</v>
      </c>
      <c r="H43" s="62">
        <f>D43*F43</f>
        <v>323.29211687500003</v>
      </c>
    </row>
    <row r="44" spans="1:8" ht="16" customHeight="1" x14ac:dyDescent="0.35">
      <c r="A44" s="119"/>
      <c r="B44" s="60" t="s">
        <v>341</v>
      </c>
      <c r="C44" s="52" t="s">
        <v>250</v>
      </c>
      <c r="D44" s="62">
        <f>'[1]Insumos de Limpeza'!$X$52</f>
        <v>6.9810441500000007</v>
      </c>
      <c r="E44" s="66">
        <v>142</v>
      </c>
      <c r="F44" s="66">
        <f t="shared" si="5"/>
        <v>355</v>
      </c>
      <c r="G44" s="62">
        <f t="shared" si="6"/>
        <v>82.61</v>
      </c>
      <c r="H44" s="62">
        <f t="shared" ref="H44:H64" si="7">D44*F44</f>
        <v>2478.2706732500001</v>
      </c>
    </row>
    <row r="45" spans="1:8" ht="16" customHeight="1" x14ac:dyDescent="0.35">
      <c r="A45" s="119"/>
      <c r="B45" s="60" t="s">
        <v>342</v>
      </c>
      <c r="C45" s="52" t="s">
        <v>250</v>
      </c>
      <c r="D45" s="62">
        <f>'[1]Insumos de Limpeza'!$X$53</f>
        <v>4.67</v>
      </c>
      <c r="E45" s="66">
        <v>5</v>
      </c>
      <c r="F45" s="66">
        <f t="shared" si="5"/>
        <v>13</v>
      </c>
      <c r="G45" s="62">
        <f t="shared" si="6"/>
        <v>2.02</v>
      </c>
      <c r="H45" s="62">
        <f t="shared" si="7"/>
        <v>60.71</v>
      </c>
    </row>
    <row r="46" spans="1:8" ht="16" customHeight="1" x14ac:dyDescent="0.35">
      <c r="A46" s="119"/>
      <c r="B46" s="60" t="s">
        <v>343</v>
      </c>
      <c r="C46" s="52" t="s">
        <v>250</v>
      </c>
      <c r="D46" s="62">
        <f>'[1]Insumos de Limpeza'!$X$54</f>
        <v>24.5</v>
      </c>
      <c r="E46" s="66">
        <v>25</v>
      </c>
      <c r="F46" s="66">
        <f t="shared" si="5"/>
        <v>63</v>
      </c>
      <c r="G46" s="62">
        <f t="shared" si="6"/>
        <v>51.45</v>
      </c>
      <c r="H46" s="62">
        <f t="shared" si="7"/>
        <v>1543.5</v>
      </c>
    </row>
    <row r="47" spans="1:8" ht="16" customHeight="1" x14ac:dyDescent="0.35">
      <c r="A47" s="119"/>
      <c r="B47" s="60" t="s">
        <v>344</v>
      </c>
      <c r="C47" s="52" t="s">
        <v>250</v>
      </c>
      <c r="D47" s="62">
        <f>'[1]Insumos de Limpeza'!$X$55</f>
        <v>24.5</v>
      </c>
      <c r="E47" s="66">
        <v>13</v>
      </c>
      <c r="F47" s="66">
        <f t="shared" si="5"/>
        <v>33</v>
      </c>
      <c r="G47" s="62">
        <f t="shared" si="6"/>
        <v>26.95</v>
      </c>
      <c r="H47" s="62">
        <f t="shared" si="7"/>
        <v>808.5</v>
      </c>
    </row>
    <row r="48" spans="1:8" ht="16" customHeight="1" x14ac:dyDescent="0.35">
      <c r="A48" s="119"/>
      <c r="B48" s="60" t="s">
        <v>345</v>
      </c>
      <c r="C48" s="52" t="s">
        <v>250</v>
      </c>
      <c r="D48" s="62">
        <f>'[1]Insumos de Limpeza'!$X$56</f>
        <v>4.2079015750000002</v>
      </c>
      <c r="E48" s="66">
        <v>105</v>
      </c>
      <c r="F48" s="66">
        <f t="shared" si="5"/>
        <v>263</v>
      </c>
      <c r="G48" s="62">
        <f t="shared" si="6"/>
        <v>36.89</v>
      </c>
      <c r="H48" s="62">
        <f t="shared" si="7"/>
        <v>1106.6781142249999</v>
      </c>
    </row>
    <row r="49" spans="1:8" ht="16" customHeight="1" x14ac:dyDescent="0.35">
      <c r="A49" s="119"/>
      <c r="B49" s="60" t="s">
        <v>346</v>
      </c>
      <c r="C49" s="52" t="s">
        <v>250</v>
      </c>
      <c r="D49" s="62">
        <f>'[1]Insumos de Limpeza'!$X$57</f>
        <v>15.913885475000001</v>
      </c>
      <c r="E49" s="66">
        <v>3</v>
      </c>
      <c r="F49" s="66">
        <f t="shared" si="5"/>
        <v>8</v>
      </c>
      <c r="G49" s="62">
        <f t="shared" si="6"/>
        <v>4.24</v>
      </c>
      <c r="H49" s="62">
        <f t="shared" si="7"/>
        <v>127.31108380000001</v>
      </c>
    </row>
    <row r="50" spans="1:8" ht="16" customHeight="1" x14ac:dyDescent="0.35">
      <c r="A50" s="119"/>
      <c r="B50" s="60" t="s">
        <v>347</v>
      </c>
      <c r="C50" s="52" t="s">
        <v>250</v>
      </c>
      <c r="D50" s="62">
        <f>'[1]Insumos de Limpeza'!$X$58</f>
        <v>98.69</v>
      </c>
      <c r="E50" s="66">
        <v>1</v>
      </c>
      <c r="F50" s="66">
        <f t="shared" si="5"/>
        <v>3</v>
      </c>
      <c r="G50" s="62">
        <f t="shared" si="6"/>
        <v>9.8699999999999992</v>
      </c>
      <c r="H50" s="62">
        <f t="shared" si="7"/>
        <v>296.07</v>
      </c>
    </row>
    <row r="51" spans="1:8" ht="16" customHeight="1" x14ac:dyDescent="0.35">
      <c r="A51" s="119"/>
      <c r="B51" s="60" t="s">
        <v>348</v>
      </c>
      <c r="C51" s="52" t="s">
        <v>250</v>
      </c>
      <c r="D51" s="62">
        <f>'[1]Insumos de Limpeza'!$X$59</f>
        <v>115.11</v>
      </c>
      <c r="E51" s="66">
        <v>1</v>
      </c>
      <c r="F51" s="66">
        <f t="shared" si="5"/>
        <v>3</v>
      </c>
      <c r="G51" s="62">
        <f t="shared" si="6"/>
        <v>11.51</v>
      </c>
      <c r="H51" s="62">
        <f t="shared" si="7"/>
        <v>345.33</v>
      </c>
    </row>
    <row r="52" spans="1:8" ht="16" customHeight="1" x14ac:dyDescent="0.35">
      <c r="A52" s="119"/>
      <c r="B52" s="60" t="s">
        <v>349</v>
      </c>
      <c r="C52" s="52" t="s">
        <v>250</v>
      </c>
      <c r="D52" s="62">
        <f>'[1]Insumos de Limpeza'!$X$60</f>
        <v>126.9</v>
      </c>
      <c r="E52" s="66">
        <v>16</v>
      </c>
      <c r="F52" s="66">
        <f t="shared" si="5"/>
        <v>40</v>
      </c>
      <c r="G52" s="62">
        <f t="shared" si="6"/>
        <v>169.2</v>
      </c>
      <c r="H52" s="62">
        <f t="shared" si="7"/>
        <v>5076</v>
      </c>
    </row>
    <row r="53" spans="1:8" ht="16" customHeight="1" x14ac:dyDescent="0.35">
      <c r="A53" s="119"/>
      <c r="B53" s="60" t="s">
        <v>350</v>
      </c>
      <c r="C53" s="52" t="s">
        <v>250</v>
      </c>
      <c r="D53" s="62">
        <f>'[1]Insumos de Limpeza'!$X$61</f>
        <v>104.41</v>
      </c>
      <c r="E53" s="66">
        <v>1</v>
      </c>
      <c r="F53" s="66">
        <f t="shared" si="5"/>
        <v>3</v>
      </c>
      <c r="G53" s="62">
        <f t="shared" si="6"/>
        <v>10.44</v>
      </c>
      <c r="H53" s="62">
        <f t="shared" si="7"/>
        <v>313.23</v>
      </c>
    </row>
    <row r="54" spans="1:8" ht="16" customHeight="1" x14ac:dyDescent="0.35">
      <c r="A54" s="119"/>
      <c r="B54" s="60" t="s">
        <v>351</v>
      </c>
      <c r="C54" s="52" t="s">
        <v>250</v>
      </c>
      <c r="D54" s="62">
        <f>'[1]Insumos de Limpeza'!$X$62</f>
        <v>64.917298974999994</v>
      </c>
      <c r="E54" s="66">
        <v>2</v>
      </c>
      <c r="F54" s="66">
        <f t="shared" si="5"/>
        <v>5</v>
      </c>
      <c r="G54" s="62">
        <f t="shared" si="6"/>
        <v>10.82</v>
      </c>
      <c r="H54" s="62">
        <f t="shared" si="7"/>
        <v>324.58649487499997</v>
      </c>
    </row>
    <row r="55" spans="1:8" ht="16" customHeight="1" x14ac:dyDescent="0.35">
      <c r="A55" s="119"/>
      <c r="B55" s="60" t="s">
        <v>352</v>
      </c>
      <c r="C55" s="52" t="s">
        <v>250</v>
      </c>
      <c r="D55" s="62">
        <f>'[1]Insumos de Limpeza'!$X$63</f>
        <v>74.099999999999994</v>
      </c>
      <c r="E55" s="66">
        <v>1</v>
      </c>
      <c r="F55" s="66">
        <f t="shared" si="5"/>
        <v>3</v>
      </c>
      <c r="G55" s="62">
        <f t="shared" si="6"/>
        <v>7.41</v>
      </c>
      <c r="H55" s="62">
        <f t="shared" si="7"/>
        <v>222.29999999999998</v>
      </c>
    </row>
    <row r="56" spans="1:8" ht="16" customHeight="1" x14ac:dyDescent="0.35">
      <c r="A56" s="119"/>
      <c r="B56" s="60" t="s">
        <v>353</v>
      </c>
      <c r="C56" s="52" t="s">
        <v>250</v>
      </c>
      <c r="D56" s="62">
        <f>'[1]Insumos de Limpeza'!$X$64</f>
        <v>112.78</v>
      </c>
      <c r="E56" s="66">
        <v>1</v>
      </c>
      <c r="F56" s="66">
        <f t="shared" si="5"/>
        <v>3</v>
      </c>
      <c r="G56" s="62">
        <f t="shared" si="6"/>
        <v>11.28</v>
      </c>
      <c r="H56" s="62">
        <f t="shared" si="7"/>
        <v>338.34000000000003</v>
      </c>
    </row>
    <row r="57" spans="1:8" ht="16" customHeight="1" x14ac:dyDescent="0.35">
      <c r="A57" s="119"/>
      <c r="B57" s="60" t="s">
        <v>354</v>
      </c>
      <c r="C57" s="52" t="s">
        <v>250</v>
      </c>
      <c r="D57" s="62">
        <f>'[1]Insumos de Limpeza'!$X$65</f>
        <v>8.6</v>
      </c>
      <c r="E57" s="66">
        <v>10</v>
      </c>
      <c r="F57" s="66">
        <f t="shared" si="5"/>
        <v>25</v>
      </c>
      <c r="G57" s="62">
        <f t="shared" si="6"/>
        <v>7.17</v>
      </c>
      <c r="H57" s="62">
        <f t="shared" si="7"/>
        <v>215</v>
      </c>
    </row>
    <row r="58" spans="1:8" ht="16" customHeight="1" x14ac:dyDescent="0.35">
      <c r="A58" s="119"/>
      <c r="B58" s="60" t="s">
        <v>355</v>
      </c>
      <c r="C58" s="52" t="s">
        <v>250</v>
      </c>
      <c r="D58" s="62">
        <f>'[1]Insumos de Limpeza'!$X$66</f>
        <v>34.1</v>
      </c>
      <c r="E58" s="66">
        <v>1</v>
      </c>
      <c r="F58" s="66">
        <f t="shared" si="5"/>
        <v>3</v>
      </c>
      <c r="G58" s="62">
        <f t="shared" si="6"/>
        <v>3.41</v>
      </c>
      <c r="H58" s="62">
        <f t="shared" si="7"/>
        <v>102.30000000000001</v>
      </c>
    </row>
    <row r="59" spans="1:8" ht="16" customHeight="1" x14ac:dyDescent="0.35">
      <c r="A59" s="119"/>
      <c r="B59" s="60" t="s">
        <v>356</v>
      </c>
      <c r="C59" s="52" t="s">
        <v>250</v>
      </c>
      <c r="D59" s="62">
        <f>'[1]Insumos de Limpeza'!$X$67</f>
        <v>16</v>
      </c>
      <c r="E59" s="66">
        <v>40</v>
      </c>
      <c r="F59" s="66">
        <f t="shared" si="5"/>
        <v>100</v>
      </c>
      <c r="G59" s="62">
        <f t="shared" si="6"/>
        <v>53.33</v>
      </c>
      <c r="H59" s="62">
        <f t="shared" si="7"/>
        <v>1600</v>
      </c>
    </row>
    <row r="60" spans="1:8" ht="16" customHeight="1" x14ac:dyDescent="0.35">
      <c r="A60" s="119"/>
      <c r="B60" s="60" t="s">
        <v>357</v>
      </c>
      <c r="C60" s="52" t="s">
        <v>250</v>
      </c>
      <c r="D60" s="62">
        <f>'[1]Insumos de Limpeza'!$X$68</f>
        <v>14.365</v>
      </c>
      <c r="E60" s="66">
        <v>16</v>
      </c>
      <c r="F60" s="66">
        <f t="shared" si="5"/>
        <v>40</v>
      </c>
      <c r="G60" s="62">
        <f t="shared" si="6"/>
        <v>19.149999999999999</v>
      </c>
      <c r="H60" s="62">
        <f t="shared" si="7"/>
        <v>574.6</v>
      </c>
    </row>
    <row r="61" spans="1:8" ht="16" customHeight="1" x14ac:dyDescent="0.35">
      <c r="A61" s="119"/>
      <c r="B61" s="60" t="s">
        <v>358</v>
      </c>
      <c r="C61" s="52" t="s">
        <v>250</v>
      </c>
      <c r="D61" s="62">
        <f>'[1]Insumos de Limpeza'!$X$69</f>
        <v>49.9</v>
      </c>
      <c r="E61" s="66">
        <v>11</v>
      </c>
      <c r="F61" s="66">
        <f t="shared" si="5"/>
        <v>28</v>
      </c>
      <c r="G61" s="62">
        <f t="shared" si="6"/>
        <v>46.57</v>
      </c>
      <c r="H61" s="62">
        <f t="shared" si="7"/>
        <v>1397.2</v>
      </c>
    </row>
    <row r="62" spans="1:8" ht="16" customHeight="1" x14ac:dyDescent="0.35">
      <c r="A62" s="119"/>
      <c r="B62" s="60" t="s">
        <v>359</v>
      </c>
      <c r="C62" s="52" t="s">
        <v>250</v>
      </c>
      <c r="D62" s="62">
        <f>'[1]Insumos de Limpeza'!$X$70</f>
        <v>314</v>
      </c>
      <c r="E62" s="66">
        <v>21</v>
      </c>
      <c r="F62" s="66">
        <f t="shared" si="5"/>
        <v>53</v>
      </c>
      <c r="G62" s="62">
        <f t="shared" si="6"/>
        <v>554.73</v>
      </c>
      <c r="H62" s="62">
        <f t="shared" si="7"/>
        <v>16642</v>
      </c>
    </row>
    <row r="63" spans="1:8" ht="16" customHeight="1" x14ac:dyDescent="0.35">
      <c r="A63" s="119"/>
      <c r="B63" s="60" t="s">
        <v>360</v>
      </c>
      <c r="C63" s="52" t="s">
        <v>250</v>
      </c>
      <c r="D63" s="62">
        <f>'[1]Insumos de Limpeza'!$X$71</f>
        <v>12.15</v>
      </c>
      <c r="E63" s="66">
        <v>37</v>
      </c>
      <c r="F63" s="66">
        <f t="shared" si="5"/>
        <v>93</v>
      </c>
      <c r="G63" s="62">
        <f t="shared" si="6"/>
        <v>37.67</v>
      </c>
      <c r="H63" s="62">
        <f t="shared" si="7"/>
        <v>1129.95</v>
      </c>
    </row>
    <row r="64" spans="1:8" ht="16" customHeight="1" x14ac:dyDescent="0.35">
      <c r="A64" s="119"/>
      <c r="B64" s="60" t="s">
        <v>361</v>
      </c>
      <c r="C64" s="52" t="s">
        <v>250</v>
      </c>
      <c r="D64" s="62">
        <f>'[1]Insumos de Limpeza'!$X$72</f>
        <v>13.69</v>
      </c>
      <c r="E64" s="66">
        <v>1</v>
      </c>
      <c r="F64" s="66">
        <f t="shared" si="5"/>
        <v>3</v>
      </c>
      <c r="G64" s="62">
        <f t="shared" si="6"/>
        <v>1.37</v>
      </c>
      <c r="H64" s="62">
        <f t="shared" si="7"/>
        <v>41.07</v>
      </c>
    </row>
    <row r="65" spans="1:8" ht="16" customHeight="1" x14ac:dyDescent="0.35">
      <c r="A65" s="120"/>
      <c r="B65" s="111" t="s">
        <v>295</v>
      </c>
      <c r="C65" s="112"/>
      <c r="D65" s="112"/>
      <c r="E65" s="112"/>
      <c r="F65" s="113"/>
      <c r="G65" s="70">
        <f>SUM(G42:G64)</f>
        <v>1169.79</v>
      </c>
      <c r="H65" s="70">
        <f>SUM(H42:H64)</f>
        <v>35093.838483024992</v>
      </c>
    </row>
    <row r="66" spans="1:8" ht="16" customHeight="1" x14ac:dyDescent="0.35">
      <c r="A66" s="108" t="s">
        <v>97</v>
      </c>
      <c r="B66" s="60" t="s">
        <v>362</v>
      </c>
      <c r="C66" s="52" t="s">
        <v>250</v>
      </c>
      <c r="D66" s="62">
        <f>'[1]Insumos de Limpeza'!$X$76</f>
        <v>380</v>
      </c>
      <c r="E66" s="66">
        <v>1</v>
      </c>
      <c r="F66" s="66">
        <f>E66</f>
        <v>1</v>
      </c>
      <c r="G66" s="62">
        <f>E66*((D66*0.8)/(12*5))</f>
        <v>5.0666666666666664</v>
      </c>
      <c r="H66" s="62">
        <f>G66*30</f>
        <v>152</v>
      </c>
    </row>
    <row r="67" spans="1:8" ht="16" customHeight="1" x14ac:dyDescent="0.35">
      <c r="A67" s="109"/>
      <c r="B67" s="60" t="s">
        <v>363</v>
      </c>
      <c r="C67" s="52" t="s">
        <v>250</v>
      </c>
      <c r="D67" s="62">
        <f>'[1]Insumos de Limpeza'!$X$77</f>
        <v>1231.8200000000002</v>
      </c>
      <c r="E67" s="66">
        <v>1</v>
      </c>
      <c r="F67" s="66">
        <f t="shared" ref="F67:F72" si="8">E67</f>
        <v>1</v>
      </c>
      <c r="G67" s="62">
        <f t="shared" ref="G67:G72" si="9">E67*((D67*0.8)/(12*5))</f>
        <v>16.424266666666668</v>
      </c>
      <c r="H67" s="62">
        <f t="shared" ref="H67:H72" si="10">G67*30</f>
        <v>492.72800000000007</v>
      </c>
    </row>
    <row r="68" spans="1:8" ht="16" customHeight="1" x14ac:dyDescent="0.35">
      <c r="A68" s="109"/>
      <c r="B68" s="60" t="s">
        <v>364</v>
      </c>
      <c r="C68" s="52" t="s">
        <v>250</v>
      </c>
      <c r="D68" s="62">
        <f>'[1]Insumos de Limpeza'!$X$78</f>
        <v>414.5</v>
      </c>
      <c r="E68" s="66">
        <v>4</v>
      </c>
      <c r="F68" s="66">
        <f t="shared" si="8"/>
        <v>4</v>
      </c>
      <c r="G68" s="62">
        <f t="shared" si="9"/>
        <v>22.106666666666669</v>
      </c>
      <c r="H68" s="62">
        <f t="shared" si="10"/>
        <v>663.2</v>
      </c>
    </row>
    <row r="69" spans="1:8" ht="16" customHeight="1" x14ac:dyDescent="0.35">
      <c r="A69" s="109"/>
      <c r="B69" s="60" t="s">
        <v>365</v>
      </c>
      <c r="C69" s="52" t="s">
        <v>250</v>
      </c>
      <c r="D69" s="62">
        <f>'[1]Insumos de Limpeza'!$X$79</f>
        <v>919.95230624999999</v>
      </c>
      <c r="E69" s="66">
        <v>2</v>
      </c>
      <c r="F69" s="66">
        <f t="shared" si="8"/>
        <v>2</v>
      </c>
      <c r="G69" s="62">
        <f t="shared" si="9"/>
        <v>24.532061500000001</v>
      </c>
      <c r="H69" s="62">
        <f t="shared" si="10"/>
        <v>735.96184500000004</v>
      </c>
    </row>
    <row r="70" spans="1:8" ht="16" customHeight="1" x14ac:dyDescent="0.35">
      <c r="A70" s="109"/>
      <c r="B70" s="60" t="s">
        <v>366</v>
      </c>
      <c r="C70" s="52" t="s">
        <v>250</v>
      </c>
      <c r="D70" s="62">
        <f>'[1]Insumos de Limpeza'!$X$80</f>
        <v>2012.5331175000001</v>
      </c>
      <c r="E70" s="66">
        <v>3</v>
      </c>
      <c r="F70" s="66">
        <f t="shared" si="8"/>
        <v>3</v>
      </c>
      <c r="G70" s="62">
        <f t="shared" si="9"/>
        <v>80.501324699999998</v>
      </c>
      <c r="H70" s="62">
        <f t="shared" si="10"/>
        <v>2415.039741</v>
      </c>
    </row>
    <row r="71" spans="1:8" ht="16" customHeight="1" x14ac:dyDescent="0.35">
      <c r="A71" s="109"/>
      <c r="B71" s="60" t="s">
        <v>367</v>
      </c>
      <c r="C71" s="52" t="s">
        <v>250</v>
      </c>
      <c r="D71" s="62">
        <f>'[1]Insumos de Limpeza'!$X$81</f>
        <v>1929.17</v>
      </c>
      <c r="E71" s="66">
        <v>1</v>
      </c>
      <c r="F71" s="66">
        <f t="shared" si="8"/>
        <v>1</v>
      </c>
      <c r="G71" s="62">
        <f t="shared" si="9"/>
        <v>25.72226666666667</v>
      </c>
      <c r="H71" s="62">
        <f t="shared" si="10"/>
        <v>771.66800000000012</v>
      </c>
    </row>
    <row r="72" spans="1:8" ht="16" customHeight="1" x14ac:dyDescent="0.35">
      <c r="A72" s="109"/>
      <c r="B72" s="60" t="s">
        <v>368</v>
      </c>
      <c r="C72" s="52" t="s">
        <v>250</v>
      </c>
      <c r="D72" s="62">
        <f>'[1]Insumos de Limpeza'!$X$82</f>
        <v>2392</v>
      </c>
      <c r="E72" s="66">
        <v>1</v>
      </c>
      <c r="F72" s="66">
        <f t="shared" si="8"/>
        <v>1</v>
      </c>
      <c r="G72" s="62">
        <f t="shared" si="9"/>
        <v>31.893333333333334</v>
      </c>
      <c r="H72" s="62">
        <f t="shared" si="10"/>
        <v>956.80000000000007</v>
      </c>
    </row>
    <row r="73" spans="1:8" ht="16" customHeight="1" x14ac:dyDescent="0.35">
      <c r="A73" s="110"/>
      <c r="B73" s="111" t="s">
        <v>296</v>
      </c>
      <c r="C73" s="112"/>
      <c r="D73" s="112"/>
      <c r="E73" s="112"/>
      <c r="F73" s="113"/>
      <c r="G73" s="70">
        <f>SUM(G66:G72)</f>
        <v>206.2465862</v>
      </c>
      <c r="H73" s="70">
        <f>SUM(H66:H72)</f>
        <v>6187.397586</v>
      </c>
    </row>
    <row r="74" spans="1:8" ht="16" customHeight="1" x14ac:dyDescent="0.35">
      <c r="A74" s="114" t="s">
        <v>369</v>
      </c>
      <c r="B74" s="115"/>
      <c r="C74" s="115"/>
      <c r="D74" s="115"/>
      <c r="E74" s="115"/>
      <c r="F74" s="116"/>
      <c r="G74" s="68">
        <f>G41+G65+G73</f>
        <v>9155.7367662500019</v>
      </c>
      <c r="H74" s="68">
        <f>H41+H65+H73</f>
        <v>274672.24147052492</v>
      </c>
    </row>
  </sheetData>
  <mergeCells count="9">
    <mergeCell ref="A66:A73"/>
    <mergeCell ref="B73:F73"/>
    <mergeCell ref="A74:F74"/>
    <mergeCell ref="A1:H1"/>
    <mergeCell ref="A2:H2"/>
    <mergeCell ref="A4:A41"/>
    <mergeCell ref="B41:F41"/>
    <mergeCell ref="A42:A65"/>
    <mergeCell ref="B65:F6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:G4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1F7E-AF2B-4E96-99BD-5359CC626D02}">
  <dimension ref="A1:H39"/>
  <sheetViews>
    <sheetView workbookViewId="0">
      <selection activeCell="H40" sqref="H40"/>
    </sheetView>
  </sheetViews>
  <sheetFormatPr defaultRowHeight="15.5" x14ac:dyDescent="0.35"/>
  <cols>
    <col min="1" max="1" width="22.7265625" style="59" customWidth="1"/>
    <col min="2" max="2" width="56.453125" style="59" customWidth="1"/>
    <col min="3" max="3" width="13.453125" style="59" bestFit="1" customWidth="1"/>
    <col min="4" max="4" width="13.453125" style="63" customWidth="1"/>
    <col min="5" max="5" width="13.453125" style="67" bestFit="1" customWidth="1"/>
    <col min="6" max="6" width="16.6328125" style="67" customWidth="1"/>
    <col min="7" max="7" width="13.453125" style="63" customWidth="1"/>
    <col min="8" max="8" width="14.26953125" style="63" customWidth="1"/>
    <col min="9" max="16384" width="8.7265625" style="59"/>
  </cols>
  <sheetData>
    <row r="1" spans="1:8" x14ac:dyDescent="0.35">
      <c r="A1" s="92" t="s">
        <v>373</v>
      </c>
      <c r="B1" s="92"/>
      <c r="C1" s="92"/>
      <c r="D1" s="92"/>
      <c r="E1" s="92"/>
      <c r="F1" s="92"/>
      <c r="G1" s="92"/>
      <c r="H1" s="92"/>
    </row>
    <row r="2" spans="1:8" ht="12" customHeight="1" x14ac:dyDescent="0.35">
      <c r="A2" s="117"/>
      <c r="B2" s="117"/>
      <c r="C2" s="117"/>
      <c r="D2" s="117"/>
      <c r="E2" s="117"/>
      <c r="F2" s="117"/>
      <c r="G2" s="117"/>
      <c r="H2" s="117"/>
    </row>
    <row r="3" spans="1:8" ht="31" x14ac:dyDescent="0.35">
      <c r="A3" s="49" t="s">
        <v>239</v>
      </c>
      <c r="B3" s="49" t="s">
        <v>288</v>
      </c>
      <c r="C3" s="49" t="s">
        <v>119</v>
      </c>
      <c r="D3" s="61" t="s">
        <v>289</v>
      </c>
      <c r="E3" s="64" t="s">
        <v>170</v>
      </c>
      <c r="F3" s="65" t="s">
        <v>291</v>
      </c>
      <c r="G3" s="61" t="s">
        <v>290</v>
      </c>
      <c r="H3" s="61" t="s">
        <v>292</v>
      </c>
    </row>
    <row r="4" spans="1:8" ht="16" customHeight="1" x14ac:dyDescent="0.35">
      <c r="A4" s="118" t="s">
        <v>253</v>
      </c>
      <c r="B4" s="60" t="s">
        <v>251</v>
      </c>
      <c r="C4" s="52" t="s">
        <v>252</v>
      </c>
      <c r="D4" s="62">
        <f>'[1]Insumos de Copeiragem'!$W$10</f>
        <v>3.65</v>
      </c>
      <c r="E4" s="66">
        <v>140</v>
      </c>
      <c r="F4" s="66">
        <f>E4*30</f>
        <v>4200</v>
      </c>
      <c r="G4" s="62">
        <f t="shared" ref="G4:G13" si="0">E4*D4</f>
        <v>511</v>
      </c>
      <c r="H4" s="62">
        <f>G4*30</f>
        <v>15330</v>
      </c>
    </row>
    <row r="5" spans="1:8" ht="16" customHeight="1" x14ac:dyDescent="0.35">
      <c r="A5" s="119"/>
      <c r="B5" s="60" t="s">
        <v>293</v>
      </c>
      <c r="C5" s="52" t="s">
        <v>250</v>
      </c>
      <c r="D5" s="62">
        <f>'[1]Insumos de Copeiragem'!$W$11</f>
        <v>5.49</v>
      </c>
      <c r="E5" s="66">
        <v>10</v>
      </c>
      <c r="F5" s="66">
        <f>E5*30</f>
        <v>300</v>
      </c>
      <c r="G5" s="62">
        <f t="shared" si="0"/>
        <v>54.900000000000006</v>
      </c>
      <c r="H5" s="62">
        <f t="shared" ref="H5:H13" si="1">G5*30</f>
        <v>1647.0000000000002</v>
      </c>
    </row>
    <row r="6" spans="1:8" ht="16" customHeight="1" x14ac:dyDescent="0.35">
      <c r="A6" s="119"/>
      <c r="B6" s="60" t="s">
        <v>254</v>
      </c>
      <c r="C6" s="52" t="s">
        <v>252</v>
      </c>
      <c r="D6" s="62">
        <f>'[1]Insumos de Copeiragem'!$W$12</f>
        <v>17.52</v>
      </c>
      <c r="E6" s="66">
        <v>240</v>
      </c>
      <c r="F6" s="66">
        <f t="shared" ref="F6:F13" si="2">E6*30</f>
        <v>7200</v>
      </c>
      <c r="G6" s="62">
        <f t="shared" si="0"/>
        <v>4204.8</v>
      </c>
      <c r="H6" s="62">
        <f t="shared" si="1"/>
        <v>126144</v>
      </c>
    </row>
    <row r="7" spans="1:8" ht="16" customHeight="1" x14ac:dyDescent="0.35">
      <c r="A7" s="119"/>
      <c r="B7" s="60" t="s">
        <v>255</v>
      </c>
      <c r="C7" s="52" t="s">
        <v>256</v>
      </c>
      <c r="D7" s="62">
        <f>'[1]Insumos de Copeiragem'!$W$13</f>
        <v>3.8449999999999998</v>
      </c>
      <c r="E7" s="66">
        <v>315</v>
      </c>
      <c r="F7" s="66">
        <f t="shared" si="2"/>
        <v>9450</v>
      </c>
      <c r="G7" s="62">
        <f t="shared" si="0"/>
        <v>1211.175</v>
      </c>
      <c r="H7" s="62">
        <f t="shared" si="1"/>
        <v>36335.25</v>
      </c>
    </row>
    <row r="8" spans="1:8" ht="16" customHeight="1" x14ac:dyDescent="0.35">
      <c r="A8" s="119"/>
      <c r="B8" s="60" t="s">
        <v>257</v>
      </c>
      <c r="C8" s="52" t="s">
        <v>250</v>
      </c>
      <c r="D8" s="62">
        <f>'[1]Insumos de Copeiragem'!$W$14</f>
        <v>9.8000000000000007</v>
      </c>
      <c r="E8" s="66">
        <v>4</v>
      </c>
      <c r="F8" s="66">
        <f t="shared" si="2"/>
        <v>120</v>
      </c>
      <c r="G8" s="62">
        <f t="shared" si="0"/>
        <v>39.200000000000003</v>
      </c>
      <c r="H8" s="62">
        <f t="shared" si="1"/>
        <v>1176</v>
      </c>
    </row>
    <row r="9" spans="1:8" ht="16" customHeight="1" x14ac:dyDescent="0.35">
      <c r="A9" s="119"/>
      <c r="B9" s="60" t="s">
        <v>258</v>
      </c>
      <c r="C9" s="52" t="s">
        <v>250</v>
      </c>
      <c r="D9" s="62">
        <f>ROUND(('[1]Insumos de Copeiragem'!$W$15/10),2)</f>
        <v>0.41</v>
      </c>
      <c r="E9" s="66">
        <v>6000</v>
      </c>
      <c r="F9" s="66">
        <f t="shared" si="2"/>
        <v>180000</v>
      </c>
      <c r="G9" s="62">
        <f t="shared" si="0"/>
        <v>2460</v>
      </c>
      <c r="H9" s="62">
        <f t="shared" si="1"/>
        <v>73800</v>
      </c>
    </row>
    <row r="10" spans="1:8" ht="16" customHeight="1" x14ac:dyDescent="0.35">
      <c r="A10" s="119"/>
      <c r="B10" s="60" t="s">
        <v>259</v>
      </c>
      <c r="C10" s="52" t="s">
        <v>250</v>
      </c>
      <c r="D10" s="62">
        <f>ROUND(('[1]Insumos de Copeiragem'!$W$16/10),2)</f>
        <v>0.2</v>
      </c>
      <c r="E10" s="66">
        <v>1100</v>
      </c>
      <c r="F10" s="66">
        <f t="shared" si="2"/>
        <v>33000</v>
      </c>
      <c r="G10" s="62">
        <f t="shared" si="0"/>
        <v>220</v>
      </c>
      <c r="H10" s="62">
        <f t="shared" si="1"/>
        <v>6600</v>
      </c>
    </row>
    <row r="11" spans="1:8" ht="16" customHeight="1" x14ac:dyDescent="0.35">
      <c r="A11" s="119"/>
      <c r="B11" s="60" t="s">
        <v>260</v>
      </c>
      <c r="C11" s="52" t="s">
        <v>250</v>
      </c>
      <c r="D11" s="62">
        <f>'[1]Insumos de Copeiragem'!$W$17</f>
        <v>5.2549999999999999</v>
      </c>
      <c r="E11" s="66">
        <v>2</v>
      </c>
      <c r="F11" s="66">
        <f t="shared" si="2"/>
        <v>60</v>
      </c>
      <c r="G11" s="62">
        <f t="shared" si="0"/>
        <v>10.51</v>
      </c>
      <c r="H11" s="62">
        <f t="shared" si="1"/>
        <v>315.3</v>
      </c>
    </row>
    <row r="12" spans="1:8" ht="16" customHeight="1" x14ac:dyDescent="0.35">
      <c r="A12" s="119"/>
      <c r="B12" s="60" t="s">
        <v>261</v>
      </c>
      <c r="C12" s="52" t="s">
        <v>262</v>
      </c>
      <c r="D12" s="62">
        <f>'[1]Insumos de Copeiragem'!$W$18</f>
        <v>1.99</v>
      </c>
      <c r="E12" s="66">
        <v>22</v>
      </c>
      <c r="F12" s="66">
        <f t="shared" si="2"/>
        <v>660</v>
      </c>
      <c r="G12" s="62">
        <f t="shared" si="0"/>
        <v>43.78</v>
      </c>
      <c r="H12" s="62">
        <f t="shared" si="1"/>
        <v>1313.4</v>
      </c>
    </row>
    <row r="13" spans="1:8" ht="16" customHeight="1" x14ac:dyDescent="0.35">
      <c r="A13" s="119"/>
      <c r="B13" s="60" t="s">
        <v>263</v>
      </c>
      <c r="C13" s="52" t="s">
        <v>250</v>
      </c>
      <c r="D13" s="62">
        <f>'[1]Insumos de Copeiragem'!$W$19</f>
        <v>3.9041666666666668</v>
      </c>
      <c r="E13" s="66">
        <v>12</v>
      </c>
      <c r="F13" s="66">
        <f t="shared" si="2"/>
        <v>360</v>
      </c>
      <c r="G13" s="62">
        <f t="shared" si="0"/>
        <v>46.85</v>
      </c>
      <c r="H13" s="62">
        <f t="shared" si="1"/>
        <v>1405.5</v>
      </c>
    </row>
    <row r="14" spans="1:8" ht="16" customHeight="1" x14ac:dyDescent="0.35">
      <c r="A14" s="120"/>
      <c r="B14" s="111" t="s">
        <v>294</v>
      </c>
      <c r="C14" s="112"/>
      <c r="D14" s="112"/>
      <c r="E14" s="113"/>
      <c r="F14" s="69"/>
      <c r="G14" s="70">
        <f>SUM(G4:G13)</f>
        <v>8802.215000000002</v>
      </c>
      <c r="H14" s="70">
        <f>SUM(H4:H13)</f>
        <v>264066.45</v>
      </c>
    </row>
    <row r="15" spans="1:8" ht="16" customHeight="1" x14ac:dyDescent="0.35">
      <c r="A15" s="118" t="s">
        <v>287</v>
      </c>
      <c r="B15" s="60" t="s">
        <v>265</v>
      </c>
      <c r="C15" s="52" t="s">
        <v>250</v>
      </c>
      <c r="D15" s="62">
        <f>'[1]Insumos de Copeiragem'!$W$23</f>
        <v>33.319477750000004</v>
      </c>
      <c r="E15" s="66">
        <v>6</v>
      </c>
      <c r="F15" s="66">
        <f>ROUND(E15*2.5,0)</f>
        <v>15</v>
      </c>
      <c r="G15" s="62">
        <f>ROUND(H15/30,2)</f>
        <v>16.66</v>
      </c>
      <c r="H15" s="62">
        <f>D15*F15</f>
        <v>499.79216625000004</v>
      </c>
    </row>
    <row r="16" spans="1:8" ht="16" customHeight="1" x14ac:dyDescent="0.35">
      <c r="A16" s="119"/>
      <c r="B16" s="60" t="s">
        <v>266</v>
      </c>
      <c r="C16" s="52" t="s">
        <v>250</v>
      </c>
      <c r="D16" s="62">
        <f>'[1]Insumos de Copeiragem'!$W$24</f>
        <v>38.25</v>
      </c>
      <c r="E16" s="66">
        <v>21</v>
      </c>
      <c r="F16" s="66">
        <f t="shared" ref="F16:F31" si="3">ROUND(E16*2.5,0)</f>
        <v>53</v>
      </c>
      <c r="G16" s="62">
        <f t="shared" ref="G16:G31" si="4">ROUND(H16/30,2)</f>
        <v>67.58</v>
      </c>
      <c r="H16" s="62">
        <f t="shared" ref="H16:H31" si="5">D16*F16</f>
        <v>2027.25</v>
      </c>
    </row>
    <row r="17" spans="1:8" ht="16" customHeight="1" x14ac:dyDescent="0.35">
      <c r="A17" s="119"/>
      <c r="B17" s="60" t="s">
        <v>267</v>
      </c>
      <c r="C17" s="52" t="s">
        <v>250</v>
      </c>
      <c r="D17" s="62">
        <f>'[1]Insumos de Copeiragem'!$W$25</f>
        <v>67.849999999999994</v>
      </c>
      <c r="E17" s="66">
        <v>4</v>
      </c>
      <c r="F17" s="66">
        <f t="shared" si="3"/>
        <v>10</v>
      </c>
      <c r="G17" s="62">
        <f t="shared" si="4"/>
        <v>22.62</v>
      </c>
      <c r="H17" s="62">
        <f t="shared" si="5"/>
        <v>678.5</v>
      </c>
    </row>
    <row r="18" spans="1:8" ht="16" customHeight="1" x14ac:dyDescent="0.35">
      <c r="A18" s="119"/>
      <c r="B18" s="60" t="s">
        <v>268</v>
      </c>
      <c r="C18" s="52" t="s">
        <v>250</v>
      </c>
      <c r="D18" s="62">
        <f>'[1]Insumos de Copeiragem'!$W$26</f>
        <v>53.89</v>
      </c>
      <c r="E18" s="66">
        <v>9</v>
      </c>
      <c r="F18" s="66">
        <f t="shared" si="3"/>
        <v>23</v>
      </c>
      <c r="G18" s="62">
        <f t="shared" si="4"/>
        <v>41.32</v>
      </c>
      <c r="H18" s="62">
        <f t="shared" si="5"/>
        <v>1239.47</v>
      </c>
    </row>
    <row r="19" spans="1:8" ht="16" customHeight="1" x14ac:dyDescent="0.35">
      <c r="A19" s="119"/>
      <c r="B19" s="60" t="s">
        <v>269</v>
      </c>
      <c r="C19" s="52" t="s">
        <v>250</v>
      </c>
      <c r="D19" s="62">
        <f>'[1]Insumos de Copeiragem'!$W$27</f>
        <v>2.04</v>
      </c>
      <c r="E19" s="66">
        <v>70</v>
      </c>
      <c r="F19" s="66">
        <f t="shared" si="3"/>
        <v>175</v>
      </c>
      <c r="G19" s="62">
        <f t="shared" si="4"/>
        <v>11.9</v>
      </c>
      <c r="H19" s="62">
        <f t="shared" si="5"/>
        <v>357</v>
      </c>
    </row>
    <row r="20" spans="1:8" ht="16" customHeight="1" x14ac:dyDescent="0.35">
      <c r="A20" s="119"/>
      <c r="B20" s="60" t="s">
        <v>270</v>
      </c>
      <c r="C20" s="52" t="s">
        <v>250</v>
      </c>
      <c r="D20" s="62">
        <f>'[1]Insumos de Copeiragem'!$W$28</f>
        <v>2.5044427625000001</v>
      </c>
      <c r="E20" s="66">
        <v>39</v>
      </c>
      <c r="F20" s="66">
        <f t="shared" si="3"/>
        <v>98</v>
      </c>
      <c r="G20" s="62">
        <f t="shared" si="4"/>
        <v>8.18</v>
      </c>
      <c r="H20" s="62">
        <f t="shared" si="5"/>
        <v>245.43539072500002</v>
      </c>
    </row>
    <row r="21" spans="1:8" ht="16" customHeight="1" x14ac:dyDescent="0.35">
      <c r="A21" s="119"/>
      <c r="B21" s="60" t="s">
        <v>271</v>
      </c>
      <c r="C21" s="52" t="s">
        <v>250</v>
      </c>
      <c r="D21" s="62">
        <f>'[1]Insumos de Copeiragem'!$W$29</f>
        <v>7.73</v>
      </c>
      <c r="E21" s="66">
        <v>25</v>
      </c>
      <c r="F21" s="66">
        <f t="shared" si="3"/>
        <v>63</v>
      </c>
      <c r="G21" s="62">
        <f t="shared" si="4"/>
        <v>16.23</v>
      </c>
      <c r="H21" s="62">
        <f t="shared" si="5"/>
        <v>486.99</v>
      </c>
    </row>
    <row r="22" spans="1:8" ht="16" customHeight="1" x14ac:dyDescent="0.35">
      <c r="A22" s="119"/>
      <c r="B22" s="60" t="s">
        <v>272</v>
      </c>
      <c r="C22" s="52" t="s">
        <v>250</v>
      </c>
      <c r="D22" s="62">
        <f>'[1]Insumos de Copeiragem'!$W$30</f>
        <v>5.6</v>
      </c>
      <c r="E22" s="66">
        <v>399</v>
      </c>
      <c r="F22" s="66">
        <f t="shared" si="3"/>
        <v>998</v>
      </c>
      <c r="G22" s="62">
        <f t="shared" si="4"/>
        <v>186.29</v>
      </c>
      <c r="H22" s="62">
        <f t="shared" si="5"/>
        <v>5588.7999999999993</v>
      </c>
    </row>
    <row r="23" spans="1:8" ht="16" customHeight="1" x14ac:dyDescent="0.35">
      <c r="A23" s="119"/>
      <c r="B23" s="60" t="s">
        <v>273</v>
      </c>
      <c r="C23" s="52" t="s">
        <v>250</v>
      </c>
      <c r="D23" s="62">
        <f>'[1]Insumos de Copeiragem'!$W$31</f>
        <v>13.49</v>
      </c>
      <c r="E23" s="66">
        <v>5</v>
      </c>
      <c r="F23" s="66">
        <f t="shared" si="3"/>
        <v>13</v>
      </c>
      <c r="G23" s="62">
        <f t="shared" si="4"/>
        <v>5.85</v>
      </c>
      <c r="H23" s="62">
        <f t="shared" si="5"/>
        <v>175.37</v>
      </c>
    </row>
    <row r="24" spans="1:8" ht="16" customHeight="1" x14ac:dyDescent="0.35">
      <c r="A24" s="119"/>
      <c r="B24" s="60" t="s">
        <v>274</v>
      </c>
      <c r="C24" s="52" t="s">
        <v>250</v>
      </c>
      <c r="D24" s="62">
        <f>'[1]Insumos de Copeiragem'!$W$32</f>
        <v>69.900000000000006</v>
      </c>
      <c r="E24" s="66">
        <v>42</v>
      </c>
      <c r="F24" s="66">
        <f t="shared" si="3"/>
        <v>105</v>
      </c>
      <c r="G24" s="62">
        <f t="shared" si="4"/>
        <v>244.65</v>
      </c>
      <c r="H24" s="62">
        <f t="shared" si="5"/>
        <v>7339.5000000000009</v>
      </c>
    </row>
    <row r="25" spans="1:8" ht="16" customHeight="1" x14ac:dyDescent="0.35">
      <c r="A25" s="119"/>
      <c r="B25" s="60" t="s">
        <v>275</v>
      </c>
      <c r="C25" s="52" t="s">
        <v>250</v>
      </c>
      <c r="D25" s="62">
        <f>'[1]Insumos de Copeiragem'!$W$33</f>
        <v>96.2405468125</v>
      </c>
      <c r="E25" s="66">
        <v>49</v>
      </c>
      <c r="F25" s="66">
        <f t="shared" si="3"/>
        <v>123</v>
      </c>
      <c r="G25" s="62">
        <f t="shared" si="4"/>
        <v>394.59</v>
      </c>
      <c r="H25" s="62">
        <f t="shared" si="5"/>
        <v>11837.587257937499</v>
      </c>
    </row>
    <row r="26" spans="1:8" ht="16" customHeight="1" x14ac:dyDescent="0.35">
      <c r="A26" s="119"/>
      <c r="B26" s="60" t="s">
        <v>276</v>
      </c>
      <c r="C26" s="52" t="s">
        <v>250</v>
      </c>
      <c r="D26" s="62">
        <f>'[1]Insumos de Copeiragem'!$W$34</f>
        <v>99</v>
      </c>
      <c r="E26" s="66">
        <v>18</v>
      </c>
      <c r="F26" s="66">
        <f t="shared" si="3"/>
        <v>45</v>
      </c>
      <c r="G26" s="62">
        <f t="shared" si="4"/>
        <v>148.5</v>
      </c>
      <c r="H26" s="62">
        <f t="shared" si="5"/>
        <v>4455</v>
      </c>
    </row>
    <row r="27" spans="1:8" ht="16" customHeight="1" x14ac:dyDescent="0.35">
      <c r="A27" s="119"/>
      <c r="B27" s="60" t="s">
        <v>277</v>
      </c>
      <c r="C27" s="52" t="s">
        <v>250</v>
      </c>
      <c r="D27" s="62">
        <f>'[1]Insumos de Copeiragem'!$W$35</f>
        <v>8.7050000000000001</v>
      </c>
      <c r="E27" s="66">
        <v>80</v>
      </c>
      <c r="F27" s="66">
        <f t="shared" si="3"/>
        <v>200</v>
      </c>
      <c r="G27" s="62">
        <f t="shared" si="4"/>
        <v>58.03</v>
      </c>
      <c r="H27" s="62">
        <f t="shared" si="5"/>
        <v>1741</v>
      </c>
    </row>
    <row r="28" spans="1:8" ht="16" customHeight="1" x14ac:dyDescent="0.35">
      <c r="A28" s="119"/>
      <c r="B28" s="60" t="s">
        <v>278</v>
      </c>
      <c r="C28" s="52" t="s">
        <v>250</v>
      </c>
      <c r="D28" s="62">
        <f>'[1]Insumos de Copeiragem'!$W$36</f>
        <v>21</v>
      </c>
      <c r="E28" s="66">
        <v>10</v>
      </c>
      <c r="F28" s="66">
        <f t="shared" si="3"/>
        <v>25</v>
      </c>
      <c r="G28" s="62">
        <f t="shared" si="4"/>
        <v>17.5</v>
      </c>
      <c r="H28" s="62">
        <f t="shared" si="5"/>
        <v>525</v>
      </c>
    </row>
    <row r="29" spans="1:8" ht="16" customHeight="1" x14ac:dyDescent="0.35">
      <c r="A29" s="119"/>
      <c r="B29" s="60" t="s">
        <v>279</v>
      </c>
      <c r="C29" s="52" t="s">
        <v>250</v>
      </c>
      <c r="D29" s="62">
        <f>'[1]Insumos de Copeiragem'!$W$37</f>
        <v>99</v>
      </c>
      <c r="E29" s="66">
        <v>59</v>
      </c>
      <c r="F29" s="66">
        <f t="shared" si="3"/>
        <v>148</v>
      </c>
      <c r="G29" s="62">
        <f t="shared" si="4"/>
        <v>488.4</v>
      </c>
      <c r="H29" s="62">
        <f t="shared" si="5"/>
        <v>14652</v>
      </c>
    </row>
    <row r="30" spans="1:8" ht="16" customHeight="1" x14ac:dyDescent="0.35">
      <c r="A30" s="119"/>
      <c r="B30" s="60" t="s">
        <v>280</v>
      </c>
      <c r="C30" s="52" t="s">
        <v>250</v>
      </c>
      <c r="D30" s="62">
        <f>'[1]Insumos de Copeiragem'!$W$38</f>
        <v>8.42</v>
      </c>
      <c r="E30" s="66">
        <v>206</v>
      </c>
      <c r="F30" s="66">
        <f t="shared" si="3"/>
        <v>515</v>
      </c>
      <c r="G30" s="62">
        <f t="shared" si="4"/>
        <v>144.54</v>
      </c>
      <c r="H30" s="62">
        <f t="shared" si="5"/>
        <v>4336.3</v>
      </c>
    </row>
    <row r="31" spans="1:8" ht="16" customHeight="1" x14ac:dyDescent="0.35">
      <c r="A31" s="119"/>
      <c r="B31" s="60" t="s">
        <v>281</v>
      </c>
      <c r="C31" s="52" t="s">
        <v>250</v>
      </c>
      <c r="D31" s="62">
        <f>'[1]Insumos de Copeiragem'!$W$39</f>
        <v>9.3949999999999996</v>
      </c>
      <c r="E31" s="66">
        <v>180</v>
      </c>
      <c r="F31" s="66">
        <f t="shared" si="3"/>
        <v>450</v>
      </c>
      <c r="G31" s="62">
        <f t="shared" si="4"/>
        <v>140.93</v>
      </c>
      <c r="H31" s="62">
        <f t="shared" si="5"/>
        <v>4227.75</v>
      </c>
    </row>
    <row r="32" spans="1:8" ht="16" customHeight="1" x14ac:dyDescent="0.35">
      <c r="A32" s="120"/>
      <c r="B32" s="111" t="s">
        <v>295</v>
      </c>
      <c r="C32" s="112"/>
      <c r="D32" s="112"/>
      <c r="E32" s="113"/>
      <c r="F32" s="69"/>
      <c r="G32" s="70">
        <f>SUM(G15:G31)</f>
        <v>2013.7699999999998</v>
      </c>
      <c r="H32" s="70">
        <f>SUM(H15:H31)</f>
        <v>60412.744814912505</v>
      </c>
    </row>
    <row r="33" spans="1:8" ht="16" customHeight="1" x14ac:dyDescent="0.35">
      <c r="A33" s="108" t="s">
        <v>97</v>
      </c>
      <c r="B33" s="60" t="s">
        <v>282</v>
      </c>
      <c r="C33" s="52" t="s">
        <v>250</v>
      </c>
      <c r="D33" s="62">
        <f>'[1]Insumos de Copeiragem'!$W$43</f>
        <v>858.93622852499993</v>
      </c>
      <c r="E33" s="66">
        <v>11</v>
      </c>
      <c r="F33" s="66">
        <v>11</v>
      </c>
      <c r="G33" s="62">
        <f>E33*((D33*0.8)/(12*5))</f>
        <v>125.977313517</v>
      </c>
      <c r="H33" s="62">
        <f>G33*30</f>
        <v>3779.3194055099998</v>
      </c>
    </row>
    <row r="34" spans="1:8" ht="16" customHeight="1" x14ac:dyDescent="0.35">
      <c r="A34" s="109"/>
      <c r="B34" s="60" t="s">
        <v>283</v>
      </c>
      <c r="C34" s="52" t="s">
        <v>250</v>
      </c>
      <c r="D34" s="62">
        <f>'[1]Insumos de Copeiragem'!$W$44</f>
        <v>737.78</v>
      </c>
      <c r="E34" s="66">
        <v>8</v>
      </c>
      <c r="F34" s="66">
        <v>8</v>
      </c>
      <c r="G34" s="62">
        <f t="shared" ref="G34:G37" si="6">E34*((D34*0.8)/(12*5))</f>
        <v>78.696533333333335</v>
      </c>
      <c r="H34" s="62">
        <f t="shared" ref="H34:H37" si="7">G34*30</f>
        <v>2360.8960000000002</v>
      </c>
    </row>
    <row r="35" spans="1:8" ht="16" customHeight="1" x14ac:dyDescent="0.35">
      <c r="A35" s="109"/>
      <c r="B35" s="60" t="s">
        <v>284</v>
      </c>
      <c r="C35" s="52" t="s">
        <v>250</v>
      </c>
      <c r="D35" s="62">
        <f>'[1]Insumos de Copeiragem'!$W$45</f>
        <v>999.5</v>
      </c>
      <c r="E35" s="66">
        <v>9</v>
      </c>
      <c r="F35" s="66">
        <v>9</v>
      </c>
      <c r="G35" s="62">
        <f t="shared" si="6"/>
        <v>119.94</v>
      </c>
      <c r="H35" s="62">
        <f t="shared" si="7"/>
        <v>3598.2</v>
      </c>
    </row>
    <row r="36" spans="1:8" ht="16" customHeight="1" x14ac:dyDescent="0.35">
      <c r="A36" s="109"/>
      <c r="B36" s="60" t="s">
        <v>285</v>
      </c>
      <c r="C36" s="52" t="s">
        <v>250</v>
      </c>
      <c r="D36" s="62">
        <f>'[1]Insumos de Copeiragem'!$W$46</f>
        <v>1226</v>
      </c>
      <c r="E36" s="66">
        <v>9</v>
      </c>
      <c r="F36" s="66">
        <v>9</v>
      </c>
      <c r="G36" s="62">
        <f t="shared" si="6"/>
        <v>147.12</v>
      </c>
      <c r="H36" s="62">
        <f t="shared" si="7"/>
        <v>4413.6000000000004</v>
      </c>
    </row>
    <row r="37" spans="1:8" ht="16" customHeight="1" x14ac:dyDescent="0.35">
      <c r="A37" s="109"/>
      <c r="B37" s="60" t="s">
        <v>286</v>
      </c>
      <c r="C37" s="52" t="s">
        <v>250</v>
      </c>
      <c r="D37" s="62">
        <f>'[1]Insumos de Copeiragem'!$W$47</f>
        <v>2666.69</v>
      </c>
      <c r="E37" s="66">
        <v>7</v>
      </c>
      <c r="F37" s="66">
        <v>7</v>
      </c>
      <c r="G37" s="62">
        <f t="shared" si="6"/>
        <v>248.89106666666672</v>
      </c>
      <c r="H37" s="62">
        <f t="shared" si="7"/>
        <v>7466.7320000000018</v>
      </c>
    </row>
    <row r="38" spans="1:8" ht="16" customHeight="1" x14ac:dyDescent="0.35">
      <c r="A38" s="110"/>
      <c r="B38" s="111" t="s">
        <v>296</v>
      </c>
      <c r="C38" s="112"/>
      <c r="D38" s="112"/>
      <c r="E38" s="113"/>
      <c r="F38" s="69"/>
      <c r="G38" s="70">
        <f>SUM(G33:G37)</f>
        <v>720.6249135170001</v>
      </c>
      <c r="H38" s="70">
        <f>SUM(H33:H37)</f>
        <v>21618.747405510003</v>
      </c>
    </row>
    <row r="39" spans="1:8" ht="16" customHeight="1" x14ac:dyDescent="0.35">
      <c r="A39" s="114" t="s">
        <v>297</v>
      </c>
      <c r="B39" s="115"/>
      <c r="C39" s="115"/>
      <c r="D39" s="115"/>
      <c r="E39" s="115"/>
      <c r="F39" s="116"/>
      <c r="G39" s="68">
        <f>G14+G32+G38</f>
        <v>11536.609913517002</v>
      </c>
      <c r="H39" s="68">
        <f>H14+H32+H38</f>
        <v>346097.9422204225</v>
      </c>
    </row>
  </sheetData>
  <mergeCells count="9">
    <mergeCell ref="A39:F39"/>
    <mergeCell ref="A1:H1"/>
    <mergeCell ref="A2:H2"/>
    <mergeCell ref="B14:E14"/>
    <mergeCell ref="B32:E32"/>
    <mergeCell ref="B38:E38"/>
    <mergeCell ref="A4:A14"/>
    <mergeCell ref="A15:A32"/>
    <mergeCell ref="A33:A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Consolidação</vt:lpstr>
      <vt:lpstr>Grupo 1 - Servente de Limpeza</vt:lpstr>
      <vt:lpstr>Grupo 1 - Copeiragem</vt:lpstr>
      <vt:lpstr>Grupo 1 - Garçonaria</vt:lpstr>
      <vt:lpstr>Grupo 1 - Carregador</vt:lpstr>
      <vt:lpstr>Grupo 1 - Supervisão</vt:lpstr>
      <vt:lpstr>Grupo 1 - Uniformes</vt:lpstr>
      <vt:lpstr>Grupo 1 - Insumos de Limpeza</vt:lpstr>
      <vt:lpstr>Grupo 1 - Insumos de Copeiragem</vt:lpstr>
      <vt:lpstr>Grupo 2 - Motorista</vt:lpstr>
      <vt:lpstr>Grupo 2 - Horas-extras</vt:lpstr>
      <vt:lpstr>Grupo 2 - Diárias</vt:lpstr>
      <vt:lpstr>Grupo 2 - Uniformes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Arcangela Silva Casagrande</dc:creator>
  <cp:keywords/>
  <dc:description/>
  <cp:lastModifiedBy>Bruno de Jesus Viana</cp:lastModifiedBy>
  <cp:revision/>
  <cp:lastPrinted>2020-10-15T15:48:02Z</cp:lastPrinted>
  <dcterms:created xsi:type="dcterms:W3CDTF">2018-01-23T19:35:16Z</dcterms:created>
  <dcterms:modified xsi:type="dcterms:W3CDTF">2023-07-10T18:36:08Z</dcterms:modified>
  <cp:category/>
  <cp:contentStatus/>
</cp:coreProperties>
</file>