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https://d.docs.live.net/31f2bc56bf9b5b9a/95 Infra SA/Demanda/04 FCA/Orçamento/Orçamento Referencial/"/>
    </mc:Choice>
  </mc:AlternateContent>
  <xr:revisionPtr revIDLastSave="735" documentId="8_{C72F81F4-2ABC-454C-AF1E-8E64FCCA56DD}" xr6:coauthVersionLast="47" xr6:coauthVersionMax="47" xr10:uidLastSave="{6035999D-95BD-4DDC-8E37-C7EB9F366DA3}"/>
  <bookViews>
    <workbookView xWindow="-120" yWindow="-120" windowWidth="29040" windowHeight="15840" xr2:uid="{7A053977-628C-4F3F-80FC-AA508DB4CA4E}"/>
  </bookViews>
  <sheets>
    <sheet name="Dados" sheetId="19" r:id="rId1"/>
    <sheet name="Resumo" sheetId="24" r:id="rId2"/>
    <sheet name="Produtos" sheetId="26" r:id="rId3"/>
    <sheet name="Recursos" sheetId="27" r:id="rId4"/>
    <sheet name="Resumo-NT" sheetId="50" r:id="rId5"/>
    <sheet name="Mem.Cálculo-&gt;" sheetId="35" r:id="rId6"/>
    <sheet name="Cronograma" sheetId="21" r:id="rId7"/>
    <sheet name="Alocação MO" sheetId="7" r:id="rId8"/>
    <sheet name="BDI" sheetId="28" r:id="rId9"/>
    <sheet name="1.PdT" sheetId="42" r:id="rId10"/>
    <sheet name="2.EMD" sheetId="10" r:id="rId11"/>
    <sheet name="3.1.EEN" sheetId="11" r:id="rId12"/>
    <sheet name="3.2.EEN" sheetId="31" r:id="rId13"/>
    <sheet name="4.EOP" sheetId="12" r:id="rId14"/>
    <sheet name="5.EMA" sheetId="13" r:id="rId15"/>
    <sheet name="6.MEF" sheetId="14" r:id="rId16"/>
    <sheet name="7.EJR" sheetId="15" r:id="rId17"/>
    <sheet name="8.GPeR" sheetId="49" r:id="rId18"/>
    <sheet name="Inspeção-Veículo" sheetId="47" r:id="rId19"/>
    <sheet name="Diárias e Passagens" sheetId="40" r:id="rId20"/>
    <sheet name="Preços-&gt;" sheetId="36" r:id="rId21"/>
    <sheet name="Diárias" sheetId="30" r:id="rId22"/>
    <sheet name="Voos" sheetId="44" r:id="rId23"/>
    <sheet name="Voos Pesquisa" sheetId="45" r:id="rId24"/>
    <sheet name="SICFER" sheetId="23" r:id="rId25"/>
    <sheet name="TC 07-2023" sheetId="2" r:id="rId26"/>
    <sheet name="TC-CustosGerais" sheetId="32" r:id="rId27"/>
    <sheet name="Categorias" sheetId="5" r:id="rId28"/>
    <sheet name="Equip.Info" sheetId="17" r:id="rId29"/>
    <sheet name="Mat.Info" sheetId="18" r:id="rId30"/>
  </sheets>
  <externalReferences>
    <externalReference r:id="rId31"/>
    <externalReference r:id="rId32"/>
    <externalReference r:id="rId33"/>
    <externalReference r:id="rId34"/>
    <externalReference r:id="rId35"/>
    <externalReference r:id="rId36"/>
    <externalReference r:id="rId37"/>
  </externalReferences>
  <definedNames>
    <definedName name="\i" localSheetId="19">#REF!</definedName>
    <definedName name="\i">#REF!</definedName>
    <definedName name="_xlnm._FilterDatabase" localSheetId="19" hidden="1">'Diárias e Passagens'!$B$7:$P$76</definedName>
    <definedName name="_xlnm._FilterDatabase" localSheetId="2" hidden="1">Produtos!$B$5:$AS$25</definedName>
    <definedName name="_xlnm._FilterDatabase" localSheetId="3" hidden="1">Recursos!$C$4:$L$109</definedName>
    <definedName name="_xlnm._FilterDatabase" localSheetId="25" hidden="1">'TC 07-2023'!$B$1:$Z$102</definedName>
    <definedName name="_p0">#REF!</definedName>
    <definedName name="_p1">#REF!</definedName>
    <definedName name="_p2">#REF!</definedName>
    <definedName name="_p3">#REF!</definedName>
    <definedName name="_p4">#REF!</definedName>
    <definedName name="_t3">#REF!</definedName>
    <definedName name="_t4">#REF!</definedName>
    <definedName name="A" localSheetId="19">#REF!</definedName>
    <definedName name="A">#REF!</definedName>
    <definedName name="AAAAAAATeste" localSheetId="19">#REF!</definedName>
    <definedName name="AAAAAAATeste">#REF!</definedName>
    <definedName name="_xlnm.Print_Area" localSheetId="9">'1.PdT'!$A$1:$L$52</definedName>
    <definedName name="_xlnm.Print_Area" localSheetId="10">'2.EMD'!$A$1:$L$53</definedName>
    <definedName name="_xlnm.Print_Area" localSheetId="11">'3.1.EEN'!$A$1:$L$53</definedName>
    <definedName name="_xlnm.Print_Area" localSheetId="12">'3.2.EEN'!$A$1:$L$53</definedName>
    <definedName name="_xlnm.Print_Area" localSheetId="13">'4.EOP'!$A$1:$L$53</definedName>
    <definedName name="_xlnm.Print_Area" localSheetId="14">'5.EMA'!$A$1:$L$52</definedName>
    <definedName name="_xlnm.Print_Area" localSheetId="15">'6.MEF'!$A$1:$L$52</definedName>
    <definedName name="_xlnm.Print_Area" localSheetId="16">'7.EJR'!$A$1:$L$52</definedName>
    <definedName name="_xlnm.Print_Area" localSheetId="17">'8.GPeR'!$A$1:$L$52</definedName>
    <definedName name="_xlnm.Print_Area" localSheetId="8">BDI!$A$1:$F$24</definedName>
    <definedName name="_xlnm.Print_Area" localSheetId="19">'Diárias e Passagens'!$B$2:$P$82</definedName>
    <definedName name="_xlnm.Print_Area" localSheetId="2">Produtos!$B$2:$AQ$25</definedName>
    <definedName name="_xlnm.Print_Area" localSheetId="3">Recursos!$B$1:$L$109</definedName>
    <definedName name="_xlnm.Print_Area" localSheetId="4">'Resumo-NT'!$B$2:$N$15</definedName>
    <definedName name="_xlnm.Print_Area" localSheetId="25">'TC 07-2023'!$A$1:$AA$102</definedName>
    <definedName name="_xlnm.Print_Area" localSheetId="26">'TC-CustosGerais'!$A$1:$H$24</definedName>
    <definedName name="Área_impressão_IM">#N/A</definedName>
    <definedName name="ArqFfbPln010CrtCnc" localSheetId="19">#REF!</definedName>
    <definedName name="ArqFfbPln010CrtCnc">#REF!</definedName>
    <definedName name="ArqFfbPln012CitCnc" localSheetId="19">#REF!</definedName>
    <definedName name="ArqFfbPln012CitCnc">#REF!</definedName>
    <definedName name="ArqFfbPln015BdbCnc" localSheetId="19">#REF!</definedName>
    <definedName name="ArqFfbPln015BdbCnc">#REF!</definedName>
    <definedName name="ArqFfbPln020CitCqeCnc" localSheetId="19">#REF!</definedName>
    <definedName name="ArqFfbPln020CitCqeCnc">#REF!</definedName>
    <definedName name="auxiliar" localSheetId="19">#REF!</definedName>
    <definedName name="auxiliar">#REF!</definedName>
    <definedName name="BalFeG">'[1]200'!$B$1:$B$4</definedName>
    <definedName name="BalFfb">'[2]120'!$B$1:$B$4</definedName>
    <definedName name="_xlnm.Database" localSheetId="19">#REF!</definedName>
    <definedName name="_xlnm.Database">#REF!</definedName>
    <definedName name="BdbCnc">'[2]015'!$B$2:$B$3</definedName>
    <definedName name="CCM" localSheetId="19">#REF!</definedName>
    <definedName name="CCM">#REF!</definedName>
    <definedName name="chgg" localSheetId="19">#REF!</definedName>
    <definedName name="chgg">#REF!</definedName>
    <definedName name="Chk" localSheetId="19">#REF!</definedName>
    <definedName name="Chk">#REF!</definedName>
    <definedName name="CitCnc">'[2]012'!$B$1:$B$4</definedName>
    <definedName name="CitCqeCnc">'[2]020'!$B$1:$B$4</definedName>
    <definedName name="ClcCta" localSheetId="19">#REF!</definedName>
    <definedName name="ClcCta">#REF!</definedName>
    <definedName name="cm">#REF!</definedName>
    <definedName name="COFINS" localSheetId="19">#REF!</definedName>
    <definedName name="COFINS">#REF!</definedName>
    <definedName name="cotacao" localSheetId="19">#REF!</definedName>
    <definedName name="cotacao">#REF!</definedName>
    <definedName name="CrtCnc">'[2]010'!$B$1:$B$3</definedName>
    <definedName name="ct" localSheetId="19">#REF!</definedName>
    <definedName name="ct">#REF!</definedName>
    <definedName name="cu" localSheetId="19">#REF!</definedName>
    <definedName name="cu">#REF!</definedName>
    <definedName name="Dados" localSheetId="19">#REF!</definedName>
    <definedName name="Dados">#REF!</definedName>
    <definedName name="DDDDDDD" localSheetId="19">#REF!</definedName>
    <definedName name="DDDDDDD">#REF!</definedName>
    <definedName name="Denominação" localSheetId="19">#REF!</definedName>
    <definedName name="Denominação">#REF!</definedName>
    <definedName name="des">#REF!</definedName>
    <definedName name="DESCRITIVO1" localSheetId="19">#REF!</definedName>
    <definedName name="DESCRITIVO1">#REF!</definedName>
    <definedName name="Diversos">#REF!</definedName>
    <definedName name="FeGAno" localSheetId="19">#REF!</definedName>
    <definedName name="FeGAno">#REF!</definedName>
    <definedName name="FfbClcCtaSnt" localSheetId="19">#REF!</definedName>
    <definedName name="FfbClcCtaSnt">#REF!</definedName>
    <definedName name="FfbClcSntMes" localSheetId="19">#REF!</definedName>
    <definedName name="FfbClcSntMes">#REF!</definedName>
    <definedName name="FfbRdtMes" localSheetId="19">#REF!</definedName>
    <definedName name="FfbRdtMes">#REF!</definedName>
    <definedName name="FOLHA1" localSheetId="19">#REF!</definedName>
    <definedName name="FOLHA1">#REF!</definedName>
    <definedName name="FOLHA2" localSheetId="19">#REF!</definedName>
    <definedName name="FOLHA2">#REF!</definedName>
    <definedName name="FOLHA3" localSheetId="19">#REF!</definedName>
    <definedName name="FOLHA3">#REF!</definedName>
    <definedName name="FOLHA4" localSheetId="19">#REF!</definedName>
    <definedName name="FOLHA4">#REF!</definedName>
    <definedName name="FOLHA5" localSheetId="19">#REF!</definedName>
    <definedName name="FOLHA5">#REF!</definedName>
    <definedName name="FOLHA6" localSheetId="19">#REF!</definedName>
    <definedName name="FOLHA6">#REF!</definedName>
    <definedName name="FOLHA7" localSheetId="19">#REF!</definedName>
    <definedName name="FOLHA7">#REF!</definedName>
    <definedName name="FOLHA8" localSheetId="19">#REF!</definedName>
    <definedName name="FOLHA8">#REF!</definedName>
    <definedName name="FOLHA9" localSheetId="19">#REF!</definedName>
    <definedName name="FOLHA9">#REF!</definedName>
    <definedName name="Idx" localSheetId="19">#REF!</definedName>
    <definedName name="Idx">#REF!</definedName>
    <definedName name="Imóveis">#REF!</definedName>
    <definedName name="InfCta" localSheetId="19">#REF!</definedName>
    <definedName name="InfCta">#REF!</definedName>
    <definedName name="Instalações">#REF!</definedName>
    <definedName name="jhfushfu" localSheetId="19">#REF!</definedName>
    <definedName name="jhfushfu">#REF!</definedName>
    <definedName name="jih" localSheetId="19">#REF!</definedName>
    <definedName name="jih">#REF!</definedName>
    <definedName name="jniunbi" localSheetId="19">#REF!</definedName>
    <definedName name="jniunbi">#REF!</definedName>
    <definedName name="jojo" localSheetId="19">#REF!</definedName>
    <definedName name="jojo">#REF!</definedName>
    <definedName name="k" localSheetId="19">#REF!</definedName>
    <definedName name="k">#REF!</definedName>
    <definedName name="KKKKK" localSheetId="19">#REF!</definedName>
    <definedName name="KKKKK">#REF!</definedName>
    <definedName name="koko" localSheetId="19">#REF!</definedName>
    <definedName name="koko">#REF!</definedName>
    <definedName name="kt" localSheetId="19">#REF!</definedName>
    <definedName name="kt">#REF!</definedName>
    <definedName name="lll" localSheetId="19">#REF!</definedName>
    <definedName name="lll">#REF!</definedName>
    <definedName name="MEM" localSheetId="19">#REF!</definedName>
    <definedName name="MEM">#REF!</definedName>
    <definedName name="Mobiliário">#REF!</definedName>
    <definedName name="MstTamCnc">'[2]30'!$B$1:$B$3</definedName>
    <definedName name="p" localSheetId="19">#REF!</definedName>
    <definedName name="p">#REF!</definedName>
    <definedName name="P.Aparente" localSheetId="19">#REF!</definedName>
    <definedName name="P.Aparente">#REF!</definedName>
    <definedName name="P.Reatia" localSheetId="19">#REF!</definedName>
    <definedName name="P.Reatia">#REF!</definedName>
    <definedName name="pativar" localSheetId="19">#REF!</definedName>
    <definedName name="pativar">#REF!</definedName>
    <definedName name="per" localSheetId="19">'[3]Qd.11-Orçamento'!#REF!</definedName>
    <definedName name="per">'[3]Qd.11-Orçamento'!#REF!</definedName>
    <definedName name="perp" localSheetId="19">#REF!</definedName>
    <definedName name="perp">#REF!</definedName>
    <definedName name="PIS" localSheetId="19">#REF!</definedName>
    <definedName name="PIS">#REF!</definedName>
    <definedName name="Pln010DtaTdd010L21Cab" localSheetId="19">#REF!</definedName>
    <definedName name="Pln010DtaTdd010L21Cab">#REF!</definedName>
    <definedName name="Pln010DtaTdd010L30Caa">[4]Dta!$AA$20:$AJ$1000</definedName>
    <definedName name="Potencia" localSheetId="19">#REF!</definedName>
    <definedName name="Potencia">#REF!</definedName>
    <definedName name="PQ_EMPR" localSheetId="19">#REF!</definedName>
    <definedName name="PQ_EMPR">#REF!</definedName>
    <definedName name="Print_Area_MI" localSheetId="19">#REF!</definedName>
    <definedName name="Print_Area_MI">#REF!</definedName>
    <definedName name="QtdCatDnit" localSheetId="19">#REF!</definedName>
    <definedName name="QtdCatDnit">#REF!</definedName>
    <definedName name="ref" localSheetId="19">#REF!</definedName>
    <definedName name="ref">#REF!</definedName>
    <definedName name="Referencial" localSheetId="27">#REF!</definedName>
    <definedName name="Referencial">#REF!</definedName>
    <definedName name="Rendimento" localSheetId="19">#REF!</definedName>
    <definedName name="Rendimento">#REF!</definedName>
    <definedName name="resultadorendimento" localSheetId="19">#REF!</definedName>
    <definedName name="resultadorendimento">#REF!</definedName>
    <definedName name="REV." localSheetId="19">#REF!</definedName>
    <definedName name="REV.">#REF!</definedName>
    <definedName name="RzoAll">'[5]300'!$B$1:$B$4</definedName>
    <definedName name="SkpCnc">'[2]019'!$B$1:$B$3</definedName>
    <definedName name="Subestação" localSheetId="19">#REF!</definedName>
    <definedName name="Subestação">#REF!</definedName>
    <definedName name="t" localSheetId="19">#REF!</definedName>
    <definedName name="t">#REF!</definedName>
    <definedName name="tabelaDenominação" localSheetId="19">#REF!</definedName>
    <definedName name="tabelaDenominação">#REF!</definedName>
    <definedName name="Tag_Carga" localSheetId="19">#REF!</definedName>
    <definedName name="Tag_Carga">#REF!</definedName>
    <definedName name="Tag_CCM" localSheetId="19">#REF!</definedName>
    <definedName name="Tag_CCM">#REF!</definedName>
    <definedName name="Tdf" localSheetId="19">#REF!</definedName>
    <definedName name="Tdf">#REF!</definedName>
    <definedName name="Teste" localSheetId="19">#REF!</definedName>
    <definedName name="Teste">#REF!</definedName>
    <definedName name="_xlnm.Print_Titles" localSheetId="19">'Diárias e Passagens'!$2:$9</definedName>
    <definedName name="_xlnm.Print_Titles" localSheetId="3">Recursos!$1:$4</definedName>
    <definedName name="_xlnm.Print_Titles" localSheetId="25">'TC 07-2023'!$1:$3</definedName>
    <definedName name="Títulos_impressão_IM" localSheetId="19">#REF!</definedName>
    <definedName name="Títulos_impressão_IM">#REF!</definedName>
    <definedName name="tt">#REF!</definedName>
    <definedName name="Veículos">#REF!</definedName>
    <definedName name="VnoCnc">'[2]018'!$B$1:$B$4</definedName>
    <definedName name="VsaCitCnc">'[2]040'!$B$1:$B$4</definedName>
    <definedName name="VsaPsgCnc">'[2]050'!$B$1:$B$4</definedName>
    <definedName name="x">#REF!</definedName>
    <definedName name="y">#REF!</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 i="19" l="1"/>
  <c r="A99" i="27" l="1"/>
  <c r="C51" i="27"/>
  <c r="B8" i="50"/>
  <c r="B7" i="50"/>
  <c r="B78" i="40" l="1"/>
  <c r="I49" i="40"/>
  <c r="I48" i="40"/>
  <c r="I47" i="40"/>
  <c r="I46" i="40"/>
  <c r="I35" i="40"/>
  <c r="I34" i="40"/>
  <c r="I33" i="40"/>
  <c r="G21" i="26"/>
  <c r="A59" i="40"/>
  <c r="A61" i="40" s="1"/>
  <c r="A62" i="40" s="1"/>
  <c r="A63" i="40" s="1"/>
  <c r="A64" i="40" s="1"/>
  <c r="A65" i="40" s="1"/>
  <c r="A66" i="40" s="1"/>
  <c r="A67" i="40" s="1"/>
  <c r="A68" i="40" s="1"/>
  <c r="A69" i="40" s="1"/>
  <c r="A70" i="40" s="1"/>
  <c r="A71" i="40" s="1"/>
  <c r="A51" i="40"/>
  <c r="A52" i="40" s="1"/>
  <c r="A53" i="40" s="1"/>
  <c r="A54" i="40" s="1"/>
  <c r="A55" i="40" s="1"/>
  <c r="A56" i="40" s="1"/>
  <c r="A57" i="40" s="1"/>
  <c r="A38" i="40"/>
  <c r="A39" i="40" s="1"/>
  <c r="A40" i="40" s="1"/>
  <c r="A41" i="40" s="1"/>
  <c r="A42" i="40" s="1"/>
  <c r="A43" i="40" s="1"/>
  <c r="A45" i="40" s="1"/>
  <c r="A46" i="40" s="1"/>
  <c r="A47" i="40" s="1"/>
  <c r="A48" i="40" s="1"/>
  <c r="A49" i="40" s="1"/>
  <c r="A37" i="40"/>
  <c r="A35" i="40"/>
  <c r="A34" i="40"/>
  <c r="A32" i="40"/>
  <c r="A15" i="40"/>
  <c r="A16" i="40"/>
  <c r="A17" i="40" s="1"/>
  <c r="A18" i="40" s="1"/>
  <c r="A19" i="40" s="1"/>
  <c r="A20" i="40" s="1"/>
  <c r="A21" i="40" s="1"/>
  <c r="A22" i="40" s="1"/>
  <c r="A23" i="40" s="1"/>
  <c r="A24" i="40" s="1"/>
  <c r="A25" i="40" s="1"/>
  <c r="A26" i="40" s="1"/>
  <c r="A27" i="40" s="1"/>
  <c r="A28" i="40" s="1"/>
  <c r="A29" i="40" s="1"/>
  <c r="A30" i="40" s="1"/>
  <c r="A14" i="40"/>
  <c r="A12" i="40"/>
  <c r="A11" i="40"/>
  <c r="A52" i="27"/>
  <c r="A53" i="27" s="1"/>
  <c r="A54" i="27" s="1"/>
  <c r="A31" i="27"/>
  <c r="A19" i="27"/>
  <c r="A20" i="27" s="1"/>
  <c r="A21" i="27" s="1"/>
  <c r="A22" i="27" s="1"/>
  <c r="A23" i="27" s="1"/>
  <c r="A24" i="27" s="1"/>
  <c r="A25" i="27" s="1"/>
  <c r="A26" i="27" s="1"/>
  <c r="A27" i="27" s="1"/>
  <c r="A28" i="27" s="1"/>
  <c r="A29" i="27" s="1"/>
  <c r="A6" i="27"/>
  <c r="A7" i="27" s="1"/>
  <c r="A8" i="27" s="1"/>
  <c r="A9" i="27" s="1"/>
  <c r="A10" i="27" s="1"/>
  <c r="A11" i="27" s="1"/>
  <c r="A12" i="27" s="1"/>
  <c r="A13" i="27" s="1"/>
  <c r="A14" i="27" s="1"/>
  <c r="A15" i="27" s="1"/>
  <c r="A16" i="27" s="1"/>
  <c r="A17" i="27" s="1"/>
  <c r="B15" i="50"/>
  <c r="D14" i="50"/>
  <c r="B6" i="50"/>
  <c r="B9" i="50"/>
  <c r="B10" i="50"/>
  <c r="B11" i="50"/>
  <c r="B12" i="50"/>
  <c r="B13" i="50"/>
  <c r="B14" i="50"/>
  <c r="C31" i="27" l="1"/>
  <c r="A32" i="27"/>
  <c r="A33" i="27" s="1"/>
  <c r="A34" i="27" s="1"/>
  <c r="A35" i="27" s="1"/>
  <c r="A36" i="27" s="1"/>
  <c r="A37" i="27" s="1"/>
  <c r="A38" i="27" s="1"/>
  <c r="A39" i="27" s="1"/>
  <c r="A40" i="27" s="1"/>
  <c r="A41" i="27" s="1"/>
  <c r="A42" i="27" s="1"/>
  <c r="A43" i="27" s="1"/>
  <c r="A44" i="27" s="1"/>
  <c r="A45" i="27" s="1"/>
  <c r="A46" i="27" s="1"/>
  <c r="A47" i="27" s="1"/>
  <c r="A48" i="27" s="1"/>
  <c r="A49" i="27" s="1"/>
  <c r="A50" i="27" s="1"/>
  <c r="C8" i="50"/>
  <c r="C7" i="50"/>
  <c r="K21" i="26"/>
  <c r="AB21" i="26" s="1"/>
  <c r="C42" i="27" l="1"/>
  <c r="T21" i="26"/>
  <c r="AJ21" i="26"/>
  <c r="M21" i="26"/>
  <c r="AQ21" i="26"/>
  <c r="S21" i="26"/>
  <c r="AP21" i="26"/>
  <c r="R21" i="26"/>
  <c r="AO21" i="26"/>
  <c r="AG21" i="26"/>
  <c r="Y21" i="26"/>
  <c r="Q21" i="26"/>
  <c r="AA21" i="26"/>
  <c r="Z21" i="26"/>
  <c r="AN21" i="26"/>
  <c r="AF21" i="26"/>
  <c r="X21" i="26"/>
  <c r="P21" i="26"/>
  <c r="AI21" i="26"/>
  <c r="AH21" i="26"/>
  <c r="AM21" i="26"/>
  <c r="AE21" i="26"/>
  <c r="W21" i="26"/>
  <c r="O21" i="26"/>
  <c r="AL21" i="26"/>
  <c r="AD21" i="26"/>
  <c r="V21" i="26"/>
  <c r="N21" i="26"/>
  <c r="AK21" i="26"/>
  <c r="AC21" i="26"/>
  <c r="U21" i="26"/>
  <c r="M35" i="40" l="1"/>
  <c r="M34" i="40"/>
  <c r="M49" i="40"/>
  <c r="M48" i="40"/>
  <c r="M47" i="40"/>
  <c r="M46" i="40"/>
  <c r="M33" i="40"/>
  <c r="B9" i="24"/>
  <c r="B5" i="50" s="1"/>
  <c r="A56" i="27"/>
  <c r="A57" i="27" s="1"/>
  <c r="A58" i="27" s="1"/>
  <c r="A59" i="27" s="1"/>
  <c r="A60" i="27" s="1"/>
  <c r="A61" i="27" s="1"/>
  <c r="A62" i="27" s="1"/>
  <c r="A63" i="27" s="1"/>
  <c r="A64" i="27" s="1"/>
  <c r="A66" i="27"/>
  <c r="A67" i="27" s="1"/>
  <c r="A68" i="27" s="1"/>
  <c r="A69" i="27" s="1"/>
  <c r="A70" i="27" s="1"/>
  <c r="A71" i="27" s="1"/>
  <c r="A72" i="27" s="1"/>
  <c r="A73" i="27" s="1"/>
  <c r="A74" i="27" s="1"/>
  <c r="A75" i="27" s="1"/>
  <c r="A76" i="27" s="1"/>
  <c r="A77" i="27" s="1"/>
  <c r="A78" i="27" s="1"/>
  <c r="A79" i="27" s="1"/>
  <c r="A80" i="27" s="1"/>
  <c r="A82" i="27"/>
  <c r="A83" i="27" s="1"/>
  <c r="A84" i="27" s="1"/>
  <c r="A85" i="27" s="1"/>
  <c r="A86" i="27" s="1"/>
  <c r="A87" i="27" s="1"/>
  <c r="A88" i="27" s="1"/>
  <c r="A89" i="27" s="1"/>
  <c r="A91" i="27"/>
  <c r="A92" i="27" s="1"/>
  <c r="A93" i="27" s="1"/>
  <c r="A94" i="27" s="1"/>
  <c r="A95" i="27" s="1"/>
  <c r="A96" i="27" s="1"/>
  <c r="A97" i="27" s="1"/>
  <c r="A100" i="27"/>
  <c r="A101" i="27" s="1"/>
  <c r="A102" i="27" s="1"/>
  <c r="A103" i="27" s="1"/>
  <c r="A104" i="27" s="1"/>
  <c r="A105" i="27" s="1"/>
  <c r="A106" i="27" s="1"/>
  <c r="A107" i="27" s="1"/>
  <c r="A108" i="27" s="1"/>
  <c r="A109" i="27" s="1"/>
  <c r="K11" i="26"/>
  <c r="M11" i="26" s="1"/>
  <c r="K15" i="26"/>
  <c r="AL15" i="26" s="1"/>
  <c r="K13" i="26"/>
  <c r="AJ13" i="26" s="1"/>
  <c r="K9" i="26"/>
  <c r="AO9" i="26" s="1"/>
  <c r="K7" i="26"/>
  <c r="AM7" i="26" s="1"/>
  <c r="N11" i="26" l="1"/>
  <c r="AP11" i="26"/>
  <c r="AL11" i="26"/>
  <c r="R11" i="26"/>
  <c r="AH11" i="26"/>
  <c r="AD11" i="26"/>
  <c r="Z11" i="26"/>
  <c r="V11" i="26"/>
  <c r="AJ11" i="26"/>
  <c r="AB11" i="26"/>
  <c r="T11" i="26"/>
  <c r="AQ11" i="26"/>
  <c r="AI11" i="26"/>
  <c r="AA11" i="26"/>
  <c r="S11" i="26"/>
  <c r="AO11" i="26"/>
  <c r="AG11" i="26"/>
  <c r="Y11" i="26"/>
  <c r="Q11" i="26"/>
  <c r="AN11" i="26"/>
  <c r="AF11" i="26"/>
  <c r="X11" i="26"/>
  <c r="P11" i="26"/>
  <c r="AM11" i="26"/>
  <c r="AE11" i="26"/>
  <c r="W11" i="26"/>
  <c r="O11" i="26"/>
  <c r="AK11" i="26"/>
  <c r="AC11" i="26"/>
  <c r="U11" i="26"/>
  <c r="AN15" i="26"/>
  <c r="Q15" i="26"/>
  <c r="Y15" i="26"/>
  <c r="AG15" i="26"/>
  <c r="AO15" i="26"/>
  <c r="AM15" i="26"/>
  <c r="X15" i="26"/>
  <c r="R15" i="26"/>
  <c r="Z15" i="26"/>
  <c r="AH15" i="26"/>
  <c r="AP15" i="26"/>
  <c r="S15" i="26"/>
  <c r="AA15" i="26"/>
  <c r="AI15" i="26"/>
  <c r="AQ15" i="26"/>
  <c r="AE15" i="26"/>
  <c r="P15" i="26"/>
  <c r="T15" i="26"/>
  <c r="AB15" i="26"/>
  <c r="AJ15" i="26"/>
  <c r="O15" i="26"/>
  <c r="M15" i="26"/>
  <c r="U15" i="26"/>
  <c r="AC15" i="26"/>
  <c r="AK15" i="26"/>
  <c r="W15" i="26"/>
  <c r="AF15" i="26"/>
  <c r="N15" i="26"/>
  <c r="V15" i="26"/>
  <c r="AD15" i="26"/>
  <c r="M13" i="26"/>
  <c r="U13" i="26"/>
  <c r="AC13" i="26"/>
  <c r="AK13" i="26"/>
  <c r="N13" i="26"/>
  <c r="V13" i="26"/>
  <c r="AD13" i="26"/>
  <c r="AL13" i="26"/>
  <c r="O13" i="26"/>
  <c r="W13" i="26"/>
  <c r="AE13" i="26"/>
  <c r="AM13" i="26"/>
  <c r="P13" i="26"/>
  <c r="X13" i="26"/>
  <c r="AF13" i="26"/>
  <c r="AN13" i="26"/>
  <c r="Q13" i="26"/>
  <c r="Y13" i="26"/>
  <c r="AG13" i="26"/>
  <c r="AO13" i="26"/>
  <c r="R13" i="26"/>
  <c r="Z13" i="26"/>
  <c r="AH13" i="26"/>
  <c r="AP13" i="26"/>
  <c r="S13" i="26"/>
  <c r="AA13" i="26"/>
  <c r="AI13" i="26"/>
  <c r="AQ13" i="26"/>
  <c r="T13" i="26"/>
  <c r="AB13" i="26"/>
  <c r="R9" i="26"/>
  <c r="Z9" i="26"/>
  <c r="AH9" i="26"/>
  <c r="AP9" i="26"/>
  <c r="S9" i="26"/>
  <c r="AA9" i="26"/>
  <c r="AI9" i="26"/>
  <c r="AQ9" i="26"/>
  <c r="T9" i="26"/>
  <c r="AB9" i="26"/>
  <c r="AJ9" i="26"/>
  <c r="M9" i="26"/>
  <c r="U9" i="26"/>
  <c r="AC9" i="26"/>
  <c r="AK9" i="26"/>
  <c r="N9" i="26"/>
  <c r="V9" i="26"/>
  <c r="AD9" i="26"/>
  <c r="AL9" i="26"/>
  <c r="O9" i="26"/>
  <c r="W9" i="26"/>
  <c r="AE9" i="26"/>
  <c r="AM9" i="26"/>
  <c r="P9" i="26"/>
  <c r="X9" i="26"/>
  <c r="AF9" i="26"/>
  <c r="AN9" i="26"/>
  <c r="Q9" i="26"/>
  <c r="Y9" i="26"/>
  <c r="AG9" i="26"/>
  <c r="P7" i="26"/>
  <c r="X7" i="26"/>
  <c r="AF7" i="26"/>
  <c r="AN7" i="26"/>
  <c r="Q7" i="26"/>
  <c r="Y7" i="26"/>
  <c r="AG7" i="26"/>
  <c r="AO7" i="26"/>
  <c r="R7" i="26"/>
  <c r="Z7" i="26"/>
  <c r="AH7" i="26"/>
  <c r="AP7" i="26"/>
  <c r="S7" i="26"/>
  <c r="AA7" i="26"/>
  <c r="AI7" i="26"/>
  <c r="AQ7" i="26"/>
  <c r="T7" i="26"/>
  <c r="AB7" i="26"/>
  <c r="AJ7" i="26"/>
  <c r="M7" i="26"/>
  <c r="U7" i="26"/>
  <c r="AC7" i="26"/>
  <c r="AK7" i="26"/>
  <c r="N7" i="26"/>
  <c r="V7" i="26"/>
  <c r="AD7" i="26"/>
  <c r="AL7" i="26"/>
  <c r="O7" i="26"/>
  <c r="W7" i="26"/>
  <c r="AE7" i="26"/>
  <c r="C105" i="27" l="1"/>
  <c r="E105" i="27" s="1"/>
  <c r="L105" i="27" s="1"/>
  <c r="F105" i="27"/>
  <c r="C104" i="27"/>
  <c r="G104" i="27" s="1"/>
  <c r="F104" i="27"/>
  <c r="K19" i="26"/>
  <c r="K20" i="26"/>
  <c r="N71" i="40"/>
  <c r="M71" i="40"/>
  <c r="L71" i="40"/>
  <c r="J71" i="40"/>
  <c r="K71" i="40" s="1"/>
  <c r="E71" i="40"/>
  <c r="N70" i="40"/>
  <c r="M70" i="40"/>
  <c r="L70" i="40"/>
  <c r="J70" i="40"/>
  <c r="K70" i="40" s="1"/>
  <c r="E70" i="40"/>
  <c r="N69" i="40"/>
  <c r="M69" i="40"/>
  <c r="L69" i="40"/>
  <c r="J69" i="40"/>
  <c r="K69" i="40" s="1"/>
  <c r="E69" i="40"/>
  <c r="N68" i="40"/>
  <c r="M68" i="40"/>
  <c r="L68" i="40"/>
  <c r="J68" i="40"/>
  <c r="K68" i="40" s="1"/>
  <c r="E68" i="40"/>
  <c r="N67" i="40"/>
  <c r="M67" i="40"/>
  <c r="L67" i="40"/>
  <c r="J67" i="40"/>
  <c r="K67" i="40" s="1"/>
  <c r="E67" i="40"/>
  <c r="N66" i="40"/>
  <c r="M66" i="40"/>
  <c r="L66" i="40"/>
  <c r="J66" i="40"/>
  <c r="K66" i="40" s="1"/>
  <c r="E66" i="40"/>
  <c r="N65" i="40"/>
  <c r="M65" i="40"/>
  <c r="L65" i="40"/>
  <c r="J65" i="40"/>
  <c r="K65" i="40" s="1"/>
  <c r="E65" i="40"/>
  <c r="N64" i="40"/>
  <c r="M64" i="40"/>
  <c r="L64" i="40"/>
  <c r="J64" i="40"/>
  <c r="K64" i="40" s="1"/>
  <c r="E64" i="40"/>
  <c r="N63" i="40"/>
  <c r="M63" i="40"/>
  <c r="L63" i="40"/>
  <c r="J63" i="40"/>
  <c r="K63" i="40" s="1"/>
  <c r="E63" i="40"/>
  <c r="N62" i="40"/>
  <c r="M62" i="40"/>
  <c r="L62" i="40"/>
  <c r="J62" i="40"/>
  <c r="K62" i="40" s="1"/>
  <c r="E62" i="40"/>
  <c r="J24" i="49"/>
  <c r="B24" i="49"/>
  <c r="J23" i="49"/>
  <c r="B23" i="49"/>
  <c r="O66" i="40" l="1"/>
  <c r="O65" i="40"/>
  <c r="AO20" i="26"/>
  <c r="AG20" i="26"/>
  <c r="Y20" i="26"/>
  <c r="Q20" i="26"/>
  <c r="AN20" i="26"/>
  <c r="AF20" i="26"/>
  <c r="X20" i="26"/>
  <c r="P20" i="26"/>
  <c r="AM20" i="26"/>
  <c r="AE20" i="26"/>
  <c r="W20" i="26"/>
  <c r="O20" i="26"/>
  <c r="AL20" i="26"/>
  <c r="AD20" i="26"/>
  <c r="V20" i="26"/>
  <c r="N20" i="26"/>
  <c r="AK20" i="26"/>
  <c r="AC20" i="26"/>
  <c r="U20" i="26"/>
  <c r="M20" i="26"/>
  <c r="AJ20" i="26"/>
  <c r="AB20" i="26"/>
  <c r="T20" i="26"/>
  <c r="AQ20" i="26"/>
  <c r="AI20" i="26"/>
  <c r="AA20" i="26"/>
  <c r="S20" i="26"/>
  <c r="AP20" i="26"/>
  <c r="AH20" i="26"/>
  <c r="Z20" i="26"/>
  <c r="R20" i="26"/>
  <c r="AN19" i="26"/>
  <c r="AF19" i="26"/>
  <c r="X19" i="26"/>
  <c r="P19" i="26"/>
  <c r="AM19" i="26"/>
  <c r="AE19" i="26"/>
  <c r="W19" i="26"/>
  <c r="O19" i="26"/>
  <c r="Q19" i="26"/>
  <c r="AL19" i="26"/>
  <c r="AD19" i="26"/>
  <c r="V19" i="26"/>
  <c r="N19" i="26"/>
  <c r="AK19" i="26"/>
  <c r="AC19" i="26"/>
  <c r="U19" i="26"/>
  <c r="M19" i="26"/>
  <c r="AJ19" i="26"/>
  <c r="AB19" i="26"/>
  <c r="T19" i="26"/>
  <c r="AQ19" i="26"/>
  <c r="AI19" i="26"/>
  <c r="AA19" i="26"/>
  <c r="S19" i="26"/>
  <c r="AP19" i="26"/>
  <c r="AH19" i="26"/>
  <c r="Z19" i="26"/>
  <c r="R19" i="26"/>
  <c r="AO19" i="26"/>
  <c r="AG19" i="26"/>
  <c r="Y19" i="26"/>
  <c r="P66" i="40"/>
  <c r="O67" i="40"/>
  <c r="G105" i="27"/>
  <c r="E104" i="27"/>
  <c r="L104" i="27" s="1"/>
  <c r="O62" i="40"/>
  <c r="P62" i="40" s="1"/>
  <c r="O70" i="40"/>
  <c r="P70" i="40" s="1"/>
  <c r="O64" i="40"/>
  <c r="P64" i="40" s="1"/>
  <c r="O69" i="40"/>
  <c r="P69" i="40" s="1"/>
  <c r="O63" i="40"/>
  <c r="P63" i="40" s="1"/>
  <c r="O71" i="40"/>
  <c r="O68" i="40"/>
  <c r="P68" i="40" s="1"/>
  <c r="P65" i="40"/>
  <c r="P67" i="40"/>
  <c r="P71" i="40"/>
  <c r="K18" i="26" l="1"/>
  <c r="C107" i="27"/>
  <c r="C106" i="27"/>
  <c r="F103" i="27"/>
  <c r="F102" i="27"/>
  <c r="C99" i="27"/>
  <c r="E99" i="27" s="1"/>
  <c r="L99" i="27" s="1"/>
  <c r="B5" i="27"/>
  <c r="B18" i="27"/>
  <c r="B30" i="27"/>
  <c r="B55" i="27"/>
  <c r="B65" i="27"/>
  <c r="B81" i="27"/>
  <c r="B90" i="27"/>
  <c r="B98" i="27"/>
  <c r="K109" i="27"/>
  <c r="G109" i="27"/>
  <c r="G108" i="27"/>
  <c r="F107" i="27"/>
  <c r="F106" i="27"/>
  <c r="F101" i="27"/>
  <c r="F100" i="27"/>
  <c r="F99" i="27"/>
  <c r="C18" i="26"/>
  <c r="B60" i="40" s="1"/>
  <c r="B18" i="26"/>
  <c r="N48" i="40"/>
  <c r="J48" i="40"/>
  <c r="E48" i="40"/>
  <c r="N47" i="40"/>
  <c r="J47" i="40"/>
  <c r="E47" i="40"/>
  <c r="F73" i="27"/>
  <c r="C73" i="27"/>
  <c r="G73" i="27" s="1"/>
  <c r="B25" i="13"/>
  <c r="J25" i="13" s="1"/>
  <c r="B8" i="49"/>
  <c r="B22" i="49"/>
  <c r="J22" i="49" s="1"/>
  <c r="B21" i="49"/>
  <c r="J21" i="49" s="1"/>
  <c r="B12" i="21"/>
  <c r="C12" i="21"/>
  <c r="D12" i="21"/>
  <c r="D16" i="24" s="1"/>
  <c r="K32" i="49"/>
  <c r="J32" i="49"/>
  <c r="C32" i="49"/>
  <c r="C31" i="49"/>
  <c r="B20" i="49"/>
  <c r="J20" i="49" s="1"/>
  <c r="B19" i="49"/>
  <c r="J19" i="49" s="1"/>
  <c r="B18" i="49"/>
  <c r="J18" i="49" s="1"/>
  <c r="C12" i="49"/>
  <c r="K3" i="49"/>
  <c r="B6" i="26"/>
  <c r="B11" i="26"/>
  <c r="B13" i="26"/>
  <c r="B15" i="26"/>
  <c r="B17" i="26"/>
  <c r="K6" i="26"/>
  <c r="H96" i="27"/>
  <c r="H63" i="27"/>
  <c r="M10" i="47"/>
  <c r="L10" i="47"/>
  <c r="D10" i="47"/>
  <c r="E80" i="27" s="1"/>
  <c r="H40" i="27"/>
  <c r="H28" i="27"/>
  <c r="H16" i="27"/>
  <c r="M9" i="47"/>
  <c r="L9" i="47"/>
  <c r="D9" i="47"/>
  <c r="N6" i="26" l="1"/>
  <c r="V6" i="26"/>
  <c r="AD6" i="26"/>
  <c r="AL6" i="26"/>
  <c r="O6" i="26"/>
  <c r="W6" i="26"/>
  <c r="AE6" i="26"/>
  <c r="AM6" i="26"/>
  <c r="AH6" i="26"/>
  <c r="U6" i="26"/>
  <c r="P6" i="26"/>
  <c r="X6" i="26"/>
  <c r="AF6" i="26"/>
  <c r="AN6" i="26"/>
  <c r="Z6" i="26"/>
  <c r="Q6" i="26"/>
  <c r="Y6" i="26"/>
  <c r="AG6" i="26"/>
  <c r="AO6" i="26"/>
  <c r="AP6" i="26"/>
  <c r="R6" i="26"/>
  <c r="AC6" i="26"/>
  <c r="S6" i="26"/>
  <c r="AA6" i="26"/>
  <c r="AI6" i="26"/>
  <c r="AQ6" i="26"/>
  <c r="T6" i="26"/>
  <c r="AB6" i="26"/>
  <c r="AJ6" i="26"/>
  <c r="AK6" i="26"/>
  <c r="AM18" i="26"/>
  <c r="AE18" i="26"/>
  <c r="W18" i="26"/>
  <c r="O18" i="26"/>
  <c r="AL18" i="26"/>
  <c r="AD18" i="26"/>
  <c r="V18" i="26"/>
  <c r="N18" i="26"/>
  <c r="AK18" i="26"/>
  <c r="AC18" i="26"/>
  <c r="U18" i="26"/>
  <c r="M18" i="26"/>
  <c r="AN18" i="26"/>
  <c r="AJ18" i="26"/>
  <c r="AB18" i="26"/>
  <c r="T18" i="26"/>
  <c r="AF18" i="26"/>
  <c r="AQ18" i="26"/>
  <c r="AI18" i="26"/>
  <c r="AA18" i="26"/>
  <c r="S18" i="26"/>
  <c r="AP18" i="26"/>
  <c r="AH18" i="26"/>
  <c r="Z18" i="26"/>
  <c r="R18" i="26"/>
  <c r="AO18" i="26"/>
  <c r="AG18" i="26"/>
  <c r="Y18" i="26"/>
  <c r="Q18" i="26"/>
  <c r="X18" i="26"/>
  <c r="P18" i="26"/>
  <c r="D12" i="7"/>
  <c r="K7" i="49" s="1"/>
  <c r="D13" i="50" s="1"/>
  <c r="I61" i="40"/>
  <c r="I60" i="40"/>
  <c r="O48" i="40"/>
  <c r="O47" i="40"/>
  <c r="K48" i="40"/>
  <c r="K47" i="40"/>
  <c r="G21" i="49"/>
  <c r="G23" i="49"/>
  <c r="G24" i="49"/>
  <c r="C100" i="27"/>
  <c r="C103" i="27"/>
  <c r="G103" i="27" s="1"/>
  <c r="C102" i="27"/>
  <c r="G102" i="27" s="1"/>
  <c r="C101" i="27"/>
  <c r="G101" i="27" s="1"/>
  <c r="G22" i="49"/>
  <c r="E106" i="27"/>
  <c r="G99" i="27"/>
  <c r="E107" i="27"/>
  <c r="E73" i="27"/>
  <c r="G19" i="49"/>
  <c r="G18" i="49"/>
  <c r="G20" i="49"/>
  <c r="M6" i="26"/>
  <c r="E54" i="27"/>
  <c r="H108" i="27" l="1"/>
  <c r="H23" i="49"/>
  <c r="I23" i="49" s="1"/>
  <c r="K23" i="49" s="1"/>
  <c r="H24" i="49"/>
  <c r="H105" i="27" s="1"/>
  <c r="I105" i="27" s="1"/>
  <c r="H21" i="49"/>
  <c r="H102" i="27" s="1"/>
  <c r="I102" i="27" s="1"/>
  <c r="H22" i="49"/>
  <c r="H103" i="27" s="1"/>
  <c r="I103" i="27" s="1"/>
  <c r="E103" i="27"/>
  <c r="L103" i="27" s="1"/>
  <c r="P48" i="40"/>
  <c r="E101" i="27"/>
  <c r="L101" i="27" s="1"/>
  <c r="P47" i="40"/>
  <c r="E100" i="27"/>
  <c r="L100" i="27" s="1"/>
  <c r="G100" i="27"/>
  <c r="E102" i="27"/>
  <c r="L102" i="27" s="1"/>
  <c r="M10" i="40"/>
  <c r="M11" i="40"/>
  <c r="M12" i="40"/>
  <c r="M13" i="40"/>
  <c r="M14" i="40"/>
  <c r="M16" i="40"/>
  <c r="M17" i="40"/>
  <c r="M18" i="40"/>
  <c r="M19" i="40"/>
  <c r="M20" i="40"/>
  <c r="M21" i="40"/>
  <c r="M22" i="40"/>
  <c r="M23" i="40"/>
  <c r="M24" i="40"/>
  <c r="M25" i="40"/>
  <c r="M26" i="40"/>
  <c r="M28" i="40"/>
  <c r="M30" i="40"/>
  <c r="M31" i="40"/>
  <c r="M32" i="40"/>
  <c r="M36" i="40"/>
  <c r="M37" i="40"/>
  <c r="M39" i="40"/>
  <c r="M41" i="40"/>
  <c r="M43" i="40"/>
  <c r="M44" i="40"/>
  <c r="M45" i="40"/>
  <c r="M50" i="40"/>
  <c r="M51" i="40"/>
  <c r="M53" i="40"/>
  <c r="M55" i="40"/>
  <c r="M57" i="40"/>
  <c r="M58" i="40"/>
  <c r="M59" i="40"/>
  <c r="M60" i="40"/>
  <c r="M61" i="40"/>
  <c r="E35" i="30"/>
  <c r="C35" i="30"/>
  <c r="N61" i="40"/>
  <c r="N60" i="40"/>
  <c r="N59" i="40"/>
  <c r="N58" i="40"/>
  <c r="N57" i="40"/>
  <c r="N56" i="40"/>
  <c r="N55" i="40"/>
  <c r="N54" i="40"/>
  <c r="N53" i="40"/>
  <c r="N52" i="40"/>
  <c r="N51" i="40"/>
  <c r="N50" i="40"/>
  <c r="N49" i="40"/>
  <c r="N46" i="40"/>
  <c r="N45" i="40"/>
  <c r="N44" i="40"/>
  <c r="N43" i="40"/>
  <c r="N42" i="40"/>
  <c r="N41" i="40"/>
  <c r="N40" i="40"/>
  <c r="N39" i="40"/>
  <c r="N38" i="40"/>
  <c r="N37" i="40"/>
  <c r="N36" i="40"/>
  <c r="N35" i="40"/>
  <c r="N34" i="40"/>
  <c r="N33" i="40"/>
  <c r="N32" i="40"/>
  <c r="N31" i="40"/>
  <c r="N30" i="40"/>
  <c r="N29" i="40"/>
  <c r="N28" i="40"/>
  <c r="N27" i="40"/>
  <c r="N26" i="40"/>
  <c r="N25" i="40"/>
  <c r="N24" i="40"/>
  <c r="N23" i="40"/>
  <c r="N22" i="40"/>
  <c r="N21" i="40"/>
  <c r="N20" i="40"/>
  <c r="N19" i="40"/>
  <c r="N18" i="40"/>
  <c r="N17" i="40"/>
  <c r="N16" i="40"/>
  <c r="N15" i="40"/>
  <c r="N14" i="40"/>
  <c r="N13" i="40"/>
  <c r="N12" i="40"/>
  <c r="N11" i="40"/>
  <c r="N10" i="40"/>
  <c r="F35" i="30"/>
  <c r="D35" i="30"/>
  <c r="J61" i="40"/>
  <c r="J60" i="40"/>
  <c r="J59" i="40"/>
  <c r="K59" i="40" s="1"/>
  <c r="J58" i="40"/>
  <c r="K58" i="40" s="1"/>
  <c r="J57" i="40"/>
  <c r="J56" i="40"/>
  <c r="K56" i="40" s="1"/>
  <c r="J55" i="40"/>
  <c r="K55" i="40" s="1"/>
  <c r="J54" i="40"/>
  <c r="K54" i="40" s="1"/>
  <c r="J53" i="40"/>
  <c r="K53" i="40" s="1"/>
  <c r="J52" i="40"/>
  <c r="K52" i="40" s="1"/>
  <c r="J51" i="40"/>
  <c r="K51" i="40" s="1"/>
  <c r="J50" i="40"/>
  <c r="K50" i="40" s="1"/>
  <c r="J49" i="40"/>
  <c r="J46" i="40"/>
  <c r="J45" i="40"/>
  <c r="K45" i="40" s="1"/>
  <c r="J44" i="40"/>
  <c r="K44" i="40" s="1"/>
  <c r="J43" i="40"/>
  <c r="K43" i="40" s="1"/>
  <c r="J42" i="40"/>
  <c r="K42" i="40" s="1"/>
  <c r="J41" i="40"/>
  <c r="K41" i="40" s="1"/>
  <c r="J40" i="40"/>
  <c r="K40" i="40" s="1"/>
  <c r="J39" i="40"/>
  <c r="K39" i="40" s="1"/>
  <c r="J38" i="40"/>
  <c r="K38" i="40" s="1"/>
  <c r="J37" i="40"/>
  <c r="K37" i="40" s="1"/>
  <c r="J36" i="40"/>
  <c r="K36" i="40" s="1"/>
  <c r="J35" i="40"/>
  <c r="J34" i="40"/>
  <c r="J33" i="40"/>
  <c r="J32" i="40"/>
  <c r="K32" i="40" s="1"/>
  <c r="J31" i="40"/>
  <c r="K31" i="40" s="1"/>
  <c r="J30" i="40"/>
  <c r="K30" i="40" s="1"/>
  <c r="J29" i="40"/>
  <c r="K29" i="40" s="1"/>
  <c r="J28" i="40"/>
  <c r="K28" i="40" s="1"/>
  <c r="J27" i="40"/>
  <c r="K27" i="40" s="1"/>
  <c r="J26" i="40"/>
  <c r="K26" i="40" s="1"/>
  <c r="J25" i="40"/>
  <c r="K25" i="40" s="1"/>
  <c r="J24" i="40"/>
  <c r="K24" i="40" s="1"/>
  <c r="J23" i="40"/>
  <c r="K23" i="40" s="1"/>
  <c r="J22" i="40"/>
  <c r="K22" i="40" s="1"/>
  <c r="J21" i="40"/>
  <c r="K21" i="40" s="1"/>
  <c r="J20" i="40"/>
  <c r="K20" i="40" s="1"/>
  <c r="J19" i="40"/>
  <c r="K19" i="40" s="1"/>
  <c r="J18" i="40"/>
  <c r="K18" i="40" s="1"/>
  <c r="J17" i="40"/>
  <c r="K17" i="40" s="1"/>
  <c r="J16" i="40"/>
  <c r="K16" i="40" s="1"/>
  <c r="J15" i="40"/>
  <c r="K15" i="40" s="1"/>
  <c r="J14" i="40"/>
  <c r="K14" i="40" s="1"/>
  <c r="J13" i="40"/>
  <c r="K13" i="40" s="1"/>
  <c r="J12" i="40"/>
  <c r="K12" i="40" s="1"/>
  <c r="J11" i="40"/>
  <c r="K11" i="40" s="1"/>
  <c r="J10" i="40"/>
  <c r="K10" i="40" s="1"/>
  <c r="M15" i="44"/>
  <c r="L59" i="40"/>
  <c r="L58" i="40"/>
  <c r="L57" i="40"/>
  <c r="K57" i="40"/>
  <c r="L56" i="40"/>
  <c r="L55" i="40"/>
  <c r="L54" i="40"/>
  <c r="L53" i="40"/>
  <c r="L52" i="40"/>
  <c r="L51" i="40"/>
  <c r="L50" i="40"/>
  <c r="L45" i="40"/>
  <c r="L44" i="40"/>
  <c r="L43" i="40"/>
  <c r="L42" i="40"/>
  <c r="L41" i="40"/>
  <c r="L40" i="40"/>
  <c r="L39" i="40"/>
  <c r="L38" i="40"/>
  <c r="L37" i="40"/>
  <c r="L36" i="40"/>
  <c r="L32" i="40"/>
  <c r="L31" i="40"/>
  <c r="L30" i="40"/>
  <c r="L29" i="40"/>
  <c r="L28" i="40"/>
  <c r="L27" i="40"/>
  <c r="L26" i="40"/>
  <c r="L25" i="40"/>
  <c r="L24" i="40"/>
  <c r="L23" i="40"/>
  <c r="L22" i="40"/>
  <c r="L21" i="40"/>
  <c r="L20" i="40"/>
  <c r="L19" i="40"/>
  <c r="L18" i="40"/>
  <c r="L17" i="40"/>
  <c r="L16" i="40"/>
  <c r="L15" i="40"/>
  <c r="L14" i="40"/>
  <c r="L13" i="40"/>
  <c r="L12" i="40"/>
  <c r="L11" i="40"/>
  <c r="E58" i="40"/>
  <c r="E57" i="40"/>
  <c r="E56" i="40"/>
  <c r="E55" i="40"/>
  <c r="E54" i="40"/>
  <c r="E53" i="40"/>
  <c r="E52" i="40"/>
  <c r="E51" i="40"/>
  <c r="E50" i="40"/>
  <c r="E49" i="40"/>
  <c r="E46" i="40"/>
  <c r="E44" i="40"/>
  <c r="E43" i="40"/>
  <c r="E42" i="40"/>
  <c r="E41" i="40"/>
  <c r="E40" i="40"/>
  <c r="E39" i="40"/>
  <c r="E38" i="40"/>
  <c r="E37" i="40"/>
  <c r="E36" i="40"/>
  <c r="E35" i="40"/>
  <c r="E34" i="40"/>
  <c r="E33" i="40"/>
  <c r="E32" i="40"/>
  <c r="E31" i="40"/>
  <c r="E30" i="40"/>
  <c r="E29" i="40"/>
  <c r="E28" i="40"/>
  <c r="E27" i="40"/>
  <c r="E26" i="40"/>
  <c r="E25" i="40"/>
  <c r="E24" i="40"/>
  <c r="E23" i="40"/>
  <c r="E22" i="40"/>
  <c r="E21" i="40"/>
  <c r="E20" i="40"/>
  <c r="E19" i="40"/>
  <c r="E18" i="40"/>
  <c r="E17" i="40"/>
  <c r="E16" i="40"/>
  <c r="E15" i="40"/>
  <c r="E14" i="40"/>
  <c r="E13" i="40"/>
  <c r="E12" i="40"/>
  <c r="E11" i="40"/>
  <c r="E60" i="40"/>
  <c r="D59" i="40"/>
  <c r="E59" i="40" s="1"/>
  <c r="D45" i="40"/>
  <c r="E45" i="40" s="1"/>
  <c r="L10" i="40"/>
  <c r="L14" i="44"/>
  <c r="L13" i="44"/>
  <c r="L12" i="44"/>
  <c r="L11" i="44"/>
  <c r="L10" i="44"/>
  <c r="M14" i="44"/>
  <c r="M13" i="44"/>
  <c r="M12" i="44"/>
  <c r="M11" i="44"/>
  <c r="M10" i="44"/>
  <c r="B31" i="40"/>
  <c r="E10" i="40"/>
  <c r="K64" i="27"/>
  <c r="K53" i="27"/>
  <c r="K41" i="27"/>
  <c r="K29" i="27"/>
  <c r="K17" i="27"/>
  <c r="K97" i="27"/>
  <c r="K89" i="27"/>
  <c r="K79" i="27"/>
  <c r="B4" i="40"/>
  <c r="B4" i="47" s="1"/>
  <c r="G96" i="27"/>
  <c r="G88" i="27"/>
  <c r="G78" i="27"/>
  <c r="B51" i="44"/>
  <c r="B60" i="44" s="1"/>
  <c r="C51" i="44"/>
  <c r="D51" i="44"/>
  <c r="B52" i="44"/>
  <c r="B61" i="44" s="1"/>
  <c r="C52" i="44"/>
  <c r="D52" i="44"/>
  <c r="B53" i="44"/>
  <c r="C53" i="44"/>
  <c r="D53" i="44"/>
  <c r="C50" i="44"/>
  <c r="D50" i="44"/>
  <c r="B50" i="44"/>
  <c r="B59" i="44" s="1"/>
  <c r="D62" i="44" a="1"/>
  <c r="D62" i="44" s="1"/>
  <c r="D61" i="44" a="1"/>
  <c r="D61" i="44" s="1"/>
  <c r="D60" i="44" a="1"/>
  <c r="D60" i="44" s="1"/>
  <c r="D59" i="44" a="1"/>
  <c r="D59" i="44" s="1"/>
  <c r="D63" i="44" s="1"/>
  <c r="B62" i="44"/>
  <c r="D42" i="44" a="1"/>
  <c r="D42" i="44" s="1"/>
  <c r="D41" i="44" a="1"/>
  <c r="D41" i="44" s="1"/>
  <c r="D40" i="44"/>
  <c r="D40" i="44" a="1"/>
  <c r="D39" i="44" a="1"/>
  <c r="D39" i="44" s="1"/>
  <c r="D35" i="44" a="1"/>
  <c r="D35" i="44" s="1"/>
  <c r="D34" i="44" a="1"/>
  <c r="D34" i="44" s="1"/>
  <c r="D33" i="44" a="1"/>
  <c r="D33" i="44" s="1"/>
  <c r="D32" i="44"/>
  <c r="D32" i="44" a="1"/>
  <c r="D28" i="44" a="1"/>
  <c r="D28" i="44" s="1"/>
  <c r="D27" i="44"/>
  <c r="D27" i="44" a="1"/>
  <c r="D26" i="44" a="1"/>
  <c r="D26" i="44" s="1"/>
  <c r="D25" i="44" a="1"/>
  <c r="D25" i="44" s="1"/>
  <c r="D29" i="44" s="1"/>
  <c r="D21" i="44" a="1"/>
  <c r="D21" i="44" s="1"/>
  <c r="D20" i="44" a="1"/>
  <c r="D20" i="44" s="1"/>
  <c r="D19" i="44"/>
  <c r="D19" i="44" a="1"/>
  <c r="D18" i="44"/>
  <c r="D18" i="44" a="1"/>
  <c r="D14" i="44"/>
  <c r="D14" i="44" a="1"/>
  <c r="D13" i="44" a="1"/>
  <c r="D13" i="44" s="1"/>
  <c r="D12" i="44" a="1"/>
  <c r="D12" i="44" s="1"/>
  <c r="D11" i="44" a="1"/>
  <c r="D11" i="44" s="1"/>
  <c r="I22" i="49" l="1"/>
  <c r="K22" i="49" s="1"/>
  <c r="H109" i="27"/>
  <c r="I21" i="49"/>
  <c r="K21" i="49" s="1"/>
  <c r="H104" i="27"/>
  <c r="I104" i="27" s="1"/>
  <c r="I24" i="49"/>
  <c r="K24" i="49" s="1"/>
  <c r="O34" i="40"/>
  <c r="H78" i="27"/>
  <c r="H88" i="27"/>
  <c r="K35" i="40"/>
  <c r="H41" i="27"/>
  <c r="I28" i="27"/>
  <c r="G28" i="27" s="1"/>
  <c r="O25" i="40"/>
  <c r="O51" i="40"/>
  <c r="P51" i="40" s="1"/>
  <c r="O59" i="40"/>
  <c r="O18" i="40"/>
  <c r="P18" i="40" s="1"/>
  <c r="O26" i="40"/>
  <c r="P26" i="40" s="1"/>
  <c r="O57" i="40"/>
  <c r="I96" i="27"/>
  <c r="O39" i="40"/>
  <c r="P39" i="40" s="1"/>
  <c r="K46" i="40"/>
  <c r="G10" i="47"/>
  <c r="G9" i="47"/>
  <c r="H52" i="27"/>
  <c r="I40" i="27"/>
  <c r="G40" i="27" s="1"/>
  <c r="K33" i="40"/>
  <c r="O21" i="40"/>
  <c r="O37" i="40"/>
  <c r="P37" i="40" s="1"/>
  <c r="I16" i="27"/>
  <c r="G16" i="27" s="1"/>
  <c r="K34" i="40"/>
  <c r="O14" i="40"/>
  <c r="P14" i="40" s="1"/>
  <c r="H17" i="27"/>
  <c r="O41" i="40"/>
  <c r="P41" i="40" s="1"/>
  <c r="H53" i="27"/>
  <c r="O17" i="40"/>
  <c r="P17" i="40" s="1"/>
  <c r="I63" i="27"/>
  <c r="O19" i="40"/>
  <c r="O55" i="40"/>
  <c r="P55" i="40" s="1"/>
  <c r="O11" i="40"/>
  <c r="P11" i="40" s="1"/>
  <c r="O23" i="40"/>
  <c r="P23" i="40" s="1"/>
  <c r="O31" i="40"/>
  <c r="O44" i="40"/>
  <c r="P25" i="40"/>
  <c r="P21" i="40"/>
  <c r="P19" i="40"/>
  <c r="O33" i="40"/>
  <c r="K49" i="40"/>
  <c r="I78" i="27" s="1"/>
  <c r="O46" i="40"/>
  <c r="P46" i="40" s="1"/>
  <c r="O28" i="40"/>
  <c r="P28" i="40" s="1"/>
  <c r="O12" i="40"/>
  <c r="P12" i="40" s="1"/>
  <c r="O20" i="40"/>
  <c r="P20" i="40" s="1"/>
  <c r="O16" i="40"/>
  <c r="P16" i="40" s="1"/>
  <c r="O45" i="40"/>
  <c r="P45" i="40" s="1"/>
  <c r="O49" i="40"/>
  <c r="O58" i="40"/>
  <c r="O53" i="40"/>
  <c r="P53" i="40" s="1"/>
  <c r="O22" i="40"/>
  <c r="P22" i="40" s="1"/>
  <c r="O24" i="40"/>
  <c r="P24" i="40" s="1"/>
  <c r="O35" i="40"/>
  <c r="P35" i="40" s="1"/>
  <c r="O13" i="40"/>
  <c r="O30" i="40"/>
  <c r="P30" i="40" s="1"/>
  <c r="O32" i="40"/>
  <c r="P32" i="40" s="1"/>
  <c r="O36" i="40"/>
  <c r="O50" i="40"/>
  <c r="O43" i="40"/>
  <c r="P43" i="40" s="1"/>
  <c r="P57" i="40"/>
  <c r="P59" i="40"/>
  <c r="O10" i="40"/>
  <c r="I17" i="27" s="1"/>
  <c r="D36" i="44"/>
  <c r="D22" i="44"/>
  <c r="D15" i="44"/>
  <c r="D43" i="44"/>
  <c r="D54" i="44"/>
  <c r="P34" i="40" l="1"/>
  <c r="I41" i="27"/>
  <c r="G41" i="27" s="1"/>
  <c r="I88" i="27"/>
  <c r="I52" i="27"/>
  <c r="G52" i="27" s="1"/>
  <c r="P31" i="40"/>
  <c r="G17" i="27"/>
  <c r="P36" i="40"/>
  <c r="P58" i="40"/>
  <c r="P44" i="40"/>
  <c r="P13" i="40"/>
  <c r="J9" i="47"/>
  <c r="H80" i="27"/>
  <c r="J10" i="47"/>
  <c r="K10" i="47" s="1"/>
  <c r="N10" i="47" s="1"/>
  <c r="I80" i="27" s="1"/>
  <c r="P50" i="40"/>
  <c r="P33" i="40"/>
  <c r="I53" i="27"/>
  <c r="G53" i="27" s="1"/>
  <c r="P49" i="40"/>
  <c r="P10" i="40"/>
  <c r="D45" i="44"/>
  <c r="B4" i="21"/>
  <c r="B5" i="21"/>
  <c r="B6" i="21"/>
  <c r="B7" i="21"/>
  <c r="B8" i="21"/>
  <c r="B9" i="21"/>
  <c r="B10" i="21"/>
  <c r="B11" i="21"/>
  <c r="C4" i="21"/>
  <c r="C5" i="21"/>
  <c r="C6" i="21"/>
  <c r="C7" i="21"/>
  <c r="C8" i="21"/>
  <c r="C9" i="21"/>
  <c r="C10" i="21"/>
  <c r="C11" i="21"/>
  <c r="D4" i="21"/>
  <c r="D5" i="21"/>
  <c r="D6" i="21"/>
  <c r="D7" i="21"/>
  <c r="D7" i="7" s="1"/>
  <c r="K7" i="31" s="1"/>
  <c r="D8" i="50" s="1"/>
  <c r="D8" i="21"/>
  <c r="D9" i="21"/>
  <c r="D10" i="21"/>
  <c r="D11" i="21"/>
  <c r="D11" i="7" l="1"/>
  <c r="D15" i="24"/>
  <c r="D10" i="7"/>
  <c r="D14" i="24"/>
  <c r="D9" i="7"/>
  <c r="D13" i="24"/>
  <c r="D8" i="7"/>
  <c r="D12" i="24"/>
  <c r="D6" i="7"/>
  <c r="D11" i="24"/>
  <c r="D5" i="7"/>
  <c r="D10" i="24"/>
  <c r="D4" i="7"/>
  <c r="D9" i="24"/>
  <c r="K9" i="47"/>
  <c r="N9" i="47" s="1"/>
  <c r="I54" i="27" l="1"/>
  <c r="N11" i="47"/>
  <c r="H19" i="49"/>
  <c r="H18" i="49"/>
  <c r="H20" i="49"/>
  <c r="L60" i="40"/>
  <c r="O60" i="40" s="1"/>
  <c r="K60" i="40"/>
  <c r="L61" i="40"/>
  <c r="O61" i="40" s="1"/>
  <c r="K61" i="40"/>
  <c r="F13" i="27"/>
  <c r="F15" i="27"/>
  <c r="C15" i="27"/>
  <c r="F14" i="27"/>
  <c r="C14" i="27"/>
  <c r="E14" i="27" s="1"/>
  <c r="F12" i="27"/>
  <c r="F11" i="27"/>
  <c r="F10" i="27"/>
  <c r="F9" i="27"/>
  <c r="F8" i="27"/>
  <c r="F7" i="27"/>
  <c r="F6" i="27"/>
  <c r="C17" i="26"/>
  <c r="B58" i="40" s="1"/>
  <c r="K17" i="26"/>
  <c r="C15" i="26"/>
  <c r="B50" i="40" s="1"/>
  <c r="K16" i="26"/>
  <c r="C13" i="26"/>
  <c r="B44" i="40" s="1"/>
  <c r="K14" i="26"/>
  <c r="C11" i="26"/>
  <c r="B36" i="40" s="1"/>
  <c r="K12" i="26"/>
  <c r="K10" i="26"/>
  <c r="B7" i="26"/>
  <c r="C7" i="26"/>
  <c r="B13" i="40" s="1"/>
  <c r="K8" i="26"/>
  <c r="C6" i="26"/>
  <c r="B25" i="42"/>
  <c r="J25" i="42" s="1"/>
  <c r="B8" i="42"/>
  <c r="G25" i="42" s="1"/>
  <c r="K32" i="42"/>
  <c r="J32" i="42"/>
  <c r="C32" i="42"/>
  <c r="C31" i="42"/>
  <c r="B24" i="42"/>
  <c r="J24" i="42" s="1"/>
  <c r="B23" i="42"/>
  <c r="J23" i="42" s="1"/>
  <c r="B22" i="42"/>
  <c r="J22" i="42" s="1"/>
  <c r="B21" i="42"/>
  <c r="J21" i="42" s="1"/>
  <c r="B20" i="42"/>
  <c r="B19" i="42"/>
  <c r="J19" i="42" s="1"/>
  <c r="B18" i="42"/>
  <c r="J18" i="42" s="1"/>
  <c r="C12" i="42"/>
  <c r="K3" i="42"/>
  <c r="J20" i="42" l="1"/>
  <c r="D61" i="40"/>
  <c r="E61" i="40" s="1"/>
  <c r="C12" i="27"/>
  <c r="G12" i="27" s="1"/>
  <c r="C11" i="27"/>
  <c r="G11" i="27" s="1"/>
  <c r="C10" i="27"/>
  <c r="G10" i="27" s="1"/>
  <c r="C9" i="27"/>
  <c r="E9" i="27" s="1"/>
  <c r="C8" i="27"/>
  <c r="E8" i="27" s="1"/>
  <c r="C7" i="27"/>
  <c r="G7" i="27" s="1"/>
  <c r="C6" i="27"/>
  <c r="G6" i="27" s="1"/>
  <c r="Q8" i="26"/>
  <c r="N8" i="26"/>
  <c r="O8" i="26"/>
  <c r="P8" i="26"/>
  <c r="C10" i="24"/>
  <c r="C6" i="50" s="1"/>
  <c r="C17" i="24"/>
  <c r="C14" i="50" s="1"/>
  <c r="C11" i="24"/>
  <c r="C14" i="24"/>
  <c r="C11" i="50" s="1"/>
  <c r="C12" i="24"/>
  <c r="C9" i="50" s="1"/>
  <c r="C16" i="24"/>
  <c r="C13" i="24"/>
  <c r="C10" i="50" s="1"/>
  <c r="C15" i="24"/>
  <c r="C12" i="50" s="1"/>
  <c r="B10" i="40"/>
  <c r="C9" i="24"/>
  <c r="C13" i="27"/>
  <c r="G13" i="27" s="1"/>
  <c r="AK16" i="26"/>
  <c r="AC16" i="26"/>
  <c r="U16" i="26"/>
  <c r="M16" i="26"/>
  <c r="AJ16" i="26"/>
  <c r="AB16" i="26"/>
  <c r="T16" i="26"/>
  <c r="Q16" i="26"/>
  <c r="V16" i="26"/>
  <c r="AQ16" i="26"/>
  <c r="AI16" i="26"/>
  <c r="AA16" i="26"/>
  <c r="S16" i="26"/>
  <c r="Y16" i="26"/>
  <c r="AL16" i="26"/>
  <c r="AP16" i="26"/>
  <c r="AH16" i="26"/>
  <c r="Z16" i="26"/>
  <c r="R16" i="26"/>
  <c r="AG16" i="26"/>
  <c r="AO16" i="26"/>
  <c r="AN16" i="26"/>
  <c r="AF16" i="26"/>
  <c r="X16" i="26"/>
  <c r="P16" i="26"/>
  <c r="AM16" i="26"/>
  <c r="AE16" i="26"/>
  <c r="W16" i="26"/>
  <c r="O16" i="26"/>
  <c r="AD16" i="26"/>
  <c r="N16" i="26"/>
  <c r="AL17" i="26"/>
  <c r="AD17" i="26"/>
  <c r="V17" i="26"/>
  <c r="N17" i="26"/>
  <c r="AK17" i="26"/>
  <c r="AC17" i="26"/>
  <c r="U17" i="26"/>
  <c r="M17" i="26"/>
  <c r="O17" i="26"/>
  <c r="AJ17" i="26"/>
  <c r="AB17" i="26"/>
  <c r="T17" i="26"/>
  <c r="AQ17" i="26"/>
  <c r="AI17" i="26"/>
  <c r="AA17" i="26"/>
  <c r="S17" i="26"/>
  <c r="AP17" i="26"/>
  <c r="AH17" i="26"/>
  <c r="Z17" i="26"/>
  <c r="R17" i="26"/>
  <c r="AO17" i="26"/>
  <c r="AG17" i="26"/>
  <c r="Y17" i="26"/>
  <c r="Q17" i="26"/>
  <c r="AN17" i="26"/>
  <c r="AF17" i="26"/>
  <c r="X17" i="26"/>
  <c r="P17" i="26"/>
  <c r="AM17" i="26"/>
  <c r="AE17" i="26"/>
  <c r="W17" i="26"/>
  <c r="AJ12" i="26"/>
  <c r="AB12" i="26"/>
  <c r="T12" i="26"/>
  <c r="AQ12" i="26"/>
  <c r="AI12" i="26"/>
  <c r="AA12" i="26"/>
  <c r="S12" i="26"/>
  <c r="P12" i="26"/>
  <c r="AK12" i="26"/>
  <c r="AP12" i="26"/>
  <c r="AH12" i="26"/>
  <c r="Z12" i="26"/>
  <c r="R12" i="26"/>
  <c r="AC12" i="26"/>
  <c r="AO12" i="26"/>
  <c r="AG12" i="26"/>
  <c r="Y12" i="26"/>
  <c r="Q12" i="26"/>
  <c r="U12" i="26"/>
  <c r="AN12" i="26"/>
  <c r="AF12" i="26"/>
  <c r="X12" i="26"/>
  <c r="AM12" i="26"/>
  <c r="AE12" i="26"/>
  <c r="W12" i="26"/>
  <c r="O12" i="26"/>
  <c r="AL12" i="26"/>
  <c r="AD12" i="26"/>
  <c r="V12" i="26"/>
  <c r="N12" i="26"/>
  <c r="M12" i="26"/>
  <c r="AK14" i="26"/>
  <c r="AC14" i="26"/>
  <c r="U14" i="26"/>
  <c r="M14" i="26"/>
  <c r="AJ14" i="26"/>
  <c r="AB14" i="26"/>
  <c r="T14" i="26"/>
  <c r="AQ14" i="26"/>
  <c r="AI14" i="26"/>
  <c r="AA14" i="26"/>
  <c r="S14" i="26"/>
  <c r="AP14" i="26"/>
  <c r="AH14" i="26"/>
  <c r="Z14" i="26"/>
  <c r="R14" i="26"/>
  <c r="AO14" i="26"/>
  <c r="AG14" i="26"/>
  <c r="Y14" i="26"/>
  <c r="Q14" i="26"/>
  <c r="AN14" i="26"/>
  <c r="AF14" i="26"/>
  <c r="X14" i="26"/>
  <c r="P14" i="26"/>
  <c r="AM14" i="26"/>
  <c r="AE14" i="26"/>
  <c r="W14" i="26"/>
  <c r="O14" i="26"/>
  <c r="AL14" i="26"/>
  <c r="AD14" i="26"/>
  <c r="V14" i="26"/>
  <c r="N14" i="26"/>
  <c r="AP10" i="26"/>
  <c r="AH10" i="26"/>
  <c r="Z10" i="26"/>
  <c r="R10" i="26"/>
  <c r="AO10" i="26"/>
  <c r="AG10" i="26"/>
  <c r="Y10" i="26"/>
  <c r="Q10" i="26"/>
  <c r="AN10" i="26"/>
  <c r="AF10" i="26"/>
  <c r="X10" i="26"/>
  <c r="P10" i="26"/>
  <c r="AM10" i="26"/>
  <c r="AE10" i="26"/>
  <c r="W10" i="26"/>
  <c r="O10" i="26"/>
  <c r="AL10" i="26"/>
  <c r="AD10" i="26"/>
  <c r="V10" i="26"/>
  <c r="N10" i="26"/>
  <c r="AK10" i="26"/>
  <c r="AC10" i="26"/>
  <c r="U10" i="26"/>
  <c r="M10" i="26"/>
  <c r="AJ10" i="26"/>
  <c r="AB10" i="26"/>
  <c r="T10" i="26"/>
  <c r="AQ10" i="26"/>
  <c r="AI10" i="26"/>
  <c r="AA10" i="26"/>
  <c r="S10" i="26"/>
  <c r="AN8" i="26"/>
  <c r="AF8" i="26"/>
  <c r="X8" i="26"/>
  <c r="AM8" i="26"/>
  <c r="AE8" i="26"/>
  <c r="W8" i="26"/>
  <c r="AL8" i="26"/>
  <c r="AD8" i="26"/>
  <c r="V8" i="26"/>
  <c r="AK8" i="26"/>
  <c r="AC8" i="26"/>
  <c r="U8" i="26"/>
  <c r="M8" i="26"/>
  <c r="AJ8" i="26"/>
  <c r="AB8" i="26"/>
  <c r="T8" i="26"/>
  <c r="AQ8" i="26"/>
  <c r="AI8" i="26"/>
  <c r="AA8" i="26"/>
  <c r="S8" i="26"/>
  <c r="AP8" i="26"/>
  <c r="AH8" i="26"/>
  <c r="Z8" i="26"/>
  <c r="R8" i="26"/>
  <c r="AO8" i="26"/>
  <c r="AG8" i="26"/>
  <c r="Y8" i="26"/>
  <c r="I109" i="27"/>
  <c r="I108" i="27"/>
  <c r="I19" i="49"/>
  <c r="K19" i="49" s="1"/>
  <c r="H100" i="27"/>
  <c r="I100" i="27" s="1"/>
  <c r="I20" i="49"/>
  <c r="K20" i="49" s="1"/>
  <c r="H101" i="27"/>
  <c r="I101" i="27" s="1"/>
  <c r="I18" i="49"/>
  <c r="H99" i="27"/>
  <c r="I99" i="27" s="1"/>
  <c r="E11" i="27"/>
  <c r="P61" i="40"/>
  <c r="P60" i="40"/>
  <c r="E15" i="27"/>
  <c r="E12" i="27"/>
  <c r="E6" i="27"/>
  <c r="G20" i="42"/>
  <c r="L8" i="27" s="1"/>
  <c r="G19" i="42"/>
  <c r="G18" i="42"/>
  <c r="E10" i="27" l="1"/>
  <c r="G9" i="27"/>
  <c r="E13" i="27"/>
  <c r="L13" i="27" s="1"/>
  <c r="E7" i="27"/>
  <c r="G8" i="27"/>
  <c r="C5" i="27"/>
  <c r="C5" i="50"/>
  <c r="C98" i="27"/>
  <c r="C13" i="50"/>
  <c r="C90" i="27"/>
  <c r="F12" i="49"/>
  <c r="H106" i="27" s="1"/>
  <c r="K18" i="49"/>
  <c r="K26" i="49" s="1"/>
  <c r="E13" i="50" s="1"/>
  <c r="L7" i="27"/>
  <c r="L6" i="27"/>
  <c r="B5" i="40"/>
  <c r="B5" i="47" s="1"/>
  <c r="M56" i="40"/>
  <c r="O56" i="40" s="1"/>
  <c r="P56" i="40" s="1"/>
  <c r="M54" i="40"/>
  <c r="O54" i="40" s="1"/>
  <c r="P54" i="40" s="1"/>
  <c r="M52" i="40"/>
  <c r="H97" i="27" s="1"/>
  <c r="M42" i="40"/>
  <c r="O42" i="40" s="1"/>
  <c r="P42" i="40" s="1"/>
  <c r="M40" i="40"/>
  <c r="O40" i="40" s="1"/>
  <c r="P40" i="40" s="1"/>
  <c r="M38" i="40"/>
  <c r="M29" i="40"/>
  <c r="O29" i="40" s="1"/>
  <c r="P29" i="40" s="1"/>
  <c r="M27" i="40"/>
  <c r="O27" i="40" s="1"/>
  <c r="P27" i="40" s="1"/>
  <c r="M15" i="40"/>
  <c r="B3" i="40" l="1"/>
  <c r="B3" i="47" s="1"/>
  <c r="B2" i="24"/>
  <c r="I31" i="49"/>
  <c r="H79" i="27"/>
  <c r="H89" i="27"/>
  <c r="O52" i="40"/>
  <c r="I97" i="27" s="1"/>
  <c r="O15" i="40"/>
  <c r="H29" i="27"/>
  <c r="H64" i="27"/>
  <c r="O38" i="40"/>
  <c r="G22" i="42"/>
  <c r="L10" i="27" s="1"/>
  <c r="G2" i="27"/>
  <c r="F2" i="27"/>
  <c r="C4" i="24"/>
  <c r="F9" i="30"/>
  <c r="F10" i="30"/>
  <c r="F11" i="30"/>
  <c r="F12" i="30"/>
  <c r="F13" i="30"/>
  <c r="F14" i="30"/>
  <c r="F15" i="30"/>
  <c r="F16" i="30"/>
  <c r="F17" i="30"/>
  <c r="F18" i="30"/>
  <c r="F19" i="30"/>
  <c r="F20" i="30"/>
  <c r="F21" i="30"/>
  <c r="F22" i="30"/>
  <c r="F23" i="30"/>
  <c r="F24" i="30"/>
  <c r="F25" i="30"/>
  <c r="F26" i="30"/>
  <c r="F27" i="30"/>
  <c r="F28" i="30"/>
  <c r="F29" i="30"/>
  <c r="F30" i="30"/>
  <c r="F31" i="30"/>
  <c r="F32" i="30"/>
  <c r="F33" i="30"/>
  <c r="F34" i="30"/>
  <c r="F8" i="30"/>
  <c r="E34" i="30"/>
  <c r="E33" i="30"/>
  <c r="E32" i="30"/>
  <c r="E31" i="30"/>
  <c r="E30" i="30"/>
  <c r="E29" i="30"/>
  <c r="E28" i="30"/>
  <c r="E27" i="30"/>
  <c r="E26" i="30"/>
  <c r="E25" i="30"/>
  <c r="E24" i="30"/>
  <c r="E23" i="30"/>
  <c r="E22" i="30"/>
  <c r="E21" i="30"/>
  <c r="E20" i="30"/>
  <c r="E19" i="30"/>
  <c r="E18" i="30"/>
  <c r="E17" i="30"/>
  <c r="E12" i="30"/>
  <c r="E13" i="30"/>
  <c r="E14" i="30"/>
  <c r="E15" i="30"/>
  <c r="E11" i="30"/>
  <c r="E16" i="30"/>
  <c r="E9" i="30"/>
  <c r="E10" i="30"/>
  <c r="E8"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8" i="30"/>
  <c r="C34" i="30"/>
  <c r="C33" i="30"/>
  <c r="C32" i="30"/>
  <c r="C31" i="30"/>
  <c r="C30" i="30"/>
  <c r="C29" i="30"/>
  <c r="C28" i="30"/>
  <c r="C27" i="30"/>
  <c r="C26" i="30"/>
  <c r="C25" i="30"/>
  <c r="C24" i="30"/>
  <c r="C23" i="30"/>
  <c r="C22" i="30"/>
  <c r="C21" i="30"/>
  <c r="C20" i="30"/>
  <c r="C19" i="30"/>
  <c r="C18" i="30"/>
  <c r="C17" i="30"/>
  <c r="C12" i="30"/>
  <c r="C13" i="30"/>
  <c r="C14" i="30"/>
  <c r="C15" i="30"/>
  <c r="C11" i="30"/>
  <c r="C16" i="30"/>
  <c r="C10" i="30"/>
  <c r="C9" i="30"/>
  <c r="C8" i="30"/>
  <c r="B12" i="32"/>
  <c r="B3" i="32"/>
  <c r="C50" i="27"/>
  <c r="E50" i="27" s="1"/>
  <c r="C49" i="27"/>
  <c r="C48" i="27"/>
  <c r="E48" i="27" s="1"/>
  <c r="C44" i="27"/>
  <c r="G44" i="27" s="1"/>
  <c r="C45" i="27"/>
  <c r="E45" i="27" s="1"/>
  <c r="C46" i="27"/>
  <c r="G46" i="27" s="1"/>
  <c r="C47" i="27"/>
  <c r="G47" i="27" s="1"/>
  <c r="C43" i="27"/>
  <c r="G43" i="27" s="1"/>
  <c r="F50" i="27"/>
  <c r="F49" i="27"/>
  <c r="F48" i="27"/>
  <c r="F47" i="27"/>
  <c r="F46" i="27"/>
  <c r="F45" i="27"/>
  <c r="F44" i="27"/>
  <c r="F43" i="27"/>
  <c r="C56" i="27"/>
  <c r="E56" i="27" s="1"/>
  <c r="F56" i="27"/>
  <c r="C57" i="27"/>
  <c r="G57" i="27" s="1"/>
  <c r="F57" i="27"/>
  <c r="C58" i="27"/>
  <c r="E58" i="27" s="1"/>
  <c r="F58" i="27"/>
  <c r="C59" i="27"/>
  <c r="E59" i="27" s="1"/>
  <c r="F59" i="27"/>
  <c r="C60" i="27"/>
  <c r="E60" i="27" s="1"/>
  <c r="F60" i="27"/>
  <c r="C61" i="27"/>
  <c r="E61" i="27" s="1"/>
  <c r="F61" i="27"/>
  <c r="B8" i="31"/>
  <c r="G21" i="31" s="1"/>
  <c r="B32" i="31"/>
  <c r="C32" i="31" s="1"/>
  <c r="C31" i="31"/>
  <c r="B22" i="31"/>
  <c r="J22" i="31" s="1"/>
  <c r="B21" i="31"/>
  <c r="J21" i="31" s="1"/>
  <c r="B20" i="31"/>
  <c r="J20" i="31" s="1"/>
  <c r="B19" i="31"/>
  <c r="J19" i="31" s="1"/>
  <c r="B18" i="31"/>
  <c r="J18" i="31" s="1"/>
  <c r="C12" i="31"/>
  <c r="K3" i="31"/>
  <c r="C36" i="27"/>
  <c r="E36" i="27" s="1"/>
  <c r="F36" i="27"/>
  <c r="F25" i="27"/>
  <c r="C25" i="27"/>
  <c r="E25" i="27" s="1"/>
  <c r="J22" i="12"/>
  <c r="B22" i="12"/>
  <c r="J22" i="11"/>
  <c r="B22" i="11"/>
  <c r="J24" i="10"/>
  <c r="B21" i="10"/>
  <c r="B22" i="10"/>
  <c r="B23" i="10"/>
  <c r="B24" i="10"/>
  <c r="H107" i="27" l="1"/>
  <c r="I79" i="27"/>
  <c r="P38" i="40"/>
  <c r="I64" i="27"/>
  <c r="P15" i="40"/>
  <c r="I29" i="27"/>
  <c r="G29" i="27" s="1"/>
  <c r="P52" i="40"/>
  <c r="I89" i="27"/>
  <c r="G79" i="27"/>
  <c r="G89" i="27"/>
  <c r="G97" i="27"/>
  <c r="E44" i="27"/>
  <c r="E46" i="27"/>
  <c r="L46" i="27" s="1"/>
  <c r="G24" i="42"/>
  <c r="L12" i="27" s="1"/>
  <c r="G21" i="42"/>
  <c r="L9" i="27" s="1"/>
  <c r="G23" i="42"/>
  <c r="L11" i="27" s="1"/>
  <c r="C30" i="27"/>
  <c r="E49" i="27"/>
  <c r="E43" i="27"/>
  <c r="G45" i="27"/>
  <c r="E47" i="27"/>
  <c r="G60" i="27"/>
  <c r="G59" i="27"/>
  <c r="E57" i="27"/>
  <c r="G58" i="27"/>
  <c r="G56" i="27"/>
  <c r="G19" i="31"/>
  <c r="G22" i="31"/>
  <c r="G20" i="31"/>
  <c r="L45" i="27" s="1"/>
  <c r="G18" i="31"/>
  <c r="G36" i="27"/>
  <c r="G25" i="27"/>
  <c r="P72" i="40" l="1"/>
  <c r="E9" i="47"/>
  <c r="L44" i="27"/>
  <c r="L43" i="27"/>
  <c r="L47" i="27"/>
  <c r="L1" i="23"/>
  <c r="D8" i="28"/>
  <c r="D7" i="28"/>
  <c r="F2" i="26"/>
  <c r="F75" i="27"/>
  <c r="C75" i="27"/>
  <c r="E75" i="27" s="1"/>
  <c r="C13" i="13"/>
  <c r="L141" i="23" l="1"/>
  <c r="C62" i="27"/>
  <c r="C95" i="27"/>
  <c r="E95" i="27" s="1"/>
  <c r="C94" i="27"/>
  <c r="F95" i="27"/>
  <c r="F94" i="27"/>
  <c r="F87" i="27"/>
  <c r="F86" i="27"/>
  <c r="C87" i="27"/>
  <c r="C86" i="27"/>
  <c r="F85" i="27"/>
  <c r="F84" i="27"/>
  <c r="F83" i="27"/>
  <c r="F82" i="27"/>
  <c r="F62" i="27"/>
  <c r="F74" i="27"/>
  <c r="F76" i="27"/>
  <c r="F77" i="27"/>
  <c r="C77" i="27"/>
  <c r="E77" i="27" s="1"/>
  <c r="C76" i="27"/>
  <c r="C74" i="27"/>
  <c r="E74" i="27" s="1"/>
  <c r="F72" i="27"/>
  <c r="C81" i="27"/>
  <c r="C55" i="27"/>
  <c r="C18" i="27"/>
  <c r="F93" i="27"/>
  <c r="F92" i="27"/>
  <c r="F91" i="27"/>
  <c r="F71" i="27"/>
  <c r="F70" i="27"/>
  <c r="F69" i="27"/>
  <c r="F68" i="27"/>
  <c r="F67" i="27"/>
  <c r="F66" i="27"/>
  <c r="F39" i="27"/>
  <c r="F38" i="27"/>
  <c r="F37" i="27"/>
  <c r="F35" i="27"/>
  <c r="F34" i="27"/>
  <c r="F33" i="27"/>
  <c r="F32" i="27"/>
  <c r="F20" i="27"/>
  <c r="F21" i="27"/>
  <c r="F22" i="27"/>
  <c r="F23" i="27"/>
  <c r="F24" i="27"/>
  <c r="F26" i="27"/>
  <c r="F27" i="27"/>
  <c r="F19" i="27"/>
  <c r="C12" i="10"/>
  <c r="C27" i="27"/>
  <c r="C26" i="27"/>
  <c r="C38" i="27"/>
  <c r="E38" i="27" s="1"/>
  <c r="C37" i="27"/>
  <c r="E37" i="27" s="1"/>
  <c r="C23" i="27"/>
  <c r="G23" i="27" s="1"/>
  <c r="C24" i="27"/>
  <c r="E24" i="27" s="1"/>
  <c r="E22" i="28"/>
  <c r="D19" i="28"/>
  <c r="C19" i="28"/>
  <c r="E19" i="28" s="1"/>
  <c r="B19" i="28"/>
  <c r="D18" i="28"/>
  <c r="C18" i="28"/>
  <c r="C17" i="28"/>
  <c r="C16" i="28"/>
  <c r="D16" i="28" s="1"/>
  <c r="E14" i="28"/>
  <c r="C6" i="28"/>
  <c r="C65" i="27" l="1"/>
  <c r="E10" i="47"/>
  <c r="E94" i="27"/>
  <c r="E86" i="27"/>
  <c r="E87" i="27"/>
  <c r="E76" i="27"/>
  <c r="E62" i="27"/>
  <c r="E27" i="27"/>
  <c r="E23" i="27"/>
  <c r="G24" i="27"/>
  <c r="E26" i="27"/>
  <c r="D21" i="28"/>
  <c r="D17" i="28"/>
  <c r="L143" i="23" l="1"/>
  <c r="L142" i="23"/>
  <c r="L100" i="23"/>
  <c r="L99" i="23"/>
  <c r="L98" i="23"/>
  <c r="L58" i="23"/>
  <c r="L57" i="23"/>
  <c r="L56" i="23"/>
  <c r="L14" i="23"/>
  <c r="L15" i="23"/>
  <c r="L13" i="23"/>
  <c r="K165" i="23"/>
  <c r="K164" i="23"/>
  <c r="K163" i="23"/>
  <c r="K162" i="23"/>
  <c r="K161" i="23"/>
  <c r="K160" i="23"/>
  <c r="K159" i="23"/>
  <c r="K158" i="23"/>
  <c r="K157" i="23"/>
  <c r="K156" i="23"/>
  <c r="K155" i="23"/>
  <c r="K154" i="23"/>
  <c r="K153" i="23"/>
  <c r="K152" i="23"/>
  <c r="K151" i="23"/>
  <c r="K150" i="23"/>
  <c r="K149" i="23"/>
  <c r="K148" i="23"/>
  <c r="K147" i="23"/>
  <c r="K146" i="23"/>
  <c r="K145" i="23"/>
  <c r="K144" i="23"/>
  <c r="K143" i="23"/>
  <c r="K142" i="23"/>
  <c r="K141" i="23"/>
  <c r="K140" i="23"/>
  <c r="K139" i="23"/>
  <c r="K138" i="23"/>
  <c r="K137" i="23"/>
  <c r="K136" i="23"/>
  <c r="K135" i="23"/>
  <c r="K134" i="23"/>
  <c r="K133" i="23"/>
  <c r="K132" i="23"/>
  <c r="K131" i="23"/>
  <c r="K130" i="23"/>
  <c r="K127" i="23"/>
  <c r="K126" i="23"/>
  <c r="K125" i="23"/>
  <c r="K124" i="23"/>
  <c r="K123" i="23"/>
  <c r="K122" i="23"/>
  <c r="K121" i="23"/>
  <c r="K120" i="23"/>
  <c r="K119" i="23"/>
  <c r="K118" i="23"/>
  <c r="K117" i="23"/>
  <c r="K116" i="23"/>
  <c r="K115" i="23"/>
  <c r="K114" i="23"/>
  <c r="K113" i="23"/>
  <c r="K112" i="23"/>
  <c r="K111" i="23"/>
  <c r="K110" i="23"/>
  <c r="K109" i="23"/>
  <c r="K108" i="23"/>
  <c r="K107" i="23"/>
  <c r="K106" i="23"/>
  <c r="K105" i="23"/>
  <c r="K104" i="23"/>
  <c r="K103" i="23"/>
  <c r="K102" i="23"/>
  <c r="K101" i="23"/>
  <c r="K100" i="23"/>
  <c r="K99" i="23"/>
  <c r="K98" i="23"/>
  <c r="K97" i="23"/>
  <c r="K96" i="23"/>
  <c r="K95" i="23"/>
  <c r="K94" i="23"/>
  <c r="K93" i="23"/>
  <c r="K92" i="23"/>
  <c r="K91" i="23"/>
  <c r="K90" i="23"/>
  <c r="K89" i="23"/>
  <c r="K88" i="23"/>
  <c r="K87" i="23"/>
  <c r="K84" i="23"/>
  <c r="K83" i="23"/>
  <c r="K82" i="23"/>
  <c r="K81" i="23"/>
  <c r="K80" i="23"/>
  <c r="K79" i="23"/>
  <c r="K78" i="23"/>
  <c r="K77" i="23"/>
  <c r="K76" i="23"/>
  <c r="K75" i="23"/>
  <c r="K74"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J23" i="10"/>
  <c r="J22" i="10"/>
  <c r="K7" i="42"/>
  <c r="D5" i="50" s="1"/>
  <c r="B8" i="15"/>
  <c r="G19" i="15" s="1"/>
  <c r="B8" i="14"/>
  <c r="B8" i="13"/>
  <c r="B8" i="12"/>
  <c r="B8" i="11"/>
  <c r="B8" i="10"/>
  <c r="K3" i="11"/>
  <c r="K3" i="12"/>
  <c r="K3" i="13"/>
  <c r="K3" i="14"/>
  <c r="K3" i="15"/>
  <c r="K3" i="10"/>
  <c r="G22" i="13" l="1"/>
  <c r="G25" i="13"/>
  <c r="L73" i="27" s="1"/>
  <c r="H25" i="42"/>
  <c r="I25" i="42" s="1"/>
  <c r="K25" i="42" s="1"/>
  <c r="H18" i="42"/>
  <c r="G24" i="10"/>
  <c r="L25" i="27" s="1"/>
  <c r="N14" i="23"/>
  <c r="G20" i="11"/>
  <c r="G22" i="11"/>
  <c r="L36" i="27" s="1"/>
  <c r="G20" i="12"/>
  <c r="L58" i="27" s="1"/>
  <c r="G22" i="12"/>
  <c r="L60" i="27" s="1"/>
  <c r="G20" i="14"/>
  <c r="G23" i="10"/>
  <c r="L24" i="27" s="1"/>
  <c r="G22" i="10"/>
  <c r="L23" i="27" s="1"/>
  <c r="N142" i="23"/>
  <c r="N143" i="23"/>
  <c r="N141" i="23"/>
  <c r="G24" i="13"/>
  <c r="G21" i="14"/>
  <c r="N58" i="23"/>
  <c r="N57" i="23"/>
  <c r="N98" i="23"/>
  <c r="N99" i="23"/>
  <c r="N100" i="23"/>
  <c r="N56" i="23"/>
  <c r="N13" i="23"/>
  <c r="N15" i="23"/>
  <c r="G23" i="13"/>
  <c r="G20" i="15"/>
  <c r="G18" i="10"/>
  <c r="L19" i="27" s="1"/>
  <c r="G18" i="12"/>
  <c r="L56" i="27" s="1"/>
  <c r="G21" i="12"/>
  <c r="L59" i="27" s="1"/>
  <c r="G19" i="10"/>
  <c r="L20" i="27" s="1"/>
  <c r="G19" i="12"/>
  <c r="L57" i="27" s="1"/>
  <c r="G20" i="10"/>
  <c r="L21" i="27" s="1"/>
  <c r="G20" i="13"/>
  <c r="G21" i="10"/>
  <c r="L22" i="27" s="1"/>
  <c r="G18" i="14"/>
  <c r="G18" i="11"/>
  <c r="G18" i="15"/>
  <c r="G19" i="14"/>
  <c r="G19" i="11"/>
  <c r="G21" i="11"/>
  <c r="G18" i="13"/>
  <c r="G21" i="13"/>
  <c r="G19" i="13"/>
  <c r="C11" i="19"/>
  <c r="K32" i="10"/>
  <c r="J32" i="10"/>
  <c r="K32" i="14"/>
  <c r="J32" i="14"/>
  <c r="K32" i="15"/>
  <c r="J32" i="15"/>
  <c r="C32" i="10"/>
  <c r="C32" i="13"/>
  <c r="C32" i="14"/>
  <c r="C32" i="15"/>
  <c r="K32" i="12"/>
  <c r="J32" i="12"/>
  <c r="C32" i="12"/>
  <c r="C31" i="11"/>
  <c r="B32" i="11"/>
  <c r="C32" i="11" s="1"/>
  <c r="C31" i="12"/>
  <c r="C31" i="13"/>
  <c r="C31" i="14"/>
  <c r="C31" i="15"/>
  <c r="C31" i="10"/>
  <c r="C12" i="11"/>
  <c r="C12" i="12"/>
  <c r="C12" i="13"/>
  <c r="C12" i="14"/>
  <c r="C12" i="15"/>
  <c r="H13" i="27" l="1"/>
  <c r="I13" i="27" s="1"/>
  <c r="I18" i="42"/>
  <c r="H6" i="27"/>
  <c r="H19" i="42"/>
  <c r="H20" i="42"/>
  <c r="H22" i="42"/>
  <c r="H21" i="42"/>
  <c r="H24" i="42"/>
  <c r="H23" i="42"/>
  <c r="H21" i="31"/>
  <c r="H18" i="31"/>
  <c r="H20" i="31"/>
  <c r="H22" i="31"/>
  <c r="H19" i="31"/>
  <c r="C39" i="27"/>
  <c r="E5" i="18"/>
  <c r="F5" i="18" s="1"/>
  <c r="E4" i="18"/>
  <c r="F4" i="18" s="1"/>
  <c r="E3" i="18"/>
  <c r="F3" i="18" s="1"/>
  <c r="E2" i="18"/>
  <c r="J4" i="17"/>
  <c r="L4" i="17" s="1"/>
  <c r="J3" i="17"/>
  <c r="J13" i="13" l="1"/>
  <c r="J12" i="49"/>
  <c r="I18" i="31"/>
  <c r="K18" i="31" s="1"/>
  <c r="H43" i="27"/>
  <c r="I43" i="27" s="1"/>
  <c r="I21" i="31"/>
  <c r="K21" i="31" s="1"/>
  <c r="H46" i="27"/>
  <c r="I46" i="27" s="1"/>
  <c r="I20" i="31"/>
  <c r="K20" i="31" s="1"/>
  <c r="H45" i="27"/>
  <c r="I45" i="27" s="1"/>
  <c r="I19" i="31"/>
  <c r="K19" i="31" s="1"/>
  <c r="H44" i="27"/>
  <c r="I44" i="27" s="1"/>
  <c r="I22" i="31"/>
  <c r="K22" i="31" s="1"/>
  <c r="H47" i="27"/>
  <c r="I47" i="27" s="1"/>
  <c r="I23" i="42"/>
  <c r="K23" i="42" s="1"/>
  <c r="H11" i="27"/>
  <c r="I11" i="27" s="1"/>
  <c r="K18" i="42"/>
  <c r="I6" i="27"/>
  <c r="I21" i="42"/>
  <c r="K21" i="42" s="1"/>
  <c r="H9" i="27"/>
  <c r="I9" i="27" s="1"/>
  <c r="I24" i="42"/>
  <c r="K24" i="42" s="1"/>
  <c r="H12" i="27"/>
  <c r="I12" i="27" s="1"/>
  <c r="I22" i="42"/>
  <c r="K22" i="42" s="1"/>
  <c r="H10" i="27"/>
  <c r="I10" i="27" s="1"/>
  <c r="I20" i="42"/>
  <c r="K20" i="42" s="1"/>
  <c r="H8" i="27"/>
  <c r="I8" i="27" s="1"/>
  <c r="I19" i="42"/>
  <c r="K19" i="42" s="1"/>
  <c r="H7" i="27"/>
  <c r="I7" i="27" s="1"/>
  <c r="J32" i="11"/>
  <c r="J32" i="31"/>
  <c r="G50" i="27"/>
  <c r="J12" i="15"/>
  <c r="J32" i="13"/>
  <c r="G77" i="27"/>
  <c r="G39" i="27"/>
  <c r="E39" i="27"/>
  <c r="K4" i="17"/>
  <c r="I12" i="49" l="1"/>
  <c r="K12" i="49" s="1"/>
  <c r="K16" i="49" s="1"/>
  <c r="G106" i="27"/>
  <c r="I106" i="27" s="1"/>
  <c r="I32" i="31"/>
  <c r="H50" i="27" s="1"/>
  <c r="I50" i="27" s="1"/>
  <c r="F12" i="31"/>
  <c r="H48" i="27" s="1"/>
  <c r="F12" i="42"/>
  <c r="H14" i="27" s="1"/>
  <c r="K26" i="42"/>
  <c r="E5" i="50" s="1"/>
  <c r="K26" i="31"/>
  <c r="E8" i="50" s="1"/>
  <c r="G75" i="27"/>
  <c r="I13" i="13"/>
  <c r="I12" i="15"/>
  <c r="G94" i="27"/>
  <c r="F2" i="18"/>
  <c r="L3" i="17"/>
  <c r="K3" i="17"/>
  <c r="A5" i="5"/>
  <c r="K7" i="15"/>
  <c r="K7" i="14"/>
  <c r="D11" i="50" s="1"/>
  <c r="K7" i="13"/>
  <c r="K7" i="12"/>
  <c r="K7" i="11"/>
  <c r="K7" i="10"/>
  <c r="D6" i="50" s="1"/>
  <c r="I12" i="42" l="1"/>
  <c r="G14" i="27"/>
  <c r="I14" i="27" s="1"/>
  <c r="J12" i="31"/>
  <c r="J12" i="42"/>
  <c r="J31" i="49"/>
  <c r="K31" i="49" s="1"/>
  <c r="K39" i="49" s="1"/>
  <c r="H13" i="50" s="1"/>
  <c r="G107" i="27"/>
  <c r="I107" i="27" s="1"/>
  <c r="I98" i="27" s="1"/>
  <c r="J31" i="42"/>
  <c r="G15" i="27"/>
  <c r="K27" i="49"/>
  <c r="K28" i="49" s="1"/>
  <c r="F13" i="50"/>
  <c r="G13" i="50" s="1"/>
  <c r="H20" i="15"/>
  <c r="I20" i="15" s="1"/>
  <c r="D12" i="50"/>
  <c r="H25" i="13"/>
  <c r="I25" i="13" s="1"/>
  <c r="K25" i="13" s="1"/>
  <c r="D10" i="50"/>
  <c r="H22" i="12"/>
  <c r="H60" i="27" s="1"/>
  <c r="I60" i="27" s="1"/>
  <c r="D9" i="50"/>
  <c r="H22" i="11"/>
  <c r="I22" i="11" s="1"/>
  <c r="K22" i="11" s="1"/>
  <c r="D7" i="50"/>
  <c r="I31" i="31"/>
  <c r="H49" i="27" s="1"/>
  <c r="K32" i="31"/>
  <c r="I31" i="42"/>
  <c r="K12" i="42"/>
  <c r="K16" i="42" s="1"/>
  <c r="H24" i="10"/>
  <c r="I24" i="10" s="1"/>
  <c r="K24" i="10" s="1"/>
  <c r="J31" i="31"/>
  <c r="G49" i="27"/>
  <c r="I12" i="31"/>
  <c r="K12" i="31" s="1"/>
  <c r="K16" i="31" s="1"/>
  <c r="G48" i="27"/>
  <c r="I48" i="27" s="1"/>
  <c r="G61" i="27"/>
  <c r="J31" i="13"/>
  <c r="J31" i="10"/>
  <c r="J31" i="12"/>
  <c r="J31" i="11"/>
  <c r="J31" i="15"/>
  <c r="J31" i="14"/>
  <c r="G76" i="27"/>
  <c r="G38" i="27"/>
  <c r="G87" i="27"/>
  <c r="G62" i="27"/>
  <c r="G27" i="27"/>
  <c r="G95" i="27"/>
  <c r="I12" i="13"/>
  <c r="I12" i="12"/>
  <c r="I12" i="14"/>
  <c r="I12" i="10"/>
  <c r="I12" i="11"/>
  <c r="G86" i="27"/>
  <c r="G26" i="27"/>
  <c r="G74" i="27"/>
  <c r="G37" i="27"/>
  <c r="J12" i="13"/>
  <c r="J12" i="12"/>
  <c r="J12" i="11"/>
  <c r="J12" i="14"/>
  <c r="J12" i="10"/>
  <c r="H20" i="14"/>
  <c r="H21" i="14"/>
  <c r="H23" i="13"/>
  <c r="H24" i="13"/>
  <c r="H23" i="10"/>
  <c r="H22" i="10"/>
  <c r="H22" i="13"/>
  <c r="H21" i="13"/>
  <c r="H18" i="11"/>
  <c r="H20" i="11"/>
  <c r="H21" i="11"/>
  <c r="H18" i="15"/>
  <c r="H19" i="15"/>
  <c r="H21" i="12"/>
  <c r="H59" i="27" s="1"/>
  <c r="I59" i="27" s="1"/>
  <c r="H18" i="14"/>
  <c r="H18" i="13"/>
  <c r="H20" i="13"/>
  <c r="H19" i="14"/>
  <c r="H19" i="13"/>
  <c r="H18" i="12"/>
  <c r="H56" i="27" s="1"/>
  <c r="I56" i="27" s="1"/>
  <c r="H20" i="12"/>
  <c r="H58" i="27" s="1"/>
  <c r="I58" i="27" s="1"/>
  <c r="H19" i="12"/>
  <c r="H57" i="27" s="1"/>
  <c r="I57" i="27" s="1"/>
  <c r="H19" i="11"/>
  <c r="H20" i="10"/>
  <c r="H21" i="10"/>
  <c r="H18" i="10"/>
  <c r="H19" i="10"/>
  <c r="A27" i="5"/>
  <c r="A101" i="5"/>
  <c r="B101"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B5" i="5"/>
  <c r="A6" i="5"/>
  <c r="B6" i="5"/>
  <c r="A7" i="5"/>
  <c r="B7" i="5"/>
  <c r="A8" i="5"/>
  <c r="B8" i="5"/>
  <c r="A9" i="5"/>
  <c r="B9" i="5"/>
  <c r="A10" i="5"/>
  <c r="B10"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B4" i="5"/>
  <c r="A4" i="5"/>
  <c r="K31" i="42" l="1"/>
  <c r="K39" i="42" s="1"/>
  <c r="H5" i="50" s="1"/>
  <c r="I13" i="50"/>
  <c r="K49" i="49"/>
  <c r="H93" i="27"/>
  <c r="I22" i="12"/>
  <c r="K22" i="12" s="1"/>
  <c r="H73" i="27"/>
  <c r="I73" i="27" s="1"/>
  <c r="H36" i="27"/>
  <c r="I36" i="27" s="1"/>
  <c r="K27" i="31"/>
  <c r="K28" i="31" s="1"/>
  <c r="F8" i="50"/>
  <c r="G8" i="50" s="1"/>
  <c r="K27" i="42"/>
  <c r="K28" i="42" s="1"/>
  <c r="K49" i="42" s="1"/>
  <c r="F5" i="50"/>
  <c r="K31" i="31"/>
  <c r="K39" i="31" s="1"/>
  <c r="I49" i="27"/>
  <c r="H15" i="27"/>
  <c r="I15" i="27" s="1"/>
  <c r="I5" i="27" s="1"/>
  <c r="H25" i="27"/>
  <c r="I25" i="27" s="1"/>
  <c r="I18" i="15"/>
  <c r="H91" i="27"/>
  <c r="I19" i="15"/>
  <c r="H92" i="27"/>
  <c r="I21" i="10"/>
  <c r="H22" i="27"/>
  <c r="I20" i="10"/>
  <c r="H21" i="27"/>
  <c r="I18" i="10"/>
  <c r="H19" i="27"/>
  <c r="I23" i="10"/>
  <c r="K23" i="10" s="1"/>
  <c r="H24" i="27"/>
  <c r="I24" i="27" s="1"/>
  <c r="I22" i="10"/>
  <c r="K22" i="10" s="1"/>
  <c r="H23" i="27"/>
  <c r="I23" i="27" s="1"/>
  <c r="I19" i="10"/>
  <c r="H20" i="27"/>
  <c r="I20" i="12"/>
  <c r="I20" i="13"/>
  <c r="H68" i="27"/>
  <c r="I19" i="11"/>
  <c r="H33" i="27"/>
  <c r="I18" i="12"/>
  <c r="I21" i="11"/>
  <c r="H35" i="27"/>
  <c r="I18" i="14"/>
  <c r="H82" i="27"/>
  <c r="I18" i="11"/>
  <c r="H32" i="27"/>
  <c r="I21" i="13"/>
  <c r="H69" i="27"/>
  <c r="I21" i="14"/>
  <c r="H85" i="27"/>
  <c r="I19" i="12"/>
  <c r="I21" i="12"/>
  <c r="I22" i="13"/>
  <c r="H70" i="27"/>
  <c r="I20" i="14"/>
  <c r="H84" i="27"/>
  <c r="I19" i="13"/>
  <c r="H67" i="27"/>
  <c r="I19" i="14"/>
  <c r="H83" i="27"/>
  <c r="I24" i="13"/>
  <c r="F13" i="13" s="1"/>
  <c r="H72" i="27"/>
  <c r="I18" i="13"/>
  <c r="H66" i="27"/>
  <c r="I20" i="11"/>
  <c r="H34" i="27"/>
  <c r="I23" i="13"/>
  <c r="H71" i="27"/>
  <c r="B23" i="13"/>
  <c r="B21" i="14"/>
  <c r="B24" i="13"/>
  <c r="B22" i="13"/>
  <c r="B21" i="13"/>
  <c r="B20" i="14"/>
  <c r="B20" i="15"/>
  <c r="B18" i="13"/>
  <c r="C66" i="27" s="1"/>
  <c r="B21" i="12"/>
  <c r="B19" i="11"/>
  <c r="C33" i="27" s="1"/>
  <c r="B18" i="10"/>
  <c r="C19" i="27" s="1"/>
  <c r="B20" i="10"/>
  <c r="C21" i="27" s="1"/>
  <c r="B20" i="11"/>
  <c r="C34" i="27" s="1"/>
  <c r="C22" i="27"/>
  <c r="B19" i="15"/>
  <c r="C92" i="27" s="1"/>
  <c r="B19" i="14"/>
  <c r="C83" i="27" s="1"/>
  <c r="B20" i="12"/>
  <c r="B21" i="11"/>
  <c r="C35" i="27" s="1"/>
  <c r="B18" i="14"/>
  <c r="C82" i="27" s="1"/>
  <c r="B18" i="12"/>
  <c r="B18" i="15"/>
  <c r="C91" i="27" s="1"/>
  <c r="B20" i="13"/>
  <c r="C68" i="27" s="1"/>
  <c r="B19" i="12"/>
  <c r="B18" i="11"/>
  <c r="C32" i="27" s="1"/>
  <c r="B19" i="13"/>
  <c r="C67" i="27" s="1"/>
  <c r="B19" i="10"/>
  <c r="C20" i="27" s="1"/>
  <c r="K49" i="31" l="1"/>
  <c r="H8" i="50"/>
  <c r="I8" i="50" s="1"/>
  <c r="G5" i="50"/>
  <c r="K13" i="13"/>
  <c r="H75" i="27"/>
  <c r="I75" i="27" s="1"/>
  <c r="F12" i="13"/>
  <c r="F12" i="15"/>
  <c r="G82" i="27"/>
  <c r="I82" i="27" s="1"/>
  <c r="E82" i="27"/>
  <c r="L82" i="27" s="1"/>
  <c r="G34" i="27"/>
  <c r="I34" i="27" s="1"/>
  <c r="E34" i="27"/>
  <c r="L34" i="27" s="1"/>
  <c r="J24" i="13"/>
  <c r="K24" i="13" s="1"/>
  <c r="C72" i="27"/>
  <c r="G32" i="27"/>
  <c r="I32" i="27" s="1"/>
  <c r="E32" i="27"/>
  <c r="L32" i="27" s="1"/>
  <c r="E35" i="27"/>
  <c r="L35" i="27" s="1"/>
  <c r="G35" i="27"/>
  <c r="I35" i="27" s="1"/>
  <c r="E21" i="27"/>
  <c r="G21" i="27"/>
  <c r="I21" i="27" s="1"/>
  <c r="J20" i="15"/>
  <c r="K20" i="15" s="1"/>
  <c r="C93" i="27"/>
  <c r="G22" i="27"/>
  <c r="I22" i="27" s="1"/>
  <c r="E22" i="27"/>
  <c r="G19" i="27"/>
  <c r="I19" i="27" s="1"/>
  <c r="E19" i="27"/>
  <c r="J21" i="14"/>
  <c r="C85" i="27"/>
  <c r="G83" i="27"/>
  <c r="I83" i="27" s="1"/>
  <c r="E83" i="27"/>
  <c r="L83" i="27" s="1"/>
  <c r="E33" i="27"/>
  <c r="L33" i="27" s="1"/>
  <c r="G33" i="27"/>
  <c r="I33" i="27" s="1"/>
  <c r="J20" i="14"/>
  <c r="K20" i="14" s="1"/>
  <c r="C84" i="27"/>
  <c r="E20" i="27"/>
  <c r="G20" i="27"/>
  <c r="I20" i="27" s="1"/>
  <c r="G91" i="27"/>
  <c r="I91" i="27" s="1"/>
  <c r="E91" i="27"/>
  <c r="L91" i="27" s="1"/>
  <c r="G92" i="27"/>
  <c r="I92" i="27" s="1"/>
  <c r="E92" i="27"/>
  <c r="L92" i="27" s="1"/>
  <c r="I32" i="13"/>
  <c r="F12" i="10"/>
  <c r="I32" i="11"/>
  <c r="F12" i="12"/>
  <c r="H61" i="27" s="1"/>
  <c r="I61" i="27" s="1"/>
  <c r="K21" i="14"/>
  <c r="F12" i="14"/>
  <c r="F12" i="11"/>
  <c r="G66" i="27"/>
  <c r="I66" i="27" s="1"/>
  <c r="E66" i="27"/>
  <c r="L66" i="27" s="1"/>
  <c r="G68" i="27"/>
  <c r="I68" i="27" s="1"/>
  <c r="E68" i="27"/>
  <c r="L68" i="27" s="1"/>
  <c r="E67" i="27"/>
  <c r="L67" i="27" s="1"/>
  <c r="G67" i="27"/>
  <c r="I67" i="27" s="1"/>
  <c r="J21" i="13"/>
  <c r="K21" i="13" s="1"/>
  <c r="C69" i="27"/>
  <c r="J22" i="13"/>
  <c r="K22" i="13" s="1"/>
  <c r="C70" i="27"/>
  <c r="J23" i="13"/>
  <c r="K23" i="13" s="1"/>
  <c r="C71" i="27"/>
  <c r="J19" i="15"/>
  <c r="K19" i="15" s="1"/>
  <c r="J18" i="15"/>
  <c r="K18" i="15" s="1"/>
  <c r="J19" i="11"/>
  <c r="K19" i="11" s="1"/>
  <c r="J21" i="12"/>
  <c r="K21" i="12" s="1"/>
  <c r="J18" i="13"/>
  <c r="K18" i="13" s="1"/>
  <c r="J20" i="11"/>
  <c r="K20" i="11" s="1"/>
  <c r="J18" i="14"/>
  <c r="K18" i="14" s="1"/>
  <c r="J18" i="11"/>
  <c r="K18" i="11" s="1"/>
  <c r="J21" i="11"/>
  <c r="K21" i="11" s="1"/>
  <c r="J18" i="12"/>
  <c r="K18" i="12" s="1"/>
  <c r="J19" i="12"/>
  <c r="K19" i="12" s="1"/>
  <c r="J20" i="12"/>
  <c r="K20" i="12" s="1"/>
  <c r="J20" i="10"/>
  <c r="K20" i="10" s="1"/>
  <c r="J19" i="13"/>
  <c r="K19" i="13" s="1"/>
  <c r="K20" i="13"/>
  <c r="J20" i="13"/>
  <c r="J19" i="14"/>
  <c r="K19" i="14" s="1"/>
  <c r="J18" i="10"/>
  <c r="K18" i="10" s="1"/>
  <c r="J21" i="10"/>
  <c r="K21" i="10" s="1"/>
  <c r="J19" i="10"/>
  <c r="K19" i="10" s="1"/>
  <c r="I5" i="50" l="1"/>
  <c r="K32" i="11"/>
  <c r="H39" i="27"/>
  <c r="I39" i="27" s="1"/>
  <c r="K32" i="13"/>
  <c r="H77" i="27"/>
  <c r="I77" i="27" s="1"/>
  <c r="I31" i="14"/>
  <c r="H86" i="27"/>
  <c r="I86" i="27" s="1"/>
  <c r="K12" i="15"/>
  <c r="K16" i="15" s="1"/>
  <c r="F12" i="50" s="1"/>
  <c r="H94" i="27"/>
  <c r="I94" i="27" s="1"/>
  <c r="I31" i="13"/>
  <c r="H74" i="27"/>
  <c r="I74" i="27" s="1"/>
  <c r="K12" i="12"/>
  <c r="K16" i="12" s="1"/>
  <c r="F9" i="50" s="1"/>
  <c r="K12" i="11"/>
  <c r="K16" i="11" s="1"/>
  <c r="F7" i="50" s="1"/>
  <c r="H37" i="27"/>
  <c r="I37" i="27" s="1"/>
  <c r="I31" i="10"/>
  <c r="H26" i="27"/>
  <c r="I26" i="27" s="1"/>
  <c r="I31" i="15"/>
  <c r="G93" i="27"/>
  <c r="I93" i="27" s="1"/>
  <c r="E93" i="27"/>
  <c r="L93" i="27" s="1"/>
  <c r="E85" i="27"/>
  <c r="L85" i="27" s="1"/>
  <c r="G85" i="27"/>
  <c r="I85" i="27" s="1"/>
  <c r="G84" i="27"/>
  <c r="I84" i="27" s="1"/>
  <c r="E84" i="27"/>
  <c r="L84" i="27" s="1"/>
  <c r="E72" i="27"/>
  <c r="L72" i="27" s="1"/>
  <c r="G72" i="27"/>
  <c r="I72" i="27" s="1"/>
  <c r="I31" i="12"/>
  <c r="K12" i="13"/>
  <c r="K16" i="13" s="1"/>
  <c r="F10" i="50" s="1"/>
  <c r="I31" i="11"/>
  <c r="K12" i="10"/>
  <c r="K16" i="10" s="1"/>
  <c r="F6" i="50" s="1"/>
  <c r="K12" i="14"/>
  <c r="K16" i="14" s="1"/>
  <c r="F11" i="50" s="1"/>
  <c r="E70" i="27"/>
  <c r="L70" i="27" s="1"/>
  <c r="G70" i="27"/>
  <c r="I70" i="27" s="1"/>
  <c r="E69" i="27"/>
  <c r="L69" i="27" s="1"/>
  <c r="G69" i="27"/>
  <c r="I69" i="27" s="1"/>
  <c r="G71" i="27"/>
  <c r="I71" i="27" s="1"/>
  <c r="E71" i="27"/>
  <c r="L71" i="27" s="1"/>
  <c r="K26" i="15"/>
  <c r="E12" i="50" s="1"/>
  <c r="K26" i="13"/>
  <c r="E10" i="50" s="1"/>
  <c r="K26" i="14"/>
  <c r="E11" i="50" s="1"/>
  <c r="K26" i="12"/>
  <c r="E9" i="50" s="1"/>
  <c r="K26" i="11"/>
  <c r="E7" i="50" s="1"/>
  <c r="K26" i="10"/>
  <c r="E6" i="50" s="1"/>
  <c r="G10" i="50" l="1"/>
  <c r="G12" i="50"/>
  <c r="G9" i="50"/>
  <c r="G11" i="50"/>
  <c r="G7" i="50"/>
  <c r="G6" i="50"/>
  <c r="K27" i="12"/>
  <c r="K28" i="12" s="1"/>
  <c r="K27" i="15"/>
  <c r="K28" i="15" s="1"/>
  <c r="K27" i="11"/>
  <c r="K28" i="11" s="1"/>
  <c r="K31" i="15"/>
  <c r="K39" i="15" s="1"/>
  <c r="H12" i="50" s="1"/>
  <c r="H95" i="27"/>
  <c r="I95" i="27" s="1"/>
  <c r="I90" i="27" s="1"/>
  <c r="K31" i="14"/>
  <c r="K39" i="14" s="1"/>
  <c r="H11" i="50" s="1"/>
  <c r="H87" i="27"/>
  <c r="I87" i="27" s="1"/>
  <c r="I81" i="27" s="1"/>
  <c r="K31" i="13"/>
  <c r="K39" i="13" s="1"/>
  <c r="H10" i="50" s="1"/>
  <c r="H76" i="27"/>
  <c r="I76" i="27" s="1"/>
  <c r="I65" i="27" s="1"/>
  <c r="K31" i="12"/>
  <c r="K39" i="12" s="1"/>
  <c r="H9" i="50" s="1"/>
  <c r="H62" i="27"/>
  <c r="I62" i="27" s="1"/>
  <c r="K31" i="11"/>
  <c r="K39" i="11" s="1"/>
  <c r="H7" i="50" s="1"/>
  <c r="H38" i="27"/>
  <c r="I38" i="27" s="1"/>
  <c r="I30" i="27" s="1"/>
  <c r="K31" i="10"/>
  <c r="K39" i="10" s="1"/>
  <c r="H6" i="50" s="1"/>
  <c r="H27" i="27"/>
  <c r="I27" i="27" s="1"/>
  <c r="I18" i="27" s="1"/>
  <c r="K27" i="13"/>
  <c r="K28" i="13" s="1"/>
  <c r="K27" i="10"/>
  <c r="K28" i="10" s="1"/>
  <c r="K27" i="14"/>
  <c r="K28" i="14" s="1"/>
  <c r="I9" i="50" l="1"/>
  <c r="I10" i="50"/>
  <c r="I7" i="50"/>
  <c r="I12" i="50"/>
  <c r="I11" i="50"/>
  <c r="I6" i="50"/>
  <c r="K49" i="12"/>
  <c r="K49" i="11"/>
  <c r="K49" i="14"/>
  <c r="K49" i="15"/>
  <c r="K49" i="13"/>
  <c r="K49" i="10"/>
  <c r="I55" i="27" l="1"/>
  <c r="I2" i="27" s="1"/>
  <c r="G63" i="27"/>
  <c r="G64" i="27"/>
  <c r="E21" i="26"/>
  <c r="F21" i="26" l="1"/>
  <c r="E14" i="50" l="1"/>
  <c r="E15" i="50" s="1"/>
  <c r="F14" i="50"/>
  <c r="F15" i="50" s="1"/>
  <c r="H14" i="50" l="1"/>
  <c r="H15" i="50" s="1"/>
  <c r="G14" i="50"/>
  <c r="G15" i="50" s="1"/>
  <c r="I14" i="50" l="1"/>
  <c r="I15" i="50" s="1"/>
  <c r="J5" i="50"/>
  <c r="J6" i="50"/>
  <c r="J7" i="50"/>
  <c r="J8" i="50"/>
  <c r="J9" i="50"/>
  <c r="J10" i="50"/>
  <c r="J11" i="50"/>
  <c r="J12" i="50"/>
  <c r="J13" i="50"/>
  <c r="J14" i="50"/>
  <c r="K14" i="50"/>
  <c r="L14" i="50"/>
  <c r="M14" i="50" s="1"/>
  <c r="N14" i="50" s="1"/>
  <c r="J15" i="50" l="1"/>
  <c r="J50" i="42"/>
  <c r="K50" i="42"/>
  <c r="K51" i="42"/>
  <c r="J50" i="10"/>
  <c r="K50" i="10"/>
  <c r="K51" i="10"/>
  <c r="J50" i="11"/>
  <c r="K50" i="11"/>
  <c r="K51" i="11"/>
  <c r="J50" i="31"/>
  <c r="K50" i="31"/>
  <c r="K51" i="31"/>
  <c r="J50" i="12"/>
  <c r="K50" i="12"/>
  <c r="K51" i="12"/>
  <c r="J50" i="13"/>
  <c r="K50" i="13"/>
  <c r="K51" i="13"/>
  <c r="J50" i="14"/>
  <c r="K50" i="14"/>
  <c r="K51" i="14"/>
  <c r="J50" i="15"/>
  <c r="K50" i="15"/>
  <c r="K51" i="15"/>
  <c r="J50" i="49"/>
  <c r="K50" i="49"/>
  <c r="K51" i="49"/>
  <c r="D5" i="28"/>
  <c r="D6" i="28"/>
  <c r="E6" i="28"/>
  <c r="E7" i="28"/>
  <c r="E8" i="28"/>
  <c r="D10" i="28"/>
  <c r="E10" i="28"/>
  <c r="D12" i="28"/>
  <c r="D14" i="28"/>
  <c r="E16" i="28"/>
  <c r="E17" i="28"/>
  <c r="E18" i="28"/>
  <c r="E21" i="28"/>
  <c r="D22" i="28"/>
  <c r="D23" i="28"/>
  <c r="E23" i="28"/>
  <c r="C10" i="19"/>
  <c r="O73" i="40"/>
  <c r="P73" i="40"/>
  <c r="P74" i="40"/>
  <c r="M12" i="47"/>
  <c r="N12" i="47"/>
  <c r="N13" i="47"/>
  <c r="E6" i="26"/>
  <c r="F6" i="26"/>
  <c r="G6" i="26"/>
  <c r="E7" i="26"/>
  <c r="F7" i="26"/>
  <c r="G7" i="26"/>
  <c r="G8" i="26"/>
  <c r="E9" i="26"/>
  <c r="F9" i="26"/>
  <c r="G9" i="26"/>
  <c r="G10" i="26"/>
  <c r="E11" i="26"/>
  <c r="F11" i="26"/>
  <c r="G11" i="26"/>
  <c r="G12" i="26"/>
  <c r="E13" i="26"/>
  <c r="F13" i="26"/>
  <c r="G13" i="26"/>
  <c r="G14" i="26"/>
  <c r="E15" i="26"/>
  <c r="F15" i="26"/>
  <c r="G15" i="26"/>
  <c r="G16" i="26"/>
  <c r="E17" i="26"/>
  <c r="F17" i="26"/>
  <c r="G17" i="26"/>
  <c r="E18" i="26"/>
  <c r="F18" i="26"/>
  <c r="G18" i="26"/>
  <c r="G19" i="26"/>
  <c r="G20" i="26"/>
  <c r="G22" i="26"/>
  <c r="M22" i="26"/>
  <c r="N22" i="26"/>
  <c r="O22" i="26"/>
  <c r="P22" i="26"/>
  <c r="Q22" i="26"/>
  <c r="R22" i="26"/>
  <c r="S22" i="26"/>
  <c r="T22" i="26"/>
  <c r="U22" i="26"/>
  <c r="V22" i="26"/>
  <c r="W22" i="26"/>
  <c r="X22" i="26"/>
  <c r="Y22" i="26"/>
  <c r="Z22" i="26"/>
  <c r="AA22" i="26"/>
  <c r="AB22" i="26"/>
  <c r="AC22" i="26"/>
  <c r="AD22" i="26"/>
  <c r="AE22" i="26"/>
  <c r="AF22" i="26"/>
  <c r="AG22" i="26"/>
  <c r="AH22" i="26"/>
  <c r="AI22" i="26"/>
  <c r="AJ22" i="26"/>
  <c r="AK22" i="26"/>
  <c r="AL22" i="26"/>
  <c r="AM22" i="26"/>
  <c r="AN22" i="26"/>
  <c r="AO22" i="26"/>
  <c r="AP22" i="26"/>
  <c r="AQ22" i="26"/>
  <c r="M23" i="26"/>
  <c r="N23" i="26"/>
  <c r="O23" i="26"/>
  <c r="P23" i="26"/>
  <c r="Q23" i="26"/>
  <c r="R23" i="26"/>
  <c r="S23" i="26"/>
  <c r="T23" i="26"/>
  <c r="U23" i="26"/>
  <c r="V23" i="26"/>
  <c r="W23" i="26"/>
  <c r="X23" i="26"/>
  <c r="Y23" i="26"/>
  <c r="Z23" i="26"/>
  <c r="AA23" i="26"/>
  <c r="AB23" i="26"/>
  <c r="AC23" i="26"/>
  <c r="AD23" i="26"/>
  <c r="AE23" i="26"/>
  <c r="AF23" i="26"/>
  <c r="AG23" i="26"/>
  <c r="AH23" i="26"/>
  <c r="AI23" i="26"/>
  <c r="AJ23" i="26"/>
  <c r="AK23" i="26"/>
  <c r="AL23" i="26"/>
  <c r="AM23" i="26"/>
  <c r="AN23" i="26"/>
  <c r="AO23" i="26"/>
  <c r="AP23" i="26"/>
  <c r="AQ23" i="26"/>
  <c r="M24" i="26"/>
  <c r="N24" i="26"/>
  <c r="O24" i="26"/>
  <c r="P24" i="26"/>
  <c r="Q24" i="26"/>
  <c r="R24" i="26"/>
  <c r="S24" i="26"/>
  <c r="T24" i="26"/>
  <c r="U24" i="26"/>
  <c r="V24" i="26"/>
  <c r="W24" i="26"/>
  <c r="X24" i="26"/>
  <c r="Y24" i="26"/>
  <c r="Z24" i="26"/>
  <c r="AA24" i="26"/>
  <c r="AB24" i="26"/>
  <c r="AC24" i="26"/>
  <c r="AD24" i="26"/>
  <c r="AE24" i="26"/>
  <c r="AF24" i="26"/>
  <c r="AG24" i="26"/>
  <c r="AH24" i="26"/>
  <c r="AI24" i="26"/>
  <c r="AJ24" i="26"/>
  <c r="AK24" i="26"/>
  <c r="AL24" i="26"/>
  <c r="AM24" i="26"/>
  <c r="AN24" i="26"/>
  <c r="AO24" i="26"/>
  <c r="AP24" i="26"/>
  <c r="AQ24" i="26"/>
  <c r="M25" i="26"/>
  <c r="N25" i="26"/>
  <c r="O25" i="26"/>
  <c r="P25" i="26"/>
  <c r="Q25" i="26"/>
  <c r="R25" i="26"/>
  <c r="S25" i="26"/>
  <c r="T25" i="26"/>
  <c r="U25" i="26"/>
  <c r="V25" i="26"/>
  <c r="W25" i="26"/>
  <c r="X25" i="26"/>
  <c r="Y25" i="26"/>
  <c r="Z25" i="26"/>
  <c r="AA25" i="26"/>
  <c r="AB25" i="26"/>
  <c r="AC25" i="26"/>
  <c r="AD25" i="26"/>
  <c r="AE25" i="26"/>
  <c r="AF25" i="26"/>
  <c r="AG25" i="26"/>
  <c r="AH25" i="26"/>
  <c r="AI25" i="26"/>
  <c r="AJ25" i="26"/>
  <c r="AK25" i="26"/>
  <c r="AL25" i="26"/>
  <c r="AM25" i="26"/>
  <c r="AN25" i="26"/>
  <c r="AO25" i="26"/>
  <c r="AP25" i="26"/>
  <c r="AQ25" i="26"/>
  <c r="J2" i="27"/>
  <c r="J5" i="27"/>
  <c r="J6" i="27"/>
  <c r="J7" i="27"/>
  <c r="J8" i="27"/>
  <c r="J9" i="27"/>
  <c r="J10" i="27"/>
  <c r="J11" i="27"/>
  <c r="J12" i="27"/>
  <c r="J13" i="27"/>
  <c r="J14" i="27"/>
  <c r="J15" i="27"/>
  <c r="J16" i="27"/>
  <c r="J17" i="27"/>
  <c r="J18" i="27"/>
  <c r="J19" i="27"/>
  <c r="J20" i="27"/>
  <c r="J21" i="27"/>
  <c r="J22" i="27"/>
  <c r="J23" i="27"/>
  <c r="J24" i="27"/>
  <c r="J25" i="27"/>
  <c r="J26" i="27"/>
  <c r="J27" i="27"/>
  <c r="J28" i="27"/>
  <c r="J29" i="27"/>
  <c r="J30" i="27"/>
  <c r="J32" i="27"/>
  <c r="J33" i="27"/>
  <c r="J34" i="27"/>
  <c r="J35" i="27"/>
  <c r="J36" i="27"/>
  <c r="J37" i="27"/>
  <c r="J38" i="27"/>
  <c r="J39" i="27"/>
  <c r="J40" i="27"/>
  <c r="J41" i="27"/>
  <c r="J43" i="27"/>
  <c r="J44" i="27"/>
  <c r="J45" i="27"/>
  <c r="J46" i="27"/>
  <c r="J47" i="27"/>
  <c r="J48" i="27"/>
  <c r="J49" i="27"/>
  <c r="J50"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E9" i="24" a="1"/>
  <c r="E9" i="24"/>
  <c r="F9" i="24" a="1"/>
  <c r="F9" i="24"/>
  <c r="G9" i="24" a="1"/>
  <c r="G9" i="24"/>
  <c r="H9" i="24" a="1"/>
  <c r="H9" i="24"/>
  <c r="I9" i="24" a="1"/>
  <c r="I9" i="24"/>
  <c r="J9" i="24" a="1"/>
  <c r="J9" i="24"/>
  <c r="K9" i="24" a="1"/>
  <c r="K9" i="24"/>
  <c r="L9" i="24"/>
  <c r="E10" i="24" a="1"/>
  <c r="E10" i="24"/>
  <c r="F10" i="24" a="1"/>
  <c r="F10" i="24"/>
  <c r="G10" i="24" a="1"/>
  <c r="G10" i="24"/>
  <c r="H10" i="24" a="1"/>
  <c r="H10" i="24"/>
  <c r="I10" i="24" a="1"/>
  <c r="I10" i="24"/>
  <c r="J10" i="24" a="1"/>
  <c r="J10" i="24"/>
  <c r="K10" i="24" a="1"/>
  <c r="K10" i="24"/>
  <c r="L10" i="24"/>
  <c r="E11" i="24" a="1"/>
  <c r="E11" i="24"/>
  <c r="F11" i="24" a="1"/>
  <c r="F11" i="24"/>
  <c r="G11" i="24" a="1"/>
  <c r="G11" i="24"/>
  <c r="H11" i="24" a="1"/>
  <c r="H11" i="24"/>
  <c r="I11" i="24" a="1"/>
  <c r="I11" i="24"/>
  <c r="J11" i="24" a="1"/>
  <c r="J11" i="24"/>
  <c r="K11" i="24" a="1"/>
  <c r="K11" i="24"/>
  <c r="L11" i="24"/>
  <c r="E12" i="24" a="1"/>
  <c r="E12" i="24"/>
  <c r="F12" i="24" a="1"/>
  <c r="F12" i="24"/>
  <c r="G12" i="24" a="1"/>
  <c r="G12" i="24"/>
  <c r="H12" i="24" a="1"/>
  <c r="H12" i="24"/>
  <c r="I12" i="24" a="1"/>
  <c r="I12" i="24"/>
  <c r="J12" i="24" a="1"/>
  <c r="J12" i="24"/>
  <c r="K12" i="24" a="1"/>
  <c r="K12" i="24"/>
  <c r="L12" i="24"/>
  <c r="E13" i="24" a="1"/>
  <c r="E13" i="24"/>
  <c r="F13" i="24" a="1"/>
  <c r="F13" i="24"/>
  <c r="G13" i="24" a="1"/>
  <c r="G13" i="24"/>
  <c r="H13" i="24" a="1"/>
  <c r="H13" i="24"/>
  <c r="I13" i="24" a="1"/>
  <c r="I13" i="24"/>
  <c r="J13" i="24" a="1"/>
  <c r="J13" i="24"/>
  <c r="K13" i="24" a="1"/>
  <c r="K13" i="24"/>
  <c r="L13" i="24"/>
  <c r="E14" i="24" a="1"/>
  <c r="E14" i="24"/>
  <c r="F14" i="24" a="1"/>
  <c r="F14" i="24"/>
  <c r="G14" i="24" a="1"/>
  <c r="G14" i="24"/>
  <c r="H14" i="24" a="1"/>
  <c r="H14" i="24"/>
  <c r="I14" i="24" a="1"/>
  <c r="I14" i="24"/>
  <c r="J14" i="24" a="1"/>
  <c r="J14" i="24"/>
  <c r="K14" i="24" a="1"/>
  <c r="K14" i="24"/>
  <c r="L14" i="24"/>
  <c r="E15" i="24" a="1"/>
  <c r="E15" i="24"/>
  <c r="F15" i="24" a="1"/>
  <c r="F15" i="24"/>
  <c r="G15" i="24" a="1"/>
  <c r="G15" i="24"/>
  <c r="H15" i="24" a="1"/>
  <c r="H15" i="24"/>
  <c r="I15" i="24" a="1"/>
  <c r="I15" i="24"/>
  <c r="J15" i="24" a="1"/>
  <c r="J15" i="24"/>
  <c r="K15" i="24" a="1"/>
  <c r="K15" i="24"/>
  <c r="L15" i="24"/>
  <c r="E16" i="24" a="1"/>
  <c r="E16" i="24"/>
  <c r="F16" i="24" a="1"/>
  <c r="F16" i="24"/>
  <c r="G16" i="24" a="1"/>
  <c r="G16" i="24"/>
  <c r="H16" i="24" a="1"/>
  <c r="H16" i="24"/>
  <c r="I16" i="24" a="1"/>
  <c r="I16" i="24"/>
  <c r="J16" i="24" a="1"/>
  <c r="J16" i="24"/>
  <c r="K16" i="24" a="1"/>
  <c r="K16" i="24"/>
  <c r="L16" i="24"/>
  <c r="E17" i="24" a="1"/>
  <c r="E17" i="24"/>
  <c r="F17" i="24" a="1"/>
  <c r="F17" i="24"/>
  <c r="G17" i="24" a="1"/>
  <c r="G17" i="24"/>
  <c r="H17" i="24" a="1"/>
  <c r="H17" i="24"/>
  <c r="I17" i="24" a="1"/>
  <c r="I17" i="24"/>
  <c r="J17" i="24" a="1"/>
  <c r="J17" i="24"/>
  <c r="K17" i="24" a="1"/>
  <c r="K17" i="24"/>
  <c r="L17" i="24"/>
  <c r="E18" i="24"/>
  <c r="F18" i="24"/>
  <c r="G18" i="24"/>
  <c r="H18" i="24"/>
  <c r="I18" i="24"/>
  <c r="J18" i="24"/>
  <c r="K18" i="24"/>
  <c r="L18" i="24"/>
  <c r="K5" i="50"/>
  <c r="L5" i="50"/>
  <c r="M5" i="50"/>
  <c r="N5" i="50"/>
  <c r="K6" i="50"/>
  <c r="L6" i="50"/>
  <c r="M6" i="50"/>
  <c r="K7" i="50"/>
  <c r="L7" i="50"/>
  <c r="M7" i="50"/>
  <c r="K8" i="50"/>
  <c r="K9" i="50"/>
  <c r="L9" i="50"/>
  <c r="M9" i="50"/>
  <c r="K10" i="50"/>
  <c r="L10" i="50"/>
  <c r="M10" i="50"/>
  <c r="K11" i="50"/>
  <c r="L11" i="50"/>
  <c r="M11" i="50"/>
  <c r="K12" i="50"/>
  <c r="L12" i="50"/>
  <c r="M12" i="50"/>
  <c r="K13" i="50"/>
  <c r="L13" i="50"/>
  <c r="M13" i="50"/>
  <c r="K15" i="50"/>
  <c r="L15" i="50"/>
  <c r="M15" i="50"/>
  <c r="N15"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Márcia Cristina de O Lucio Pires R Dalvi</author>
  </authors>
  <commentList>
    <comment ref="D1" authorId="0" shapeId="0" xr:uid="{6C78BFDF-67D3-4596-B6E0-F98D79A98312}">
      <text>
        <r>
          <rPr>
            <b/>
            <sz val="9"/>
            <color indexed="81"/>
            <rFont val="Segoe UI"/>
            <family val="2"/>
          </rPr>
          <t>Importante:</t>
        </r>
        <r>
          <rPr>
            <sz val="9"/>
            <color indexed="81"/>
            <rFont val="Segoe UI"/>
            <family val="2"/>
          </rPr>
          <t xml:space="preserve">
Preencher com</t>
        </r>
        <r>
          <rPr>
            <b/>
            <sz val="9"/>
            <color indexed="81"/>
            <rFont val="Segoe UI"/>
            <family val="2"/>
          </rPr>
          <t xml:space="preserve"> "x" </t>
        </r>
        <r>
          <rPr>
            <sz val="9"/>
            <color indexed="81"/>
            <rFont val="Segoe UI"/>
            <family val="2"/>
          </rPr>
          <t>nos meses em que deseja que a tarefa seja executada.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<sst xmlns="http://schemas.openxmlformats.org/spreadsheetml/2006/main" count="2698" uniqueCount="801">
  <si>
    <t>Duração
(meses)</t>
  </si>
  <si>
    <t>Advogado júnior</t>
  </si>
  <si>
    <t>Advogado pleno</t>
  </si>
  <si>
    <t>Advogado sênior</t>
  </si>
  <si>
    <t>Analista de desenvolvimento de sistemas júnior</t>
  </si>
  <si>
    <t>Analista de desenvolvimento de sistemas pleno</t>
  </si>
  <si>
    <t>Analista de desenvolvimento de sistemas sênior</t>
  </si>
  <si>
    <t>Arquiteto júnior</t>
  </si>
  <si>
    <t>Arquiteto pleno</t>
  </si>
  <si>
    <t>Arquiteto sênior</t>
  </si>
  <si>
    <t>Assistente social júnior</t>
  </si>
  <si>
    <t>Assistente social pleno</t>
  </si>
  <si>
    <t>Assistente social sênior</t>
  </si>
  <si>
    <t>Auxiliar</t>
  </si>
  <si>
    <t>Auxiliar administrativo</t>
  </si>
  <si>
    <t>Auxiliar de laboratório</t>
  </si>
  <si>
    <t>Auxiliar de topografia</t>
  </si>
  <si>
    <t>Biólogo júnior</t>
  </si>
  <si>
    <t>Biólogo pleno</t>
  </si>
  <si>
    <t>Biólogo sênior</t>
  </si>
  <si>
    <t>Chefe de escritório</t>
  </si>
  <si>
    <t>Contador júnior</t>
  </si>
  <si>
    <t>Contador pleno</t>
  </si>
  <si>
    <t>Contador sênior</t>
  </si>
  <si>
    <t xml:space="preserve">Coordenador ambiental </t>
  </si>
  <si>
    <t>Economista júnior</t>
  </si>
  <si>
    <t>Economista pleno</t>
  </si>
  <si>
    <t>Economista sênior</t>
  </si>
  <si>
    <t>Engenheiro agrônomo júnior</t>
  </si>
  <si>
    <t>Engenheiro agrônomo pleno</t>
  </si>
  <si>
    <t>Engenheiro agrônomo sênior</t>
  </si>
  <si>
    <t>Engenheiro ambiental júnior</t>
  </si>
  <si>
    <t>Engenheiro ambiental pleno</t>
  </si>
  <si>
    <t>Engenheiro ambiental sênior</t>
  </si>
  <si>
    <t>Engenheiro consultor especial</t>
  </si>
  <si>
    <t>Engenheiro coordenador</t>
  </si>
  <si>
    <t>Engenheiro de pesca júnior</t>
  </si>
  <si>
    <t>Engenheiro de pesca pleno</t>
  </si>
  <si>
    <t>Engenheiro de pesca sênior</t>
  </si>
  <si>
    <t>Engenheiro de projetos júnior</t>
  </si>
  <si>
    <t>Engenheiro de projetos pleno</t>
  </si>
  <si>
    <t>Engenheiro de projetos sênior</t>
  </si>
  <si>
    <t>Engenheiro florestal júnior</t>
  </si>
  <si>
    <t>Engenheiro florestal pleno</t>
  </si>
  <si>
    <t>Engenheiro florestal sênior</t>
  </si>
  <si>
    <t>Geólogo júnior</t>
  </si>
  <si>
    <t>Geólogo pleno</t>
  </si>
  <si>
    <t>Geólogo sênior</t>
  </si>
  <si>
    <t>Jornalista júnior</t>
  </si>
  <si>
    <t>Jornalista pleno</t>
  </si>
  <si>
    <t>Jornalista sênior</t>
  </si>
  <si>
    <t>Laboratorista</t>
  </si>
  <si>
    <t>Médico veterinário</t>
  </si>
  <si>
    <t>Meteorologista júnior</t>
  </si>
  <si>
    <t>Meteorologista pleno</t>
  </si>
  <si>
    <t>Meteorologista sênior</t>
  </si>
  <si>
    <t>Motorista de caminhão</t>
  </si>
  <si>
    <t>Motorista de veículo leve</t>
  </si>
  <si>
    <t>Oceanógrafo júnior</t>
  </si>
  <si>
    <t>Oceanógrafo pleno</t>
  </si>
  <si>
    <t>Oceanógrafo sênior</t>
  </si>
  <si>
    <t>Pedagogo júnior</t>
  </si>
  <si>
    <t>Pedagogo pleno</t>
  </si>
  <si>
    <t>Pedagogo sênior</t>
  </si>
  <si>
    <t>Secretária</t>
  </si>
  <si>
    <t>Sondador</t>
  </si>
  <si>
    <t>Técnico ambiental</t>
  </si>
  <si>
    <t>Técnico de obras</t>
  </si>
  <si>
    <t>Técnico de segurança do trabalho</t>
  </si>
  <si>
    <t>Técnico em geoprocessamento</t>
  </si>
  <si>
    <t>Técnico em informática - programador</t>
  </si>
  <si>
    <t>Topógrafo</t>
  </si>
  <si>
    <t>Arquivista júnior</t>
  </si>
  <si>
    <t>Arquivista pleno</t>
  </si>
  <si>
    <t>Arquivista sênior</t>
  </si>
  <si>
    <t>Administrador júnior</t>
  </si>
  <si>
    <t>Administrador pleno</t>
  </si>
  <si>
    <t>Administrador sênior</t>
  </si>
  <si>
    <t>Engenheiro agrimensor júnior</t>
  </si>
  <si>
    <t>Engenheiro agrimensor pleno</t>
  </si>
  <si>
    <t>Engenheiro agrimensor sênior</t>
  </si>
  <si>
    <t>Geógrafo júnior</t>
  </si>
  <si>
    <t>Geógrafo pleno</t>
  </si>
  <si>
    <t>Geógrafo sênior</t>
  </si>
  <si>
    <t>Antropólogo júnior</t>
  </si>
  <si>
    <t>Antropólogo pleno</t>
  </si>
  <si>
    <t>Antropólogo sênior</t>
  </si>
  <si>
    <t>Arqueólogo júnior</t>
  </si>
  <si>
    <t>Arqueólogo pleno</t>
  </si>
  <si>
    <t>Arqueólogo sênior</t>
  </si>
  <si>
    <t>Historiador júnior</t>
  </si>
  <si>
    <t>Historiador pleno</t>
  </si>
  <si>
    <t>Historiador sênior</t>
  </si>
  <si>
    <t>Paleontólogo júnior</t>
  </si>
  <si>
    <t>Paleontólogo pleno</t>
  </si>
  <si>
    <t>Paleontólogo sênior</t>
  </si>
  <si>
    <t>Sociólogo júnior</t>
  </si>
  <si>
    <t>Sociólogo pleno</t>
  </si>
  <si>
    <t>Sociólogo sênior</t>
  </si>
  <si>
    <t>DATA BASE</t>
  </si>
  <si>
    <t>REGIÃO</t>
  </si>
  <si>
    <t>nacional</t>
  </si>
  <si>
    <t>COMPOSIÇÃO REFERENCIAL</t>
  </si>
  <si>
    <t>DESCRIÇÃO DO SERVIÇO</t>
  </si>
  <si>
    <t>DURAÇÃO (MÊS)</t>
  </si>
  <si>
    <t>UNIDADE</t>
  </si>
  <si>
    <t>Unid</t>
  </si>
  <si>
    <t>CPU</t>
  </si>
  <si>
    <t>EQUIPAMENTO (A)</t>
  </si>
  <si>
    <t>QUANT.</t>
  </si>
  <si>
    <t>UTILIZAÇÃO</t>
  </si>
  <si>
    <t>CUSTO OPERACIONAL</t>
  </si>
  <si>
    <t xml:space="preserve">CUSTO </t>
  </si>
  <si>
    <t>PROD.</t>
  </si>
  <si>
    <t>IMPROD.</t>
  </si>
  <si>
    <t>HORÁRIO</t>
  </si>
  <si>
    <t>(A) = TOTAL</t>
  </si>
  <si>
    <t>MÃO DE OBRA (B)</t>
  </si>
  <si>
    <t>Participação</t>
  </si>
  <si>
    <t>Quantidade homem</t>
  </si>
  <si>
    <t>Qtdade homemxmês</t>
  </si>
  <si>
    <t>QUANT.(h)</t>
  </si>
  <si>
    <t>CUSTO HORÁRIO</t>
  </si>
  <si>
    <t>CUSTO H. TOTAL</t>
  </si>
  <si>
    <t>(B) = TOTAL</t>
  </si>
  <si>
    <t xml:space="preserve">(C) PRODUÇÃO DA EQUIPE = </t>
  </si>
  <si>
    <t>CUSTO HORÁRIO TOTAL = (A) + (B)</t>
  </si>
  <si>
    <t xml:space="preserve">(D) CUSTO UNITÁRIO DE PRODUÇÃO = (A +B )  /  (C) </t>
  </si>
  <si>
    <t>MATERIAL (E)</t>
  </si>
  <si>
    <t>CONSUMO</t>
  </si>
  <si>
    <t>PREÇO UNITÁRIO</t>
  </si>
  <si>
    <t>CUSTO UNITÁRIO</t>
  </si>
  <si>
    <t>(E) = TOTAL</t>
  </si>
  <si>
    <t>TEMPO FIXO (F)</t>
  </si>
  <si>
    <t xml:space="preserve">PREÇO </t>
  </si>
  <si>
    <t>UNITÁRIO</t>
  </si>
  <si>
    <t>(F) = TOTAL</t>
  </si>
  <si>
    <t>MOMENTO DE TRANSPORTE (G)</t>
  </si>
  <si>
    <t>D.M.T.</t>
  </si>
  <si>
    <t>LN</t>
  </si>
  <si>
    <t>RP</t>
  </si>
  <si>
    <t>P</t>
  </si>
  <si>
    <t>(G) = TOTAL</t>
  </si>
  <si>
    <t>CUSTO DIRETO TOTAL = (D) + (E) + (F) + (G)</t>
  </si>
  <si>
    <t>B.D.I.</t>
  </si>
  <si>
    <t>PREÇO UNITÁRIO REFERENCIAL</t>
  </si>
  <si>
    <t>Código</t>
  </si>
  <si>
    <t>Categoria</t>
  </si>
  <si>
    <t>Unid.</t>
  </si>
  <si>
    <t>Salário</t>
  </si>
  <si>
    <t>Encargos Sociais</t>
  </si>
  <si>
    <t>Encargos Complementares</t>
  </si>
  <si>
    <t>Encargos Adicionais</t>
  </si>
  <si>
    <t>Encargos Totais</t>
  </si>
  <si>
    <t>Valor Total</t>
  </si>
  <si>
    <t>Alimentação</t>
  </si>
  <si>
    <t>EPI</t>
  </si>
  <si>
    <t>Ferramenta</t>
  </si>
  <si>
    <t>Transporte</t>
  </si>
  <si>
    <t>Exame Ocupacional</t>
  </si>
  <si>
    <t>Cesta Básica</t>
  </si>
  <si>
    <t>Assistência Médica</t>
  </si>
  <si>
    <t>Seguro de Vida</t>
  </si>
  <si>
    <t>R$</t>
  </si>
  <si>
    <t>%</t>
  </si>
  <si>
    <t>P8001</t>
  </si>
  <si>
    <t>mês</t>
  </si>
  <si>
    <t>P8002</t>
  </si>
  <si>
    <t>P8003</t>
  </si>
  <si>
    <t>P8007</t>
  </si>
  <si>
    <t>P8008</t>
  </si>
  <si>
    <t>P8009</t>
  </si>
  <si>
    <t>P8013</t>
  </si>
  <si>
    <t>P8014</t>
  </si>
  <si>
    <t>P8015</t>
  </si>
  <si>
    <t>P8019</t>
  </si>
  <si>
    <t>P8020</t>
  </si>
  <si>
    <t>P8021</t>
  </si>
  <si>
    <t>P8025</t>
  </si>
  <si>
    <t>P8026</t>
  </si>
  <si>
    <t>P8027</t>
  </si>
  <si>
    <t>P8028</t>
  </si>
  <si>
    <t>P8032</t>
  </si>
  <si>
    <t>P8033</t>
  </si>
  <si>
    <t>P8034</t>
  </si>
  <si>
    <t>P8038</t>
  </si>
  <si>
    <t>P8040</t>
  </si>
  <si>
    <t>P8041</t>
  </si>
  <si>
    <t>P8042</t>
  </si>
  <si>
    <t>P8044</t>
  </si>
  <si>
    <t>P8045</t>
  </si>
  <si>
    <t>P8046</t>
  </si>
  <si>
    <t>P8047</t>
  </si>
  <si>
    <t>P8054</t>
  </si>
  <si>
    <t>P8055</t>
  </si>
  <si>
    <t>P8056</t>
  </si>
  <si>
    <t>P8057</t>
  </si>
  <si>
    <t>P8058</t>
  </si>
  <si>
    <t>P8059</t>
  </si>
  <si>
    <t>P8060</t>
  </si>
  <si>
    <t>P8061</t>
  </si>
  <si>
    <t>P8062</t>
  </si>
  <si>
    <t>P8063</t>
  </si>
  <si>
    <t>P8064</t>
  </si>
  <si>
    <t>P8065</t>
  </si>
  <si>
    <t>P8066</t>
  </si>
  <si>
    <t>P8067</t>
  </si>
  <si>
    <t>P8068</t>
  </si>
  <si>
    <t>P8069</t>
  </si>
  <si>
    <t>P8070</t>
  </si>
  <si>
    <t>P8080</t>
  </si>
  <si>
    <t>P8081</t>
  </si>
  <si>
    <t>P8082</t>
  </si>
  <si>
    <t>P8092</t>
  </si>
  <si>
    <t>P8093</t>
  </si>
  <si>
    <t>P8094</t>
  </si>
  <si>
    <t>P8098</t>
  </si>
  <si>
    <t>P8102</t>
  </si>
  <si>
    <t>P8106</t>
  </si>
  <si>
    <t>P8107</t>
  </si>
  <si>
    <t>P8108</t>
  </si>
  <si>
    <t>P8112</t>
  </si>
  <si>
    <t>P8113</t>
  </si>
  <si>
    <t>P8117</t>
  </si>
  <si>
    <t>P8118</t>
  </si>
  <si>
    <t>P8119</t>
  </si>
  <si>
    <t>P8129</t>
  </si>
  <si>
    <t>P8130</t>
  </si>
  <si>
    <t>P8131</t>
  </si>
  <si>
    <t>P8135</t>
  </si>
  <si>
    <t>P8139</t>
  </si>
  <si>
    <t>P8143</t>
  </si>
  <si>
    <t>P8147</t>
  </si>
  <si>
    <t>P8151</t>
  </si>
  <si>
    <t>P8155</t>
  </si>
  <si>
    <t>P8159</t>
  </si>
  <si>
    <t>P8163</t>
  </si>
  <si>
    <t>P8167</t>
  </si>
  <si>
    <t>P8168</t>
  </si>
  <si>
    <t>P8169</t>
  </si>
  <si>
    <t>P8173</t>
  </si>
  <si>
    <t>P8174</t>
  </si>
  <si>
    <t>P8175</t>
  </si>
  <si>
    <t>P8180</t>
  </si>
  <si>
    <t>P8181</t>
  </si>
  <si>
    <t>P8182</t>
  </si>
  <si>
    <t>P8183</t>
  </si>
  <si>
    <t>P8184</t>
  </si>
  <si>
    <t>P8185</t>
  </si>
  <si>
    <t>P8186</t>
  </si>
  <si>
    <t>P8187</t>
  </si>
  <si>
    <t>P8188</t>
  </si>
  <si>
    <t>P8189</t>
  </si>
  <si>
    <t>P8190</t>
  </si>
  <si>
    <t>P8191</t>
  </si>
  <si>
    <t>P8192</t>
  </si>
  <si>
    <t>P8193</t>
  </si>
  <si>
    <t>P8194</t>
  </si>
  <si>
    <t>P8195</t>
  </si>
  <si>
    <t>P8196</t>
  </si>
  <si>
    <t>P8197</t>
  </si>
  <si>
    <t>P8198</t>
  </si>
  <si>
    <t>P8199</t>
  </si>
  <si>
    <t>P8200</t>
  </si>
  <si>
    <t>Fonte: FGV IBRE</t>
  </si>
  <si>
    <t>-</t>
  </si>
  <si>
    <t>Veículos</t>
  </si>
  <si>
    <t>Código Engenharia Consultiva</t>
  </si>
  <si>
    <t>Tipo</t>
  </si>
  <si>
    <t>Improdutivo</t>
  </si>
  <si>
    <t>E8889</t>
  </si>
  <si>
    <r>
      <t xml:space="preserve">Veículo leve - tipo </t>
    </r>
    <r>
      <rPr>
        <i/>
        <sz val="10"/>
        <color theme="1"/>
        <rFont val="Calibri"/>
        <family val="2"/>
        <scheme val="minor"/>
      </rPr>
      <t xml:space="preserve">hatch </t>
    </r>
    <r>
      <rPr>
        <sz val="10"/>
        <color theme="1"/>
        <rFont val="Calibri"/>
        <family val="2"/>
        <scheme val="minor"/>
      </rPr>
      <t>- (sem motorista)</t>
    </r>
  </si>
  <si>
    <t>hora</t>
  </si>
  <si>
    <t>E8891</t>
  </si>
  <si>
    <r>
      <t xml:space="preserve">Veículo leve - tipo </t>
    </r>
    <r>
      <rPr>
        <i/>
        <sz val="10"/>
        <color theme="1"/>
        <rFont val="Calibri"/>
        <family val="2"/>
        <scheme val="minor"/>
      </rPr>
      <t xml:space="preserve">pick up </t>
    </r>
    <r>
      <rPr>
        <sz val="10"/>
        <color theme="1"/>
        <rFont val="Calibri"/>
        <family val="2"/>
        <scheme val="minor"/>
      </rPr>
      <t>4 x 4 - (sem motorista)</t>
    </r>
  </si>
  <si>
    <t>E8887</t>
  </si>
  <si>
    <t>Veículo van - tipo furgão - (com motorista)</t>
  </si>
  <si>
    <t>Imóveis</t>
  </si>
  <si>
    <t>B8951</t>
  </si>
  <si>
    <t>B8952</t>
  </si>
  <si>
    <t>Mobiliário</t>
  </si>
  <si>
    <t>B8953</t>
  </si>
  <si>
    <t>Escritório</t>
  </si>
  <si>
    <t>B8954</t>
  </si>
  <si>
    <t>Residência</t>
  </si>
  <si>
    <t>B8955</t>
  </si>
  <si>
    <t>Laboratório de asfalto</t>
  </si>
  <si>
    <t>B8956</t>
  </si>
  <si>
    <t>Laboratório de concreto</t>
  </si>
  <si>
    <t>B8957</t>
  </si>
  <si>
    <t>Laboratório de solos</t>
  </si>
  <si>
    <t>B8958</t>
  </si>
  <si>
    <t>Topografia</t>
  </si>
  <si>
    <t>B8959</t>
  </si>
  <si>
    <t>B8960</t>
  </si>
  <si>
    <t>EQ0768</t>
  </si>
  <si>
    <t>Desktop com monitor de 21", processador, placa de vídeo e memória compatíveis à CAD/SIG</t>
  </si>
  <si>
    <t>EQ0769</t>
  </si>
  <si>
    <t>Laptop 14" com processador, placa de vídeo e memória compatíveis à função CAD/SIG</t>
  </si>
  <si>
    <t>Código SICFER</t>
  </si>
  <si>
    <t>Equipamentos de Informática</t>
  </si>
  <si>
    <t>Valor de Aquisição (R$)</t>
  </si>
  <si>
    <t>Depreciação (R$/h)</t>
  </si>
  <si>
    <t>Oportunidade de Capital (R$/h)</t>
  </si>
  <si>
    <t>Manutenção (R$/h)</t>
  </si>
  <si>
    <t>Custo Horário
Data base: Set/21</t>
  </si>
  <si>
    <t>Custo Horário
Data base: Jan/23</t>
  </si>
  <si>
    <t>Produtivo</t>
  </si>
  <si>
    <t>Software de Informática</t>
  </si>
  <si>
    <t>Custo Horário (R$/h)
Data base: Set/21</t>
  </si>
  <si>
    <t>MT2561</t>
  </si>
  <si>
    <t>Sistema operacional e pacote office</t>
  </si>
  <si>
    <t>Índice de Reajustamento
(Set-21 - Jul/23)</t>
  </si>
  <si>
    <t>287,460 / 252,425</t>
  </si>
  <si>
    <t>Custo Horário (R$/h)
Data base: Jul/23</t>
  </si>
  <si>
    <t>Índice de Reajustamento
(Set-21 -&gt; Jul/23)</t>
  </si>
  <si>
    <t>h</t>
  </si>
  <si>
    <t>MT2557</t>
  </si>
  <si>
    <t>Software CAD para MAC/Windows 64bits</t>
  </si>
  <si>
    <t>MT2560</t>
  </si>
  <si>
    <t>Software IMG para MAC/Windows 64bits</t>
  </si>
  <si>
    <t>MT2559</t>
  </si>
  <si>
    <t>Software SIG para MAC/Windows 64bits</t>
  </si>
  <si>
    <t>BDI</t>
  </si>
  <si>
    <t>Data Base:</t>
  </si>
  <si>
    <t>1</t>
  </si>
  <si>
    <t>2</t>
  </si>
  <si>
    <t>3</t>
  </si>
  <si>
    <t>4</t>
  </si>
  <si>
    <t>5</t>
  </si>
  <si>
    <t>6</t>
  </si>
  <si>
    <t>7</t>
  </si>
  <si>
    <t>8</t>
  </si>
  <si>
    <t>9</t>
  </si>
  <si>
    <t>Item</t>
  </si>
  <si>
    <t>Descrição dos Produtos</t>
  </si>
  <si>
    <t>x</t>
  </si>
  <si>
    <t>Dados:</t>
  </si>
  <si>
    <t>Dimensão de Mercado e Demanda (EMD)</t>
  </si>
  <si>
    <t>Dimensão Operacional (EOP)</t>
  </si>
  <si>
    <t>Dimensão Socioambiental (EMA)</t>
  </si>
  <si>
    <t>Dimensão Econômico-Financeira (MEF)</t>
  </si>
  <si>
    <t>SISTEMA DE CUSTOS REFERENCIAIS FERROVIÁRIOS – SICFER</t>
  </si>
  <si>
    <t>São Paulo - Setembro/2021</t>
  </si>
  <si>
    <t/>
  </si>
  <si>
    <t xml:space="preserve"> </t>
  </si>
  <si>
    <t>Relatório Analítico de Composições de Custos - Sem Desoneração</t>
  </si>
  <si>
    <t>Unidade:</t>
  </si>
  <si>
    <t>km</t>
  </si>
  <si>
    <t>Custo Unitário de Referência</t>
  </si>
  <si>
    <t>Valores em reais (R$)</t>
  </si>
  <si>
    <t>010006</t>
  </si>
  <si>
    <t>Estudos de geometria do traçado (EVTE)</t>
  </si>
  <si>
    <t>A - EQUIPAMENTOS</t>
  </si>
  <si>
    <t>Quantidade</t>
  </si>
  <si>
    <t>Utilização</t>
  </si>
  <si>
    <t>Custo Horário</t>
  </si>
  <si>
    <t>Custo</t>
  </si>
  <si>
    <t>Produtiva</t>
  </si>
  <si>
    <t>Improdutiva</t>
  </si>
  <si>
    <t>Horário Total</t>
  </si>
  <si>
    <t>EQ0770</t>
  </si>
  <si>
    <t>Tablet de 10"</t>
  </si>
  <si>
    <t>Custo horário total de equipamentos</t>
  </si>
  <si>
    <t>B - MÃO DE OBRA</t>
  </si>
  <si>
    <t>Unidade</t>
  </si>
  <si>
    <t>Custo Horário Total</t>
  </si>
  <si>
    <t>MO0113</t>
  </si>
  <si>
    <t>Coordenador</t>
  </si>
  <si>
    <t>MO0114</t>
  </si>
  <si>
    <t>Engenheiro Sênior</t>
  </si>
  <si>
    <t>MO0115</t>
  </si>
  <si>
    <t>Engenheiro Pleno</t>
  </si>
  <si>
    <t>MO0116</t>
  </si>
  <si>
    <t>Engenheiro Júnior</t>
  </si>
  <si>
    <t>MO0117</t>
  </si>
  <si>
    <t>Engenheiro auxiliar</t>
  </si>
  <si>
    <t>MO0118</t>
  </si>
  <si>
    <t>Técnico Especial</t>
  </si>
  <si>
    <t>MO0119</t>
  </si>
  <si>
    <t>Técnico Sênior</t>
  </si>
  <si>
    <t>MO0120</t>
  </si>
  <si>
    <t>Técnico Pleno</t>
  </si>
  <si>
    <t>Custo horário total de mão de obra</t>
  </si>
  <si>
    <t>Custo horário total de execução</t>
  </si>
  <si>
    <t>Produção da equipe</t>
  </si>
  <si>
    <t>1,00000 km</t>
  </si>
  <si>
    <t>Custo unitário de execução</t>
  </si>
  <si>
    <t>Custo do FIC</t>
  </si>
  <si>
    <t>Custo do FIT</t>
  </si>
  <si>
    <t>C - MATERIAL</t>
  </si>
  <si>
    <t>Preço Unitário</t>
  </si>
  <si>
    <t>Custo Unitário</t>
  </si>
  <si>
    <t>MT2558</t>
  </si>
  <si>
    <t>Software SIG para Android/IOS</t>
  </si>
  <si>
    <t>Custo unitário total de material</t>
  </si>
  <si>
    <t>D - ATIVIDADES AUXILIARES</t>
  </si>
  <si>
    <t>Custo total de atividades auxiliares</t>
  </si>
  <si>
    <t xml:space="preserve">SubTotal </t>
  </si>
  <si>
    <t>E - TEMPO FIXO</t>
  </si>
  <si>
    <t>Custo unitário total de tempo fixo</t>
  </si>
  <si>
    <t>F - MOMENTO DE TRANSPORTE</t>
  </si>
  <si>
    <t>DMT</t>
  </si>
  <si>
    <t>FE</t>
  </si>
  <si>
    <t>Custo unitário total de transporte</t>
  </si>
  <si>
    <t>Custo unitário direto total</t>
  </si>
  <si>
    <t>Obs.: Conforme Instrução Normativa: ISF - 209</t>
  </si>
  <si>
    <t>010039</t>
  </si>
  <si>
    <t>Estudos de investimento (EVTE)</t>
  </si>
  <si>
    <t>MO0121</t>
  </si>
  <si>
    <t>Técnico Júnior</t>
  </si>
  <si>
    <t>MO0122</t>
  </si>
  <si>
    <t>Técnico Auxiliar</t>
  </si>
  <si>
    <t xml:space="preserve">Obs.: </t>
  </si>
  <si>
    <t>010027</t>
  </si>
  <si>
    <t>Estudos de superestrutura (EVTE)</t>
  </si>
  <si>
    <t>MO0123</t>
  </si>
  <si>
    <t>Consultor</t>
  </si>
  <si>
    <t>Obs.: Conforme Instrução Normativa: ISFs - 213 -214-215</t>
  </si>
  <si>
    <t>010009</t>
  </si>
  <si>
    <t>Estudos operacionais (EVTE)</t>
  </si>
  <si>
    <t>Obs.: Conforme Instrução Normativa: ISF - 227</t>
  </si>
  <si>
    <t>Km</t>
  </si>
  <si>
    <t>horas</t>
  </si>
  <si>
    <t>h/mês</t>
  </si>
  <si>
    <t>Database:</t>
  </si>
  <si>
    <t>Escopo</t>
  </si>
  <si>
    <t>Custos por Tipo de Produto / Fase do Estudo (R$)</t>
  </si>
  <si>
    <t>RPT</t>
  </si>
  <si>
    <t>RCD-AP</t>
  </si>
  <si>
    <t>RAP</t>
  </si>
  <si>
    <t>RTC</t>
  </si>
  <si>
    <t>RED</t>
  </si>
  <si>
    <t>SubTotal</t>
  </si>
  <si>
    <t>Plano Trabalho</t>
  </si>
  <si>
    <t>Pacote AP</t>
  </si>
  <si>
    <t>Pacote Edital</t>
  </si>
  <si>
    <t>Grupo</t>
  </si>
  <si>
    <t>UF</t>
  </si>
  <si>
    <t>Descrição</t>
  </si>
  <si>
    <t>Metas / Atividades</t>
  </si>
  <si>
    <t>Valor Total
(R$)</t>
  </si>
  <si>
    <t>Atividade</t>
  </si>
  <si>
    <t>Estudo Inicial</t>
  </si>
  <si>
    <t>Audiência pública</t>
  </si>
  <si>
    <t>Revisão Pós Audiência</t>
  </si>
  <si>
    <t>TCU</t>
  </si>
  <si>
    <t>Revisão TCU</t>
  </si>
  <si>
    <t>Edital</t>
  </si>
  <si>
    <t>Processo Licitatório</t>
  </si>
  <si>
    <t>Leilão</t>
  </si>
  <si>
    <t>Início</t>
  </si>
  <si>
    <t>Duração</t>
  </si>
  <si>
    <t>Desembolso Mensal</t>
  </si>
  <si>
    <t>% Desembolso Mensal</t>
  </si>
  <si>
    <t>Desembolso Mensal Acumulado</t>
  </si>
  <si>
    <t>% Desembolso Mensal Acumulado</t>
  </si>
  <si>
    <t xml:space="preserve">Orçamento - EVTEA </t>
  </si>
  <si>
    <t>Projeto de Modelagem da Concessão</t>
  </si>
  <si>
    <t>Total geral:</t>
  </si>
  <si>
    <t>Preço unitário
 (R$)</t>
  </si>
  <si>
    <t>Quantidade total</t>
  </si>
  <si>
    <t>Referência</t>
  </si>
  <si>
    <t>Memória dos quantitativos</t>
  </si>
  <si>
    <t>PESSOAL</t>
  </si>
  <si>
    <t>DNIT jul/23</t>
  </si>
  <si>
    <t>DIÁRIAS</t>
  </si>
  <si>
    <t>EQUIPAMENTOS</t>
  </si>
  <si>
    <t>DADOS DE ENTRADA</t>
  </si>
  <si>
    <t>CONSULTORIA (SUPERVISÃO E PROJETOS)</t>
  </si>
  <si>
    <t>Natureza da Obra:</t>
  </si>
  <si>
    <t>Despesas Indiretas</t>
  </si>
  <si>
    <t>% sobre o PV</t>
  </si>
  <si>
    <t>% sobre o CD</t>
  </si>
  <si>
    <t>SELIC</t>
  </si>
  <si>
    <t>Administração Central</t>
  </si>
  <si>
    <t>Variável - f (CD)</t>
  </si>
  <si>
    <t>ISSQN:</t>
  </si>
  <si>
    <t>Despesas Financeiras</t>
  </si>
  <si>
    <t>ORÇAMENTO DESONERADO?</t>
  </si>
  <si>
    <t>NÃO</t>
  </si>
  <si>
    <t>Seguros e Garantias Contratuais</t>
  </si>
  <si>
    <t>REIDI:</t>
  </si>
  <si>
    <t>Riscos</t>
  </si>
  <si>
    <t>OBSERVAÇÃO:</t>
  </si>
  <si>
    <t>VERIFICAR SEMPRE SE O CÁLCULO ITERATIVO ESTÁ HABILITADO</t>
  </si>
  <si>
    <t>Subtotal 1</t>
  </si>
  <si>
    <t>Benefícios</t>
  </si>
  <si>
    <t>Lucro</t>
  </si>
  <si>
    <t>Subtotal 2</t>
  </si>
  <si>
    <t>Tributos</t>
  </si>
  <si>
    <t>PIS</t>
  </si>
  <si>
    <t>COFINS</t>
  </si>
  <si>
    <t>Subtotal 3</t>
  </si>
  <si>
    <t>TOTAIS</t>
  </si>
  <si>
    <t>BDI COM TRIBUTOS (%)</t>
  </si>
  <si>
    <t>Vitória</t>
  </si>
  <si>
    <t>O</t>
  </si>
  <si>
    <t>Preço (R$)</t>
  </si>
  <si>
    <t>D</t>
  </si>
  <si>
    <t>op. 1</t>
  </si>
  <si>
    <t>op. 2</t>
  </si>
  <si>
    <t>op. 3</t>
  </si>
  <si>
    <t xml:space="preserve">SP </t>
  </si>
  <si>
    <t>MG</t>
  </si>
  <si>
    <t>DF</t>
  </si>
  <si>
    <t>RJ</t>
  </si>
  <si>
    <t>NY</t>
  </si>
  <si>
    <t>São Paulo</t>
  </si>
  <si>
    <t>Capital</t>
  </si>
  <si>
    <t xml:space="preserve">DF </t>
  </si>
  <si>
    <t>Brasília</t>
  </si>
  <si>
    <t xml:space="preserve">AM </t>
  </si>
  <si>
    <t>Manaus</t>
  </si>
  <si>
    <t xml:space="preserve">RJ </t>
  </si>
  <si>
    <t>Rio de Janeiro</t>
  </si>
  <si>
    <t xml:space="preserve">MG </t>
  </si>
  <si>
    <t>Belo Horizonte</t>
  </si>
  <si>
    <t xml:space="preserve">CE </t>
  </si>
  <si>
    <t>Fortaleza</t>
  </si>
  <si>
    <t xml:space="preserve">RS </t>
  </si>
  <si>
    <t>Porto Alegre</t>
  </si>
  <si>
    <t xml:space="preserve">PE </t>
  </si>
  <si>
    <t>Recife</t>
  </si>
  <si>
    <t xml:space="preserve">BA </t>
  </si>
  <si>
    <t>Salvador</t>
  </si>
  <si>
    <t xml:space="preserve">AC </t>
  </si>
  <si>
    <t>Rio Branco</t>
  </si>
  <si>
    <t xml:space="preserve">AL </t>
  </si>
  <si>
    <t>Maceió</t>
  </si>
  <si>
    <t xml:space="preserve">AP </t>
  </si>
  <si>
    <t>Macapá</t>
  </si>
  <si>
    <t xml:space="preserve">ES </t>
  </si>
  <si>
    <t xml:space="preserve">GO </t>
  </si>
  <si>
    <t>Goiânia</t>
  </si>
  <si>
    <t xml:space="preserve">MA </t>
  </si>
  <si>
    <t>São Luís</t>
  </si>
  <si>
    <t xml:space="preserve">MT </t>
  </si>
  <si>
    <t>Cuiabá</t>
  </si>
  <si>
    <t xml:space="preserve">MS </t>
  </si>
  <si>
    <t>Campo Grande</t>
  </si>
  <si>
    <t xml:space="preserve">PA </t>
  </si>
  <si>
    <t>Belém</t>
  </si>
  <si>
    <t xml:space="preserve">PB </t>
  </si>
  <si>
    <t>João Pessoa</t>
  </si>
  <si>
    <t xml:space="preserve">PR </t>
  </si>
  <si>
    <t>Curitiba</t>
  </si>
  <si>
    <t xml:space="preserve">PI </t>
  </si>
  <si>
    <t>Teresina</t>
  </si>
  <si>
    <t xml:space="preserve">RN </t>
  </si>
  <si>
    <t>Natal</t>
  </si>
  <si>
    <t xml:space="preserve">RO </t>
  </si>
  <si>
    <t>Porto Velho</t>
  </si>
  <si>
    <t xml:space="preserve">RR </t>
  </si>
  <si>
    <t>Boa Vista</t>
  </si>
  <si>
    <t xml:space="preserve">SC </t>
  </si>
  <si>
    <t>Florianópolis</t>
  </si>
  <si>
    <t xml:space="preserve">SE </t>
  </si>
  <si>
    <t>Aracaju</t>
  </si>
  <si>
    <t xml:space="preserve">TO </t>
  </si>
  <si>
    <t>Palmas</t>
  </si>
  <si>
    <t>Classificação do Cargo/Emprego/Função</t>
  </si>
  <si>
    <t>Deslocamentos para outras capitais de Estados</t>
  </si>
  <si>
    <t>Demais deslocamentos</t>
  </si>
  <si>
    <t>MATERIAL</t>
  </si>
  <si>
    <t>Preço de Custo
 (R$)</t>
  </si>
  <si>
    <t>Preço de Venda
 (R$)</t>
  </si>
  <si>
    <t>SICFER set/21 (SP)</t>
  </si>
  <si>
    <t>Custo horário do Desktop para todos os profisisonais durante a execução dos trabalhos</t>
  </si>
  <si>
    <t>Custo horário do sistema operacional e pacote office durante toda execução dos trabalhos</t>
  </si>
  <si>
    <t>Extensão:</t>
  </si>
  <si>
    <t>Horas trabalháveis no mês (h):</t>
  </si>
  <si>
    <t>Dimensão de Engenharia (EEN) - Trabalhos Iniciais, Recuperação, Manutenção e Conservação</t>
  </si>
  <si>
    <t>Dimensão de Engenharia (EEN) - Ampliação de Capacidade e Melhorias</t>
  </si>
  <si>
    <t xml:space="preserve">Tabela 1 - Custos de veículos </t>
  </si>
  <si>
    <t>Custo unitário (R$ / un)</t>
  </si>
  <si>
    <t>S</t>
  </si>
  <si>
    <t>Veículo leve - 53 kW (sem motorista)</t>
  </si>
  <si>
    <t>Veículo leve picape 4x4 - 147 kW (sem motorista)</t>
  </si>
  <si>
    <t>Van furgão - 93 kW (com motorista)</t>
  </si>
  <si>
    <t>Tabela 2 - Custos de imóveis, mobiliário, cestas de instalações e custos diversos</t>
  </si>
  <si>
    <t>Custo unitário 
(R$ / un)</t>
  </si>
  <si>
    <t>Comercial (2,60% do CMCC - SINAPI)</t>
  </si>
  <si>
    <t>m² x mês</t>
  </si>
  <si>
    <t>Residencial (1,70% do CMCC - SINAPI)</t>
  </si>
  <si>
    <t>ocupante x mês</t>
  </si>
  <si>
    <t>Cesta das Instalações</t>
  </si>
  <si>
    <t>Custos Diversos</t>
  </si>
  <si>
    <t>Destino</t>
  </si>
  <si>
    <t>Origem</t>
  </si>
  <si>
    <t>Passagem (ida e volta):</t>
  </si>
  <si>
    <t>Voos diretos (conforme disponibilidade).</t>
  </si>
  <si>
    <t>Premissas:</t>
  </si>
  <si>
    <t>Previsão de volta pelo mesmo destino.</t>
  </si>
  <si>
    <t>D11117 (planalto.gov.br)</t>
  </si>
  <si>
    <t>Deslocamentos para Brasília/Manaus/Rio de Janeiro/São Paulo</t>
  </si>
  <si>
    <t>a) Ministros de Estado</t>
  </si>
  <si>
    <t>b) Cargos de Natureza Especial; CCE-18</t>
  </si>
  <si>
    <t>c) CCE-17; CCE-16; CCE-15; CCE-14; CCE-13 e equivalentes</t>
  </si>
  <si>
    <t>d) Demais cargos, empregos e funções</t>
  </si>
  <si>
    <t>Demais categorias profissionais</t>
  </si>
  <si>
    <t>Os profissionais de campo vão desembarcar nas capitais e seguir para os municípios de visitação in loco.</t>
  </si>
  <si>
    <t>Os profissionais que irão presencialmente à Infra para reuniões de alinhamento e nos RoadShows permanecerão nas capitais.</t>
  </si>
  <si>
    <t>Custo Capital (R$)</t>
  </si>
  <si>
    <t>Demais Deslocamentos (R$)</t>
  </si>
  <si>
    <t>Os demais profissionais foram considerados na aliínea d).</t>
  </si>
  <si>
    <t>Coordenador, Eng Consultor Especial e profissionais sêniores, devido ao grau de expertise e qualificação, fazem jus à remuneração da alínea c).</t>
  </si>
  <si>
    <t>Coordenador / Eng Consultor Especial / Sênior</t>
  </si>
  <si>
    <t>As abas deste conjunto compreendem:</t>
  </si>
  <si>
    <t>1) Perços referenciais DNIT e SICFER</t>
  </si>
  <si>
    <t>2) Pesquisa de preços de passagens aéreas</t>
  </si>
  <si>
    <t>2) Memórias de cálculo de dimensionamento equipamentos e materiais</t>
  </si>
  <si>
    <t>3) Memórias de cálculo de planejamento de viagens in loco</t>
  </si>
  <si>
    <t>4) Memórias de cálculo de planejamento de reuniões presenciais em Brasília e Roadshows</t>
  </si>
  <si>
    <t>1) Memórias de cálculo de dimensionamento de mão de obra</t>
  </si>
  <si>
    <t>5) Crnograma de execução de serviços</t>
  </si>
  <si>
    <t>6) Cálculo analítico do BDI conforme Resolução DNIT nº 11/2020.</t>
  </si>
  <si>
    <t>Reajustamento de preços SICFER (SP)</t>
  </si>
  <si>
    <t>Índice de Reajustamento da última data base disponível do SICFER, Set-21, para a data base do orçamento, Jul/23.</t>
  </si>
  <si>
    <t>Conforme Resolução DNIT nº 11/2020.</t>
  </si>
  <si>
    <t>FCA</t>
  </si>
  <si>
    <t>Malha Ferroviária:</t>
  </si>
  <si>
    <t>Extensão (km):</t>
  </si>
  <si>
    <t>Consultoria Road Show - Internacional</t>
  </si>
  <si>
    <t>OBJETIVO</t>
  </si>
  <si>
    <t>METAS / ATIVIDADES</t>
  </si>
  <si>
    <t>COD.</t>
  </si>
  <si>
    <t>DISCRIMINAÇÃO</t>
  </si>
  <si>
    <t>TRECHO
ORIGEM</t>
  </si>
  <si>
    <t>TRECHO
DESTINO</t>
  </si>
  <si>
    <t>FONTE</t>
  </si>
  <si>
    <t>ÁEREA (Ida e Volta)</t>
  </si>
  <si>
    <t>DIÁRIAS (Ida e Volta)</t>
  </si>
  <si>
    <t>Valor do Produto
(R$)</t>
  </si>
  <si>
    <t>VALOR</t>
  </si>
  <si>
    <t>QUANT. PES.</t>
  </si>
  <si>
    <t>DIAS</t>
  </si>
  <si>
    <t>a</t>
  </si>
  <si>
    <t>b</t>
  </si>
  <si>
    <t>c=a*b</t>
  </si>
  <si>
    <t>d</t>
  </si>
  <si>
    <t>e</t>
  </si>
  <si>
    <t>f</t>
  </si>
  <si>
    <t>g=d*e*f</t>
  </si>
  <si>
    <t>h=c+g</t>
  </si>
  <si>
    <t>Média trechos</t>
  </si>
  <si>
    <t>DECOLAR</t>
  </si>
  <si>
    <t>Audiência Pública</t>
  </si>
  <si>
    <t>TOTAL</t>
  </si>
  <si>
    <t>Notas:</t>
  </si>
  <si>
    <t>PLANILHA DE DIMENSIONAMENTO DE VIAGENS E DIÁRIAS DA EQUIPE TÉCNICA</t>
  </si>
  <si>
    <r>
      <t xml:space="preserve">Visitas </t>
    </r>
    <r>
      <rPr>
        <b/>
        <i/>
        <sz val="11"/>
        <color rgb="FF000000"/>
        <rFont val="Calibri"/>
        <family val="2"/>
      </rPr>
      <t>in loco</t>
    </r>
    <r>
      <rPr>
        <b/>
        <sz val="11"/>
        <color rgb="FF000000"/>
        <rFont val="Calibri"/>
        <family val="2"/>
      </rPr>
      <t xml:space="preserve"> / Consulta Pública</t>
    </r>
  </si>
  <si>
    <t>Preço pesquisado considera trecho de ida e volta.</t>
  </si>
  <si>
    <t>Passagens nacionais pesquisadas com 30 dias de antecedência.</t>
  </si>
  <si>
    <t>Passagens internacionais pesquisadas com 60 dias de antecedência, considerando paradas.</t>
  </si>
  <si>
    <t>Capitais mais próximas:</t>
  </si>
  <si>
    <t>Objeto:</t>
  </si>
  <si>
    <t>Região de Audiência Pública:</t>
  </si>
  <si>
    <t>Plano de Trabalho</t>
  </si>
  <si>
    <t>Dimensão de Engenharia (EEN)</t>
  </si>
  <si>
    <t>PASSAGENS</t>
  </si>
  <si>
    <t>10</t>
  </si>
  <si>
    <t>11</t>
  </si>
  <si>
    <t>12</t>
  </si>
  <si>
    <t>13</t>
  </si>
  <si>
    <t>14</t>
  </si>
  <si>
    <t>15</t>
  </si>
  <si>
    <t>16</t>
  </si>
  <si>
    <t>17</t>
  </si>
  <si>
    <t>18</t>
  </si>
  <si>
    <t>19</t>
  </si>
  <si>
    <t>20</t>
  </si>
  <si>
    <t>21</t>
  </si>
  <si>
    <t>22</t>
  </si>
  <si>
    <t>23</t>
  </si>
  <si>
    <t>24</t>
  </si>
  <si>
    <t>25</t>
  </si>
  <si>
    <t>26</t>
  </si>
  <si>
    <t>27</t>
  </si>
  <si>
    <t>28</t>
  </si>
  <si>
    <t>29</t>
  </si>
  <si>
    <t>30</t>
  </si>
  <si>
    <t>dias</t>
  </si>
  <si>
    <t>Viagem (ida-volta)</t>
  </si>
  <si>
    <t>Passagem de ida e volta, considerando 3 profissionais (Coordenador / Eng. Consultor Especial / Profissional Sênior)</t>
  </si>
  <si>
    <t>Cotação</t>
  </si>
  <si>
    <t>Passagem Aérea Ida/Volta (Localidade-Brasília)</t>
  </si>
  <si>
    <t>Diárias em Brasília</t>
  </si>
  <si>
    <t>diária</t>
  </si>
  <si>
    <t>SP</t>
  </si>
  <si>
    <t>1. ORIGEM: SÃO PAULO</t>
  </si>
  <si>
    <t>1.1 RIO DE JANEIRO</t>
  </si>
  <si>
    <t>1.2 GOIÂNIA</t>
  </si>
  <si>
    <t>1.3 BELO HORIZONTE</t>
  </si>
  <si>
    <t>1.4 BRASÍLIA</t>
  </si>
  <si>
    <t>2. ORIGEM: GOIÂNIA</t>
  </si>
  <si>
    <t>2.1 RIO DE JANEIRO</t>
  </si>
  <si>
    <t>2.2 SÃO PAULO</t>
  </si>
  <si>
    <t>2.3 BELO HORIZONTE</t>
  </si>
  <si>
    <t>2.4 BRASÍLIA</t>
  </si>
  <si>
    <t>3. ORIGEM: BELO HORIZONTE</t>
  </si>
  <si>
    <t>3.1 RIO DE JANEIRO</t>
  </si>
  <si>
    <t>3.2 GOIÂNIA</t>
  </si>
  <si>
    <t>3.3 BRASÍLIA</t>
  </si>
  <si>
    <t>3.4 SÃO PAULO</t>
  </si>
  <si>
    <t>4. ORIGEM: BRASÍLIA</t>
  </si>
  <si>
    <t>4.1 RIO DE JANEIRO</t>
  </si>
  <si>
    <t>4.2 BELO HORIZONTE</t>
  </si>
  <si>
    <t>4.3 GOIÂNIA</t>
  </si>
  <si>
    <t>4.3 SÃO PAULO</t>
  </si>
  <si>
    <t>5. ORIGEM: RIO DE JANEIRO</t>
  </si>
  <si>
    <t>5.1 BELO HORIZONTE</t>
  </si>
  <si>
    <t>5.2 GOIÂNIA</t>
  </si>
  <si>
    <t>5.3 BRASÍLIA</t>
  </si>
  <si>
    <t>5.4 SÃO PAULO</t>
  </si>
  <si>
    <t>Consultoria Brasília</t>
  </si>
  <si>
    <t>BSB</t>
  </si>
  <si>
    <t>Reunião de Alinhamento</t>
  </si>
  <si>
    <t>Decreto nº 11.117, 1º de julho De 2022</t>
  </si>
  <si>
    <t>Diárias para 2 dias úteis na capital/sede da INFRA - Brasília DF (2,5 diárias)</t>
  </si>
  <si>
    <t xml:space="preserve">TOTAL DIÁRIAS
(R$) </t>
  </si>
  <si>
    <t xml:space="preserve">TOTAL PASSAGEM
(R$) </t>
  </si>
  <si>
    <t>Resumo de Passagens</t>
  </si>
  <si>
    <t>Inspeção de Campo</t>
  </si>
  <si>
    <t>(3) Previstas uma reunião de alinhamento, por dimensão de estudo, com a equipe da INFRA, em Brasília - DF.</t>
  </si>
  <si>
    <t>(4) Previstas reuniões de coordenação e acompanhamento a cada 2 meses com a equipe da INFRA, em Brasília - DF.</t>
  </si>
  <si>
    <t>(5) Previstas as viagens de representação nas audiências Públicas (Belo Horizonte, Brasília, Goiânia, Rio de Janeiro e São Paulo).</t>
  </si>
  <si>
    <t xml:space="preserve">(6) Orçamento das diárias e do apoio ao deslocamento terrestre baseado na Tabela de Consultoria do Departamento Nacional de Infraestrutura de Transportes, disponível em www.dnit.gov.br conforme instruções RESOLUÇÃO Nº 11, DE 21 DE AGOSTO DE 2020 que indica a utilização do Decreto Nº 5.992, de 19 de Dezembro 2006 (ou publicação mais recente). </t>
  </si>
  <si>
    <t>Demais Deslocamentos</t>
  </si>
  <si>
    <t>Qtd.</t>
  </si>
  <si>
    <t>Dias de Vistoria</t>
  </si>
  <si>
    <t>Custo Total (R$)</t>
  </si>
  <si>
    <t>Utilização Diária</t>
  </si>
  <si>
    <t>Horas por dia (h)</t>
  </si>
  <si>
    <t>PLANILHA DE DIMENSIONAMENTO DE VEÍCULO PARA INSPEÇÃO DE CAMPO DA EQUIPE TÉCNICA</t>
  </si>
  <si>
    <t>VEÍCULO</t>
  </si>
  <si>
    <t>Equipe</t>
  </si>
  <si>
    <t>Preço considerando custo horário produtivo e improdutivo, conforme Resolução DNIT nº 11/2020.</t>
  </si>
  <si>
    <t>Passagem de ida e volta, conforme Aba "Diárias e Passagens"</t>
  </si>
  <si>
    <t>Diárias conforme Aba "Diárias e Passagens"</t>
  </si>
  <si>
    <t>Estimado 1 software por profissional técnico</t>
  </si>
  <si>
    <t>Custo horário do Desktop para os profisisonais técnicos durante a execução dos trabalhos</t>
  </si>
  <si>
    <t>Custo horário do Laptop para os profisisonais que não necessitem de robustez de hardware durante a execução dos trabalhos</t>
  </si>
  <si>
    <t>Custo horário do software durante a execução dos trabalhos</t>
  </si>
  <si>
    <t xml:space="preserve">CUSTO DIRETO TOTAL </t>
  </si>
  <si>
    <t>3) Preços para remuneração de diárias durante reuniões e visitas in loco.</t>
  </si>
  <si>
    <t>Acórdão TCU</t>
  </si>
  <si>
    <t>Publicação do Edital</t>
  </si>
  <si>
    <t>Fim do contrato</t>
  </si>
  <si>
    <t>31</t>
  </si>
  <si>
    <t>Estudo</t>
  </si>
  <si>
    <t>Fim do Contrato</t>
  </si>
  <si>
    <t>Revisão / Aprovação</t>
  </si>
  <si>
    <t>Produto Pré-AP - Relatório Consolidado da Disciplina</t>
  </si>
  <si>
    <t>Gestão de Projeto, Revisão de Estudos e Apoio às Fases</t>
  </si>
  <si>
    <t>Pré Audiência</t>
  </si>
  <si>
    <t>Pós Audiência</t>
  </si>
  <si>
    <t>Pacote TCU</t>
  </si>
  <si>
    <t>Produto RTC - Relatório consolidado de estudos e subsídios a eventuais questionamentos órgão de controle externo</t>
  </si>
  <si>
    <t>Produto RED - Relatório consolidado de estudos e subsídios a eventuais questionamentos do processo licitatório</t>
  </si>
  <si>
    <t>Produto RAP - Relatório consolidado de estudos e subsídios de respostas às contribuições da audiência pública</t>
  </si>
  <si>
    <t>Goiás, Distrito Federal, Minas Gerais, São Paulo, Rio de Janeiro</t>
  </si>
  <si>
    <t>Goiânia, Brasília, Belo Horizonte, São Paulo, Rio de Janeiro</t>
  </si>
  <si>
    <t>Passagem Aérea Ida/Volta (Localidade-Diversos)</t>
  </si>
  <si>
    <t>Relatório Consolidado de Inspeções de Campo</t>
  </si>
  <si>
    <t>Relatório Consolidado de dados secundários</t>
  </si>
  <si>
    <t>Relatório Consolidado da Simulação Operacional</t>
  </si>
  <si>
    <t>Relatório de avaliação de particionamento da malha ferroviária</t>
  </si>
  <si>
    <t>RCD</t>
  </si>
  <si>
    <t>ASMF</t>
  </si>
  <si>
    <t>Segmentação Malha</t>
  </si>
  <si>
    <t>Dados Consolidados</t>
  </si>
  <si>
    <t>Produto - Pacote de produtos de EVTEA</t>
  </si>
  <si>
    <t>EVTEA - Corinto - Campo Formoso</t>
  </si>
  <si>
    <t>Fim</t>
  </si>
  <si>
    <t>(*) Limite máximo adotado de 5%, valor variável em função da legislação de cada município. As empresas licitantes deverão adotar as alíquotas pertinentes.</t>
  </si>
  <si>
    <t>ISSQN*</t>
  </si>
  <si>
    <t>COMPOSIÇÃO DA PARCELA DO BDI</t>
  </si>
  <si>
    <t>Mão de Obra (B)</t>
  </si>
  <si>
    <t>Equipamentos (A)</t>
  </si>
  <si>
    <t>Custo Unitário (D)=(A+B)/(C)</t>
  </si>
  <si>
    <t>Material (E)</t>
  </si>
  <si>
    <t>Custo Direto (D)+(E)</t>
  </si>
  <si>
    <t>Preço Unitário Referencial</t>
  </si>
  <si>
    <t>(1) Sede do escritório da Contratada presumida em possíveis cidades: São Paulo - SP / Rio de janeiro - RJ / Brasília / Belo Horizonte, por ter a maior densidade relativa a empresas projetistas.</t>
  </si>
  <si>
    <t>Duração (meses)</t>
  </si>
  <si>
    <t>Viagens</t>
  </si>
  <si>
    <t>Preço de Venda</t>
  </si>
  <si>
    <t>Conferência</t>
  </si>
  <si>
    <t>3.2</t>
  </si>
  <si>
    <t>3.1</t>
  </si>
  <si>
    <t>3.3</t>
  </si>
  <si>
    <t>Total - EVTEA</t>
  </si>
  <si>
    <t>Vistoria / Inspeção de Campo</t>
  </si>
  <si>
    <t>Período de Inspeção/Vistoria em campo:</t>
  </si>
  <si>
    <t>semanas</t>
  </si>
  <si>
    <t>Dimensão Jurídico-Regulatória (EJR)</t>
  </si>
  <si>
    <t>Sistema</t>
  </si>
  <si>
    <t>DNIT</t>
  </si>
  <si>
    <t>Cronograma físico-financeiro</t>
  </si>
  <si>
    <t>Resumo do Orçamento Referencial (por insumo)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</si>
</sst>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R$&quot;\ * #,##0.00_-;\-&quot;R$&quot;\ * #,##0.00_-;_-&quot;R$&quot;\ * &quot;-&quot;??_-;_-@_-"/>
    <numFmt numFmtId="43" formatCode="_-* #,##0.00_-;\-* #,##0.00_-;_-* &quot;-&quot;??_-;_-@_-"/>
    <numFmt numFmtId="164" formatCode="#,##0.0000"/>
    <numFmt numFmtId="165" formatCode="0.00000000"/>
    <numFmt numFmtId="166" formatCode="#,##0.00000"/>
    <numFmt numFmtId="167" formatCode="#,##0.00000000"/>
    <numFmt numFmtId="168" formatCode="_-* #,##0.0_-;\-* #,##0.0_-;_-* &quot;-&quot;?_-;_-@_-"/>
    <numFmt numFmtId="169" formatCode="_-* #,##0.00_-;\-* #,##0.00_-;_-* &quot;-&quot;?_-;_-@_-"/>
    <numFmt numFmtId="170" formatCode="0.0%"/>
    <numFmt numFmtId="171" formatCode="0%;;&quot;&quot;"/>
    <numFmt numFmtId="172" formatCode="_-&quot;R$&quot;\ * #,##0_-;\-&quot;R$&quot;\ * #,##0_-;_-&quot;R$&quot;\ * &quot;-&quot;??_-;_-@_-"/>
    <numFmt numFmtId="173" formatCode="0.00&quot;% a.a.&quot;"/>
    <numFmt numFmtId="174" formatCode="0.00&quot;%&quot;"/>
    <numFmt numFmtId="175" formatCode="0.00&quot;% sobre o (PV-Lucro)&quot;"/>
    <numFmt numFmtId="176" formatCode="0.00&quot;% do PV&quot;"/>
    <numFmt numFmtId="177" formatCode="0.00%\ &quot;do PV&quot;"/>
    <numFmt numFmtId="178" formatCode="0.00000000000"/>
    <numFmt numFmtId="179" formatCode="#,##0.0"/>
  </numFmts>
  <fonts count="107">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1"/>
      <name val="Arial"/>
      <family val="2"/>
    </font>
    <font>
      <b/>
      <sz val="11"/>
      <color rgb="FFFFFFFF"/>
      <name val="Arial"/>
      <family val="2"/>
    </font>
    <font>
      <sz val="11"/>
      <color rgb="FF000000"/>
      <name val="Arial"/>
      <family val="2"/>
    </font>
    <font>
      <sz val="9"/>
      <color rgb="FF000000"/>
      <name val="Arial"/>
      <family val="2"/>
    </font>
    <font>
      <sz val="10"/>
      <color rgb="FF000000"/>
      <name val="Arial"/>
      <family val="2"/>
    </font>
    <font>
      <b/>
      <u/>
      <sz val="11"/>
      <color theme="1"/>
      <name val="Calibri"/>
      <family val="2"/>
      <scheme val="minor"/>
    </font>
    <font>
      <b/>
      <sz val="11"/>
      <name val="Calibri"/>
      <family val="2"/>
      <scheme val="minor"/>
    </font>
    <font>
      <b/>
      <i/>
      <sz val="11"/>
      <color theme="4"/>
      <name val="Calibri"/>
      <family val="2"/>
      <scheme val="minor"/>
    </font>
    <font>
      <sz val="11"/>
      <color rgb="FF0070C0"/>
      <name val="Calibri"/>
      <family val="2"/>
      <scheme val="minor"/>
    </font>
    <font>
      <sz val="10"/>
      <color theme="1"/>
      <name val="Calibri"/>
      <family val="2"/>
      <scheme val="minor"/>
    </font>
    <font>
      <sz val="10"/>
      <color rgb="FF000000"/>
      <name val="Calibri"/>
      <family val="2"/>
      <scheme val="minor"/>
    </font>
    <font>
      <b/>
      <sz val="10"/>
      <color theme="1"/>
      <name val="Calibri"/>
      <family val="2"/>
      <scheme val="minor"/>
    </font>
    <font>
      <i/>
      <sz val="10"/>
      <color theme="1"/>
      <name val="Calibri"/>
      <family val="2"/>
      <scheme val="minor"/>
    </font>
    <font>
      <sz val="11"/>
      <color theme="0"/>
      <name val="Calibri"/>
      <family val="2"/>
      <scheme val="minor"/>
    </font>
    <font>
      <sz val="10"/>
      <name val="Arial"/>
      <family val="2"/>
    </font>
    <font>
      <sz val="12"/>
      <color rgb="FF000000"/>
      <name val="Calibri"/>
      <family val="2"/>
      <scheme val="minor"/>
    </font>
    <font>
      <sz val="8"/>
      <name val="Calibri"/>
      <family val="2"/>
      <scheme val="minor"/>
    </font>
    <font>
      <sz val="11"/>
      <name val="Calibri"/>
      <family val="2"/>
      <scheme val="minor"/>
    </font>
    <font>
      <sz val="9"/>
      <color indexed="81"/>
      <name val="Segoe UI"/>
      <family val="2"/>
    </font>
    <font>
      <b/>
      <sz val="9"/>
      <color indexed="81"/>
      <name val="Segoe UI"/>
      <family val="2"/>
    </font>
    <font>
      <sz val="11"/>
      <color indexed="8"/>
      <name val="Calibri"/>
      <family val="2"/>
      <scheme val="minor"/>
    </font>
    <font>
      <b/>
      <sz val="12"/>
      <name val="Calibri"/>
      <family val="2"/>
    </font>
    <font>
      <b/>
      <sz val="11"/>
      <name val="Calibri"/>
      <family val="2"/>
    </font>
    <font>
      <b/>
      <sz val="11"/>
      <color indexed="8"/>
      <name val="Calibri"/>
      <family val="2"/>
      <scheme val="minor"/>
    </font>
    <font>
      <b/>
      <sz val="10"/>
      <name val="Calibri"/>
      <family val="2"/>
    </font>
    <font>
      <sz val="10"/>
      <name val="Calibri"/>
      <family val="2"/>
    </font>
    <font>
      <sz val="11"/>
      <name val="Calibri"/>
      <family val="2"/>
    </font>
    <font>
      <b/>
      <sz val="9"/>
      <color rgb="FF000000"/>
      <name val="Arial"/>
      <family val="2"/>
    </font>
    <font>
      <b/>
      <sz val="9"/>
      <name val="Arial"/>
      <family val="2"/>
    </font>
    <font>
      <sz val="8"/>
      <color rgb="FF000000"/>
      <name val="Arial"/>
      <family val="2"/>
    </font>
    <font>
      <b/>
      <sz val="8"/>
      <color rgb="FF000000"/>
      <name val="Arial"/>
      <family val="2"/>
    </font>
    <font>
      <b/>
      <sz val="10"/>
      <color rgb="FF000000"/>
      <name val="Arial"/>
      <family val="2"/>
    </font>
    <font>
      <sz val="7"/>
      <color rgb="FF000000"/>
      <name val="Arial"/>
      <family val="2"/>
    </font>
    <font>
      <b/>
      <sz val="7"/>
      <color rgb="FF000000"/>
      <name val="Arial"/>
      <family val="2"/>
    </font>
    <font>
      <b/>
      <sz val="11"/>
      <color rgb="FF000000"/>
      <name val="Arial"/>
      <family val="2"/>
    </font>
    <font>
      <sz val="7"/>
      <color theme="0" tint="-0.14999847407452621"/>
      <name val="Arial"/>
      <family val="2"/>
    </font>
    <font>
      <b/>
      <sz val="13"/>
      <color theme="1"/>
      <name val="Calibri"/>
      <family val="2"/>
      <scheme val="minor"/>
    </font>
    <font>
      <b/>
      <sz val="10"/>
      <color rgb="FF0070C0"/>
      <name val="Calibri"/>
      <family val="2"/>
      <scheme val="minor"/>
    </font>
    <font>
      <sz val="9"/>
      <name val="Calibri"/>
      <family val="2"/>
      <scheme val="minor"/>
    </font>
    <font>
      <sz val="9"/>
      <color theme="1"/>
      <name val="Calibri"/>
      <family val="2"/>
      <scheme val="minor"/>
    </font>
    <font>
      <b/>
      <sz val="12"/>
      <name val="Calibri"/>
      <family val="2"/>
      <scheme val="minor"/>
    </font>
    <font>
      <b/>
      <sz val="10"/>
      <name val="Arial"/>
      <family val="2"/>
    </font>
    <font>
      <b/>
      <sz val="12"/>
      <color rgb="FF0070C0"/>
      <name val="Arial"/>
      <family val="2"/>
    </font>
    <font>
      <b/>
      <sz val="11"/>
      <color rgb="FF000000"/>
      <name val="Calibri"/>
      <family val="2"/>
    </font>
    <font>
      <sz val="12"/>
      <color rgb="FF000000"/>
      <name val="Arial"/>
      <family val="2"/>
    </font>
    <font>
      <sz val="11"/>
      <color rgb="FF000000"/>
      <name val="Calibri"/>
      <family val="2"/>
    </font>
    <font>
      <u/>
      <sz val="11"/>
      <color theme="10"/>
      <name val="Calibri"/>
      <family val="2"/>
      <scheme val="minor"/>
    </font>
    <font>
      <sz val="10"/>
      <color theme="0"/>
      <name val="Calibri"/>
      <family val="2"/>
    </font>
    <font>
      <sz val="10"/>
      <name val="Calibri"/>
      <family val="2"/>
      <scheme val="minor"/>
    </font>
    <font>
      <sz val="12"/>
      <color theme="0"/>
      <name val="Arial"/>
      <family val="2"/>
    </font>
    <font>
      <sz val="12"/>
      <color theme="1"/>
      <name val="Arial"/>
      <family val="2"/>
    </font>
    <font>
      <b/>
      <sz val="13"/>
      <color theme="1"/>
      <name val="Arial"/>
      <family val="2"/>
    </font>
    <font>
      <sz val="14"/>
      <color theme="1"/>
      <name val="Arial"/>
      <family val="2"/>
    </font>
    <font>
      <b/>
      <sz val="12"/>
      <color rgb="FFFFFFFF"/>
      <name val="Arial"/>
      <family val="2"/>
    </font>
    <font>
      <sz val="10"/>
      <color theme="0"/>
      <name val="Arial"/>
      <family val="2"/>
    </font>
    <font>
      <b/>
      <sz val="10"/>
      <color theme="0"/>
      <name val="Arial"/>
      <family val="2"/>
    </font>
    <font>
      <b/>
      <i/>
      <sz val="11"/>
      <color rgb="FF000000"/>
      <name val="Calibri"/>
      <family val="2"/>
    </font>
    <font>
      <b/>
      <sz val="11"/>
      <color rgb="FF00B050"/>
      <name val="Calibri"/>
      <family val="2"/>
    </font>
    <font>
      <b/>
      <sz val="10"/>
      <color rgb="FF00B050"/>
      <name val="Arial"/>
      <family val="2"/>
    </font>
    <font>
      <sz val="9"/>
      <color theme="1"/>
      <name val="Arial"/>
      <family val="2"/>
    </font>
    <font>
      <b/>
      <sz val="12"/>
      <color theme="0"/>
      <name val="Calibri"/>
      <family val="2"/>
      <scheme val="minor"/>
    </font>
    <font>
      <b/>
      <sz val="14"/>
      <color theme="0"/>
      <name val="Calibri"/>
      <family val="2"/>
      <scheme val="minor"/>
    </font>
    <font>
      <sz val="14"/>
      <color theme="1"/>
      <name val="Calibri"/>
      <family val="2"/>
      <scheme val="minor"/>
    </font>
    <font>
      <b/>
      <sz val="9"/>
      <color theme="1"/>
      <name val="Calibri"/>
      <family val="2"/>
      <scheme val="minor"/>
    </font>
    <font>
      <sz val="9"/>
      <name val="Arial"/>
      <family val="2"/>
    </font>
    <font>
      <b/>
      <sz val="10"/>
      <color theme="0"/>
      <name val="Calibri"/>
      <family val="2"/>
      <scheme val="minor"/>
    </font>
    <font>
      <b/>
      <sz val="12"/>
      <color theme="1"/>
      <name val="Calibri"/>
      <family val="2"/>
      <scheme val="minor"/>
    </font>
    <font>
      <sz val="10"/>
      <color rgb="FFFF0000"/>
      <name val="Arial"/>
      <family val="2"/>
    </font>
    <font>
      <b/>
      <sz val="11"/>
      <color theme="0"/>
      <name val="Calibri"/>
      <family val="2"/>
    </font>
    <font>
      <b/>
      <sz val="10"/>
      <name val="Calibri"/>
      <family val="2"/>
      <scheme val="minor"/>
    </font>
    <font>
      <b/>
      <sz val="11"/>
      <color rgb="FF000000"/>
      <name val="Calibri"/>
      <family val="2"/>
      <scheme val="minor"/>
    </font>
    <font>
      <b/>
      <sz val="16"/>
      <color theme="0"/>
      <name val="Calibri"/>
      <family val="2"/>
      <scheme val="minor"/>
    </font>
    <font>
      <b/>
      <sz val="11"/>
      <color rgb="FFFF0000"/>
      <name val="Calibri"/>
      <family val="2"/>
    </font>
    <font>
      <sz val="11"/>
      <color rgb="FFFF0000"/>
      <name val="Calibri"/>
      <family val="2"/>
    </font>
    <font>
      <b/>
      <sz val="10"/>
      <color rgb="FFFF0000"/>
      <name val="Arial"/>
      <family val="2"/>
    </font>
    <font>
      <b/>
      <sz val="11"/>
      <color theme="0"/>
      <name val="Calibri"/>
      <family val="2"/>
      <scheme val="minor"/>
    </font>
    <font>
      <sz val="10"/>
      <name val="Calibri Light"/>
      <family val="2"/>
      <scheme val="major"/>
    </font>
    <font>
      <b/>
      <sz val="10"/>
      <color theme="0"/>
      <name val="Calibri"/>
      <family val="2"/>
    </font>
    <font>
      <sz val="10"/>
      <color theme="0"/>
      <name val="Calibri"/>
      <family val="2"/>
      <scheme val="minor"/>
    </font>
    <font>
      <b/>
      <sz val="9"/>
      <color theme="0"/>
      <name val="Arial"/>
      <family val="2"/>
    </font>
    <font>
      <sz val="8"/>
      <color theme="1"/>
      <name val="Calibri"/>
      <family val="2"/>
      <scheme val="minor"/>
    </font>
    <font>
      <b/>
      <u/>
      <sz val="11"/>
      <color rgb="FF000000"/>
      <name val="Calibri"/>
      <family val="2"/>
      <scheme val="minor"/>
    </font>
    <font>
      <sz val="8"/>
      <color rgb="FF000000"/>
      <name val="Calibri"/>
      <family val="2"/>
      <scheme val="minor"/>
    </font>
    <font>
      <sz val="11"/>
      <color rgb="FF000000"/>
      <name val="Calibri"/>
      <family val="2"/>
      <scheme val="minor"/>
    </font>
    <font>
      <b/>
      <sz val="11"/>
      <color rgb="FFFF0000"/>
      <name val="Calibri"/>
      <family val="2"/>
      <scheme val="minor"/>
    </font>
    <font>
      <b/>
      <sz val="10"/>
      <color rgb="FFFF0000"/>
      <name val="Calibri"/>
      <family val="2"/>
      <scheme val="minor"/>
    </font>
    <font>
      <b/>
      <u/>
      <sz val="11"/>
      <color rgb="FFFF0000"/>
      <name val="Calibri"/>
      <family val="2"/>
      <scheme val="minor"/>
    </font>
    <font>
      <sz val="10"/>
      <color rgb="FFFF0000"/>
      <name val="Calibri"/>
      <family val="2"/>
      <scheme val="minor"/>
    </font>
    <font>
      <b/>
      <u/>
      <sz val="11"/>
      <name val="Calibri"/>
      <family val="2"/>
      <scheme val="minor"/>
    </font>
    <font>
      <sz val="11"/>
      <name val="Arial"/>
      <family val="2"/>
    </font>
    <font>
      <b/>
      <sz val="11"/>
      <name val="Arial"/>
      <family val="2"/>
    </font>
    <font>
      <b/>
      <sz val="7"/>
      <name val="Arial"/>
      <family val="2"/>
    </font>
    <font>
      <b/>
      <sz val="7"/>
      <color theme="1"/>
      <name val="Arial"/>
      <family val="2"/>
    </font>
    <font>
      <b/>
      <sz val="11"/>
      <color theme="1"/>
      <name val="Arial"/>
      <family val="2"/>
    </font>
    <font>
      <sz val="7"/>
      <color theme="4" tint="-0.249977111117893"/>
      <name val="Arial"/>
      <family val="2"/>
    </font>
    <font>
      <b/>
      <sz val="10"/>
      <color theme="1"/>
      <name val="Arial"/>
      <family val="2"/>
    </font>
    <font>
      <b/>
      <sz val="8"/>
      <color theme="1"/>
      <name val="Arial"/>
      <family val="2"/>
    </font>
    <font>
      <b/>
      <sz val="9"/>
      <color theme="1"/>
      <name val="Arial"/>
      <family val="2"/>
    </font>
    <font>
      <sz val="10"/>
      <color theme="1"/>
      <name val="Arial"/>
      <family val="2"/>
    </font>
    <font>
      <b/>
      <sz val="12"/>
      <color theme="0"/>
      <name val="Arial"/>
      <family val="2"/>
    </font>
    <font>
      <sz val="12"/>
      <color theme="0"/>
      <name val="Calibri"/>
      <family val="2"/>
      <scheme val="minor"/>
    </font>
    <font>
      <b/>
      <u/>
      <sz val="12"/>
      <color theme="0"/>
      <name val="Calibri"/>
      <family val="2"/>
      <scheme val="minor"/>
    </font>
    <font>
      <b/>
      <i/>
      <sz val="10"/>
      <color theme="0"/>
      <name val="Calibri"/>
      <family val="2"/>
      <scheme val="minor"/>
    </font>
  </fonts>
  <fills count="20">
    <fill>
      <patternFill patternType="none"/>
    </fill>
    <fill>
      <patternFill patternType="gray125"/>
    </fill>
    <fill>
      <patternFill patternType="solid">
        <fgColor rgb="FF002E6E"/>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2" tint="-4.9989318521683403E-2"/>
        <bgColor rgb="FFD9D9D9"/>
      </patternFill>
    </fill>
    <fill>
      <patternFill patternType="solid">
        <fgColor theme="2" tint="-4.9989318521683403E-2"/>
        <bgColor indexed="64"/>
      </patternFill>
    </fill>
    <fill>
      <patternFill patternType="solid">
        <fgColor theme="0" tint="-0.34998626667073579"/>
        <bgColor rgb="FFD9D9D9"/>
      </patternFill>
    </fill>
    <fill>
      <patternFill patternType="solid">
        <fgColor theme="0" tint="-0.34998626667073579"/>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8" tint="0.39997558519241921"/>
        <bgColor indexed="65"/>
      </patternFill>
    </fill>
    <fill>
      <patternFill patternType="solid">
        <fgColor rgb="FF008080"/>
        <bgColor indexed="64"/>
      </patternFill>
    </fill>
    <fill>
      <patternFill patternType="solid">
        <fgColor rgb="FFFFFFFF"/>
        <bgColor rgb="FF000000"/>
      </patternFill>
    </fill>
    <fill>
      <patternFill patternType="solid">
        <fgColor theme="1"/>
        <bgColor indexed="64"/>
      </patternFill>
    </fill>
    <fill>
      <patternFill patternType="solid">
        <fgColor theme="0" tint="-0.14999847407452621"/>
        <bgColor rgb="FFD9D9D9"/>
      </patternFill>
    </fill>
  </fills>
  <borders count="7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style="thin">
        <color theme="0"/>
      </left>
      <right style="thin">
        <color indexed="64"/>
      </right>
      <top style="thin">
        <color indexed="64"/>
      </top>
      <bottom style="thin">
        <color theme="0"/>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0"/>
      </left>
      <right style="thin">
        <color theme="0"/>
      </right>
      <top style="thin">
        <color indexed="64"/>
      </top>
      <bottom style="thin">
        <color theme="0"/>
      </bottom>
      <diagonal/>
    </border>
    <border>
      <left/>
      <right/>
      <top style="thin">
        <color indexed="64"/>
      </top>
      <bottom style="thin">
        <color theme="0"/>
      </bottom>
      <diagonal/>
    </border>
    <border>
      <left style="thin">
        <color theme="0"/>
      </left>
      <right style="thin">
        <color indexed="64"/>
      </right>
      <top style="thin">
        <color indexed="64"/>
      </top>
      <bottom/>
      <diagonal/>
    </border>
    <border>
      <left style="thin">
        <color indexed="64"/>
      </left>
      <right style="thin">
        <color theme="0"/>
      </right>
      <top style="thin">
        <color theme="0"/>
      </top>
      <bottom style="thin">
        <color indexed="64"/>
      </bottom>
      <diagonal/>
    </border>
    <border>
      <left/>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theme="0"/>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bottom style="thin">
        <color indexed="64"/>
      </bottom>
      <diagonal/>
    </border>
    <border>
      <left/>
      <right/>
      <top style="thick">
        <color auto="1"/>
      </top>
      <bottom/>
      <diagonal/>
    </border>
    <border>
      <left/>
      <right/>
      <top/>
      <bottom style="thick">
        <color auto="1"/>
      </bottom>
      <diagonal/>
    </border>
    <border>
      <left style="medium">
        <color indexed="64"/>
      </left>
      <right/>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right/>
      <top/>
      <bottom style="thick">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rgb="FF002060"/>
      </top>
      <bottom style="thin">
        <color rgb="FF002060"/>
      </bottom>
      <diagonal/>
    </border>
    <border>
      <left style="thin">
        <color indexed="64"/>
      </left>
      <right style="hair">
        <color indexed="64"/>
      </right>
      <top/>
      <bottom style="thin">
        <color indexed="64"/>
      </bottom>
      <diagonal/>
    </border>
    <border>
      <left/>
      <right style="thin">
        <color rgb="FF000000"/>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style="thin">
        <color theme="0"/>
      </right>
      <top style="thin">
        <color indexed="64"/>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s>
  <cellStyleXfs count="21">
    <xf numFmtId="0" fontId="0" fillId="0" borderId="0"/>
    <xf numFmtId="9" fontId="1" fillId="0" borderId="0" applyFont="0" applyFill="0" applyBorder="0" applyAlignment="0" applyProtection="0"/>
    <xf numFmtId="0" fontId="4" fillId="0" borderId="0"/>
    <xf numFmtId="9" fontId="4" fillId="0" borderId="0" applyFont="0" applyFill="0" applyBorder="0" applyAlignment="0" applyProtection="0"/>
    <xf numFmtId="0" fontId="18" fillId="0" borderId="0"/>
    <xf numFmtId="0" fontId="24"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1" fillId="0" borderId="0"/>
    <xf numFmtId="0" fontId="1" fillId="0" borderId="0"/>
    <xf numFmtId="44" fontId="8" fillId="0" borderId="0" applyFont="0" applyFill="0" applyBorder="0" applyAlignment="0" applyProtection="0"/>
    <xf numFmtId="0" fontId="1" fillId="0" borderId="0"/>
    <xf numFmtId="9" fontId="1" fillId="0" borderId="0" applyFont="0" applyFill="0" applyBorder="0" applyAlignment="0" applyProtection="0"/>
    <xf numFmtId="43" fontId="8" fillId="0" borderId="0" applyFont="0" applyFill="0" applyBorder="0" applyAlignment="0" applyProtection="0"/>
    <xf numFmtId="0" fontId="1" fillId="0" borderId="0"/>
    <xf numFmtId="0" fontId="50" fillId="0" borderId="0" applyNumberFormat="0" applyFill="0" applyBorder="0" applyAlignment="0" applyProtection="0"/>
    <xf numFmtId="0" fontId="50" fillId="0" borderId="0" applyNumberFormat="0" applyFill="0" applyBorder="0" applyAlignment="0" applyProtection="0"/>
    <xf numFmtId="0" fontId="17" fillId="15"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842">
    <xf numFmtId="0" fontId="0" fillId="0" borderId="0" xfId="0"/>
    <xf numFmtId="0" fontId="4" fillId="0" borderId="0" xfId="2"/>
    <xf numFmtId="10" fontId="6" fillId="0" borderId="2" xfId="3" applyNumberFormat="1" applyFont="1" applyBorder="1" applyAlignment="1">
      <alignment horizontal="center" vertical="center" wrapText="1"/>
    </xf>
    <xf numFmtId="0" fontId="7" fillId="0" borderId="0" xfId="2" applyFont="1" applyAlignment="1">
      <alignment horizontal="left" vertical="top"/>
    </xf>
    <xf numFmtId="0" fontId="0" fillId="3" borderId="2" xfId="0" applyFill="1" applyBorder="1"/>
    <xf numFmtId="0" fontId="0" fillId="3" borderId="0" xfId="0" applyFill="1"/>
    <xf numFmtId="0" fontId="0" fillId="3" borderId="8" xfId="0" applyFill="1" applyBorder="1"/>
    <xf numFmtId="0" fontId="0" fillId="3" borderId="9" xfId="0" applyFill="1" applyBorder="1"/>
    <xf numFmtId="0" fontId="0" fillId="3" borderId="10" xfId="0" applyFill="1" applyBorder="1"/>
    <xf numFmtId="0" fontId="0" fillId="3" borderId="11" xfId="0" applyFill="1" applyBorder="1"/>
    <xf numFmtId="0" fontId="3" fillId="3" borderId="11" xfId="0" applyFont="1" applyFill="1" applyBorder="1"/>
    <xf numFmtId="17" fontId="10" fillId="3" borderId="12" xfId="0" applyNumberFormat="1" applyFont="1" applyFill="1" applyBorder="1"/>
    <xf numFmtId="0" fontId="10" fillId="3" borderId="12" xfId="0" applyFont="1" applyFill="1" applyBorder="1"/>
    <xf numFmtId="0" fontId="10" fillId="3" borderId="12" xfId="0" applyFont="1" applyFill="1" applyBorder="1" applyAlignment="1">
      <alignment horizontal="right"/>
    </xf>
    <xf numFmtId="0" fontId="3" fillId="3" borderId="13" xfId="0" applyFont="1" applyFill="1" applyBorder="1" applyAlignment="1">
      <alignment horizontal="left"/>
    </xf>
    <xf numFmtId="0" fontId="3" fillId="3" borderId="14" xfId="0" applyFont="1" applyFill="1" applyBorder="1" applyAlignment="1">
      <alignment horizontal="center"/>
    </xf>
    <xf numFmtId="0" fontId="10" fillId="3" borderId="14" xfId="0" applyFont="1" applyFill="1" applyBorder="1" applyAlignment="1">
      <alignment horizontal="right"/>
    </xf>
    <xf numFmtId="0" fontId="10" fillId="3" borderId="10" xfId="0" applyFont="1" applyFill="1" applyBorder="1" applyAlignment="1">
      <alignment horizontal="center"/>
    </xf>
    <xf numFmtId="0" fontId="3" fillId="3" borderId="8" xfId="0" applyFont="1" applyFill="1" applyBorder="1" applyAlignment="1">
      <alignment horizontal="center"/>
    </xf>
    <xf numFmtId="0" fontId="3" fillId="3" borderId="10" xfId="0" applyFont="1" applyFill="1" applyBorder="1" applyAlignment="1">
      <alignment horizontal="center"/>
    </xf>
    <xf numFmtId="0" fontId="3" fillId="3" borderId="13" xfId="0" applyFont="1" applyFill="1" applyBorder="1"/>
    <xf numFmtId="0" fontId="3" fillId="3" borderId="17" xfId="0" applyFont="1" applyFill="1" applyBorder="1"/>
    <xf numFmtId="0" fontId="3" fillId="3" borderId="18" xfId="0" applyFont="1" applyFill="1" applyBorder="1"/>
    <xf numFmtId="0" fontId="3" fillId="3" borderId="19" xfId="0" applyFont="1" applyFill="1" applyBorder="1"/>
    <xf numFmtId="0" fontId="3" fillId="3" borderId="2" xfId="0" applyFont="1" applyFill="1" applyBorder="1" applyAlignment="1">
      <alignment horizontal="center"/>
    </xf>
    <xf numFmtId="0" fontId="3" fillId="3" borderId="4" xfId="0" applyFont="1" applyFill="1" applyBorder="1" applyAlignment="1">
      <alignment horizontal="center" vertical="top"/>
    </xf>
    <xf numFmtId="0" fontId="3" fillId="3" borderId="20" xfId="0" applyFont="1" applyFill="1" applyBorder="1"/>
    <xf numFmtId="0" fontId="3" fillId="3" borderId="21" xfId="0" applyFont="1" applyFill="1" applyBorder="1"/>
    <xf numFmtId="0" fontId="3" fillId="3" borderId="22" xfId="0" applyFont="1" applyFill="1" applyBorder="1"/>
    <xf numFmtId="0" fontId="3" fillId="3" borderId="23" xfId="0" applyFont="1" applyFill="1" applyBorder="1"/>
    <xf numFmtId="0" fontId="3" fillId="3" borderId="24" xfId="0" applyFont="1" applyFill="1" applyBorder="1" applyAlignment="1">
      <alignment horizontal="center" vertical="top"/>
    </xf>
    <xf numFmtId="0" fontId="0" fillId="3" borderId="16" xfId="0" applyFill="1" applyBorder="1" applyAlignment="1">
      <alignment horizontal="center" vertical="center"/>
    </xf>
    <xf numFmtId="4" fontId="0" fillId="3" borderId="4" xfId="0" applyNumberFormat="1" applyFill="1" applyBorder="1"/>
    <xf numFmtId="4" fontId="0" fillId="3" borderId="6" xfId="0" applyNumberFormat="1" applyFill="1" applyBorder="1"/>
    <xf numFmtId="4" fontId="0" fillId="3" borderId="10" xfId="0" applyNumberFormat="1" applyFill="1" applyBorder="1"/>
    <xf numFmtId="0" fontId="0" fillId="3" borderId="16" xfId="0" applyFill="1" applyBorder="1"/>
    <xf numFmtId="0" fontId="0" fillId="3" borderId="6" xfId="0" applyFill="1" applyBorder="1"/>
    <xf numFmtId="0" fontId="0" fillId="3" borderId="25" xfId="0" applyFill="1" applyBorder="1"/>
    <xf numFmtId="0" fontId="0" fillId="3" borderId="26" xfId="0" applyFill="1" applyBorder="1"/>
    <xf numFmtId="0" fontId="0" fillId="3" borderId="5" xfId="0" applyFill="1" applyBorder="1"/>
    <xf numFmtId="4" fontId="0" fillId="3" borderId="5" xfId="0" applyNumberFormat="1" applyFill="1" applyBorder="1"/>
    <xf numFmtId="4" fontId="0" fillId="3" borderId="26" xfId="0" applyNumberFormat="1" applyFill="1" applyBorder="1"/>
    <xf numFmtId="0" fontId="3" fillId="3" borderId="3" xfId="0" applyFont="1" applyFill="1" applyBorder="1"/>
    <xf numFmtId="0" fontId="0" fillId="3" borderId="27" xfId="0" applyFill="1" applyBorder="1"/>
    <xf numFmtId="4" fontId="0" fillId="3" borderId="27" xfId="0" applyNumberFormat="1" applyFill="1" applyBorder="1"/>
    <xf numFmtId="4" fontId="0" fillId="3" borderId="1" xfId="0" applyNumberFormat="1" applyFill="1" applyBorder="1"/>
    <xf numFmtId="4" fontId="0" fillId="3" borderId="2" xfId="0" applyNumberFormat="1" applyFill="1" applyBorder="1"/>
    <xf numFmtId="0" fontId="3" fillId="3" borderId="3" xfId="0" applyFont="1" applyFill="1" applyBorder="1" applyAlignment="1">
      <alignment vertical="center"/>
    </xf>
    <xf numFmtId="0" fontId="3" fillId="3" borderId="2" xfId="0" applyFont="1" applyFill="1" applyBorder="1" applyAlignment="1">
      <alignment horizontal="center" vertical="center" wrapText="1"/>
    </xf>
    <xf numFmtId="0" fontId="0" fillId="3" borderId="0" xfId="0" applyFill="1" applyAlignment="1">
      <alignment vertical="center"/>
    </xf>
    <xf numFmtId="0" fontId="12" fillId="3" borderId="10" xfId="0" applyFont="1" applyFill="1" applyBorder="1" applyAlignment="1">
      <alignment horizontal="center"/>
    </xf>
    <xf numFmtId="2" fontId="0" fillId="3" borderId="16" xfId="0" applyNumberFormat="1" applyFill="1" applyBorder="1"/>
    <xf numFmtId="9" fontId="12" fillId="3" borderId="0" xfId="1" applyFont="1" applyFill="1" applyBorder="1"/>
    <xf numFmtId="0" fontId="0" fillId="3" borderId="0" xfId="0" applyFill="1" applyAlignment="1">
      <alignment horizontal="center"/>
    </xf>
    <xf numFmtId="4" fontId="0" fillId="3" borderId="6" xfId="0" applyNumberFormat="1" applyFill="1" applyBorder="1" applyAlignment="1">
      <alignment horizontal="center"/>
    </xf>
    <xf numFmtId="4" fontId="0" fillId="3" borderId="8" xfId="0" applyNumberFormat="1" applyFill="1" applyBorder="1"/>
    <xf numFmtId="4" fontId="0" fillId="3" borderId="5" xfId="0" applyNumberFormat="1" applyFill="1" applyBorder="1" applyAlignment="1">
      <alignment horizontal="center"/>
    </xf>
    <xf numFmtId="0" fontId="2" fillId="3" borderId="27" xfId="0" applyFont="1" applyFill="1" applyBorder="1"/>
    <xf numFmtId="0" fontId="0" fillId="3" borderId="1" xfId="0" applyFill="1" applyBorder="1"/>
    <xf numFmtId="0" fontId="0" fillId="3" borderId="3" xfId="0" applyFill="1" applyBorder="1"/>
    <xf numFmtId="0" fontId="3" fillId="3" borderId="4" xfId="0" applyFont="1" applyFill="1" applyBorder="1" applyAlignment="1">
      <alignment horizontal="center"/>
    </xf>
    <xf numFmtId="0" fontId="3" fillId="3" borderId="4" xfId="0" applyFont="1" applyFill="1" applyBorder="1" applyAlignment="1">
      <alignment horizontal="center" wrapText="1"/>
    </xf>
    <xf numFmtId="0" fontId="3" fillId="3" borderId="14" xfId="0" applyFont="1" applyFill="1" applyBorder="1"/>
    <xf numFmtId="0" fontId="3" fillId="3" borderId="15" xfId="0" applyFont="1" applyFill="1" applyBorder="1"/>
    <xf numFmtId="0" fontId="3" fillId="3" borderId="25" xfId="0" applyFont="1" applyFill="1" applyBorder="1"/>
    <xf numFmtId="0" fontId="3" fillId="3" borderId="8" xfId="0" applyFont="1" applyFill="1" applyBorder="1"/>
    <xf numFmtId="0" fontId="3" fillId="3" borderId="26" xfId="0" applyFont="1" applyFill="1" applyBorder="1"/>
    <xf numFmtId="0" fontId="3" fillId="3" borderId="5" xfId="0" applyFont="1" applyFill="1" applyBorder="1" applyAlignment="1">
      <alignment horizontal="center"/>
    </xf>
    <xf numFmtId="0" fontId="0" fillId="3" borderId="14" xfId="0" applyFill="1" applyBorder="1"/>
    <xf numFmtId="0" fontId="3" fillId="3" borderId="27" xfId="0" applyFont="1" applyFill="1" applyBorder="1"/>
    <xf numFmtId="4" fontId="3" fillId="3" borderId="2" xfId="0" applyNumberFormat="1" applyFont="1" applyFill="1" applyBorder="1"/>
    <xf numFmtId="10" fontId="3" fillId="3" borderId="27" xfId="0" applyNumberFormat="1" applyFont="1" applyFill="1" applyBorder="1"/>
    <xf numFmtId="0" fontId="13" fillId="0" borderId="0" xfId="0" applyFont="1"/>
    <xf numFmtId="0" fontId="13" fillId="0" borderId="0" xfId="0" applyFont="1" applyAlignment="1">
      <alignment horizontal="center"/>
    </xf>
    <xf numFmtId="0" fontId="14" fillId="0" borderId="33" xfId="0" applyFont="1" applyBorder="1" applyAlignment="1">
      <alignment horizontal="center" vertical="center" wrapText="1"/>
    </xf>
    <xf numFmtId="0" fontId="14" fillId="0" borderId="5" xfId="0" applyFont="1" applyBorder="1" applyAlignment="1">
      <alignment vertical="center" wrapText="1"/>
    </xf>
    <xf numFmtId="0" fontId="13" fillId="0" borderId="2" xfId="0" applyFont="1" applyBorder="1" applyAlignment="1">
      <alignment vertical="center" wrapText="1"/>
    </xf>
    <xf numFmtId="0" fontId="13" fillId="0" borderId="32" xfId="0" applyFont="1" applyBorder="1" applyAlignment="1">
      <alignment vertical="center" wrapText="1"/>
    </xf>
    <xf numFmtId="0" fontId="13" fillId="0" borderId="0" xfId="0" applyFont="1" applyAlignment="1">
      <alignment vertical="center" wrapText="1"/>
    </xf>
    <xf numFmtId="0" fontId="13" fillId="0" borderId="33" xfId="0" applyFont="1" applyBorder="1" applyAlignment="1">
      <alignment vertical="center" wrapText="1"/>
    </xf>
    <xf numFmtId="0" fontId="13" fillId="0" borderId="5" xfId="0" applyFont="1" applyBorder="1" applyAlignment="1">
      <alignment vertical="center" wrapText="1"/>
    </xf>
    <xf numFmtId="0" fontId="13" fillId="0" borderId="30" xfId="0" applyFont="1" applyBorder="1" applyAlignment="1">
      <alignment vertical="center" wrapText="1"/>
    </xf>
    <xf numFmtId="0" fontId="13" fillId="0" borderId="31" xfId="0" applyFont="1" applyBorder="1" applyAlignment="1">
      <alignment vertical="center" wrapText="1"/>
    </xf>
    <xf numFmtId="0" fontId="3" fillId="3" borderId="27" xfId="0" applyFont="1" applyFill="1" applyBorder="1" applyAlignment="1">
      <alignment vertical="center"/>
    </xf>
    <xf numFmtId="0" fontId="3" fillId="3" borderId="2" xfId="0" applyFont="1" applyFill="1" applyBorder="1" applyAlignment="1">
      <alignment horizontal="center" vertical="center"/>
    </xf>
    <xf numFmtId="0" fontId="14" fillId="0" borderId="0" xfId="0" applyFont="1" applyAlignment="1">
      <alignment vertical="center" wrapText="1"/>
    </xf>
    <xf numFmtId="0" fontId="14" fillId="0" borderId="0" xfId="0" applyFont="1" applyAlignment="1">
      <alignment horizontal="center" vertical="center" wrapText="1"/>
    </xf>
    <xf numFmtId="0" fontId="0" fillId="3" borderId="0" xfId="0" applyFill="1" applyAlignment="1">
      <alignment horizontal="center" vertical="center"/>
    </xf>
    <xf numFmtId="0" fontId="0" fillId="3" borderId="27" xfId="0" applyFill="1" applyBorder="1" applyAlignment="1">
      <alignment vertical="center"/>
    </xf>
    <xf numFmtId="2" fontId="0" fillId="3" borderId="2" xfId="0" applyNumberFormat="1" applyFill="1" applyBorder="1" applyAlignment="1">
      <alignment horizontal="center" vertical="center" wrapText="1"/>
    </xf>
    <xf numFmtId="0" fontId="0" fillId="3" borderId="0" xfId="0" applyFill="1" applyAlignment="1">
      <alignment vertical="center" wrapText="1"/>
    </xf>
    <xf numFmtId="0" fontId="0" fillId="3" borderId="34" xfId="0" applyFill="1" applyBorder="1" applyAlignment="1">
      <alignment horizontal="center" vertical="center"/>
    </xf>
    <xf numFmtId="0" fontId="0" fillId="3" borderId="35" xfId="0" applyFill="1" applyBorder="1" applyAlignment="1">
      <alignment horizontal="center" vertical="center"/>
    </xf>
    <xf numFmtId="0" fontId="0" fillId="3" borderId="2" xfId="0" applyFill="1" applyBorder="1" applyAlignment="1">
      <alignment horizontal="center" vertical="center"/>
    </xf>
    <xf numFmtId="2" fontId="10" fillId="3" borderId="15" xfId="0" applyNumberFormat="1" applyFont="1" applyFill="1" applyBorder="1" applyAlignment="1">
      <alignment horizontal="center"/>
    </xf>
    <xf numFmtId="0" fontId="11" fillId="3" borderId="27"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vertical="center" wrapText="1"/>
    </xf>
    <xf numFmtId="0" fontId="6" fillId="0" borderId="2" xfId="0" applyFont="1" applyBorder="1" applyAlignment="1">
      <alignment horizontal="center" vertical="center" wrapText="1"/>
    </xf>
    <xf numFmtId="4" fontId="6" fillId="0" borderId="2" xfId="0" applyNumberFormat="1" applyFont="1" applyBorder="1" applyAlignment="1">
      <alignment horizontal="right" vertical="center" wrapText="1"/>
    </xf>
    <xf numFmtId="4" fontId="6" fillId="0" borderId="3" xfId="0" applyNumberFormat="1" applyFont="1" applyBorder="1" applyAlignment="1">
      <alignment horizontal="right" vertical="center" wrapText="1"/>
    </xf>
    <xf numFmtId="4" fontId="0" fillId="3" borderId="4" xfId="0" applyNumberFormat="1" applyFill="1" applyBorder="1" applyAlignment="1">
      <alignment horizontal="center"/>
    </xf>
    <xf numFmtId="4" fontId="0" fillId="3" borderId="4" xfId="0" applyNumberFormat="1" applyFill="1" applyBorder="1" applyAlignment="1">
      <alignment horizontal="center" vertical="center"/>
    </xf>
    <xf numFmtId="4" fontId="0" fillId="3" borderId="6" xfId="0" applyNumberFormat="1" applyFill="1" applyBorder="1" applyAlignment="1">
      <alignment horizontal="center" vertical="center"/>
    </xf>
    <xf numFmtId="0" fontId="3" fillId="6" borderId="2"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0" fillId="0" borderId="0" xfId="0" applyAlignment="1">
      <alignment horizontal="center" vertical="center" wrapText="1"/>
    </xf>
    <xf numFmtId="0" fontId="3" fillId="6" borderId="5" xfId="0" quotePrefix="1" applyFont="1" applyFill="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left" vertical="center" wrapText="1"/>
    </xf>
    <xf numFmtId="164" fontId="0" fillId="0" borderId="3" xfId="0" applyNumberFormat="1" applyBorder="1" applyAlignment="1">
      <alignment horizontal="center" vertical="center" wrapText="1"/>
    </xf>
    <xf numFmtId="0" fontId="0" fillId="0" borderId="3" xfId="0" applyBorder="1" applyAlignment="1">
      <alignment horizontal="center" vertical="center" wrapText="1"/>
    </xf>
    <xf numFmtId="4" fontId="0" fillId="0" borderId="0" xfId="0" applyNumberFormat="1"/>
    <xf numFmtId="4" fontId="19" fillId="0" borderId="0" xfId="0" applyNumberFormat="1" applyFont="1"/>
    <xf numFmtId="4" fontId="0" fillId="0" borderId="0" xfId="0" applyNumberFormat="1" applyAlignment="1">
      <alignment horizontal="center" vertical="center" wrapText="1"/>
    </xf>
    <xf numFmtId="0" fontId="3" fillId="6" borderId="3" xfId="0" applyFont="1" applyFill="1" applyBorder="1" applyAlignment="1">
      <alignment horizontal="center" vertical="center" wrapText="1"/>
    </xf>
    <xf numFmtId="165" fontId="0" fillId="0" borderId="3" xfId="0" applyNumberFormat="1" applyBorder="1" applyAlignment="1">
      <alignment horizontal="center" vertical="center" wrapText="1"/>
    </xf>
    <xf numFmtId="4" fontId="0" fillId="3" borderId="4" xfId="0" applyNumberFormat="1" applyFill="1" applyBorder="1" applyAlignment="1">
      <alignment vertical="center"/>
    </xf>
    <xf numFmtId="4" fontId="0" fillId="3" borderId="6" xfId="0" applyNumberForma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3" borderId="36" xfId="0" applyFill="1" applyBorder="1" applyAlignment="1">
      <alignment horizontal="center" vertical="center"/>
    </xf>
    <xf numFmtId="0" fontId="21" fillId="3" borderId="4" xfId="0" applyFont="1" applyFill="1" applyBorder="1" applyAlignment="1">
      <alignment horizontal="center" vertical="center" wrapText="1"/>
    </xf>
    <xf numFmtId="0" fontId="21" fillId="3" borderId="4" xfId="0" applyFont="1" applyFill="1" applyBorder="1" applyAlignment="1">
      <alignment horizontal="center" wrapText="1"/>
    </xf>
    <xf numFmtId="0" fontId="21" fillId="3" borderId="4" xfId="2" applyFont="1" applyFill="1" applyBorder="1" applyAlignment="1">
      <alignment horizontal="center" textRotation="90"/>
    </xf>
    <xf numFmtId="0" fontId="21" fillId="3" borderId="13" xfId="2" applyFont="1" applyFill="1" applyBorder="1" applyAlignment="1">
      <alignment horizontal="center" textRotation="90"/>
    </xf>
    <xf numFmtId="0" fontId="21" fillId="3" borderId="0" xfId="0" applyFont="1" applyFill="1" applyAlignment="1">
      <alignment vertical="center"/>
    </xf>
    <xf numFmtId="1" fontId="0" fillId="3" borderId="34" xfId="0" applyNumberFormat="1" applyFill="1" applyBorder="1" applyAlignment="1">
      <alignment horizontal="center" vertical="center" wrapText="1"/>
    </xf>
    <xf numFmtId="1" fontId="0" fillId="3" borderId="35" xfId="0" applyNumberFormat="1" applyFill="1" applyBorder="1" applyAlignment="1">
      <alignment horizontal="center" vertical="center"/>
    </xf>
    <xf numFmtId="0" fontId="17" fillId="7" borderId="0" xfId="0" applyFont="1" applyFill="1" applyAlignment="1">
      <alignment vertical="center"/>
    </xf>
    <xf numFmtId="0" fontId="25" fillId="0" borderId="38" xfId="5" applyFont="1" applyBorder="1" applyAlignment="1">
      <alignment horizontal="left"/>
    </xf>
    <xf numFmtId="0" fontId="24" fillId="0" borderId="38" xfId="5" applyBorder="1"/>
    <xf numFmtId="0" fontId="26" fillId="0" borderId="38" xfId="5" applyFont="1" applyBorder="1" applyAlignment="1">
      <alignment horizontal="left" vertical="center"/>
    </xf>
    <xf numFmtId="0" fontId="27" fillId="0" borderId="38" xfId="5" applyFont="1" applyBorder="1" applyAlignment="1">
      <alignment horizontal="right"/>
    </xf>
    <xf numFmtId="0" fontId="26" fillId="0" borderId="38" xfId="5" applyFont="1" applyBorder="1" applyAlignment="1">
      <alignment horizontal="left"/>
    </xf>
    <xf numFmtId="0" fontId="26" fillId="0" borderId="0" xfId="5" applyFont="1" applyAlignment="1">
      <alignment horizontal="left" vertical="center"/>
    </xf>
    <xf numFmtId="0" fontId="24" fillId="0" borderId="0" xfId="5"/>
    <xf numFmtId="0" fontId="26" fillId="0" borderId="0" xfId="5" applyFont="1" applyAlignment="1">
      <alignment horizontal="right"/>
    </xf>
    <xf numFmtId="0" fontId="24" fillId="0" borderId="14" xfId="5" applyBorder="1"/>
    <xf numFmtId="0" fontId="28" fillId="0" borderId="14" xfId="5" applyFont="1" applyBorder="1" applyAlignment="1">
      <alignment horizontal="center"/>
    </xf>
    <xf numFmtId="0" fontId="24" fillId="0" borderId="8" xfId="5" applyBorder="1"/>
    <xf numFmtId="0" fontId="28" fillId="0" borderId="27" xfId="5" applyFont="1" applyBorder="1" applyAlignment="1">
      <alignment horizontal="center"/>
    </xf>
    <xf numFmtId="0" fontId="28" fillId="0" borderId="8" xfId="5" applyFont="1" applyBorder="1" applyAlignment="1">
      <alignment horizontal="center"/>
    </xf>
    <xf numFmtId="0" fontId="29" fillId="0" borderId="0" xfId="5" applyFont="1" applyAlignment="1">
      <alignment horizontal="center" vertical="center"/>
    </xf>
    <xf numFmtId="0" fontId="29" fillId="0" borderId="0" xfId="5" applyFont="1" applyAlignment="1">
      <alignment horizontal="left" vertical="center" wrapText="1"/>
    </xf>
    <xf numFmtId="166" fontId="29" fillId="0" borderId="0" xfId="5" applyNumberFormat="1" applyFont="1" applyAlignment="1">
      <alignment horizontal="center" vertical="center"/>
    </xf>
    <xf numFmtId="4" fontId="29" fillId="0" borderId="0" xfId="5" applyNumberFormat="1" applyFont="1" applyAlignment="1">
      <alignment horizontal="center" vertical="center"/>
    </xf>
    <xf numFmtId="164" fontId="29" fillId="0" borderId="0" xfId="5" applyNumberFormat="1" applyFont="1" applyAlignment="1">
      <alignment horizontal="right" vertical="center"/>
    </xf>
    <xf numFmtId="0" fontId="28" fillId="0" borderId="0" xfId="5" applyFont="1" applyAlignment="1">
      <alignment horizontal="right" vertical="center"/>
    </xf>
    <xf numFmtId="0" fontId="28" fillId="0" borderId="27" xfId="5" applyFont="1" applyBorder="1" applyAlignment="1">
      <alignment horizontal="left"/>
    </xf>
    <xf numFmtId="0" fontId="24" fillId="0" borderId="27" xfId="5" applyBorder="1"/>
    <xf numFmtId="0" fontId="28" fillId="0" borderId="27" xfId="5" applyFont="1" applyBorder="1" applyAlignment="1">
      <alignment horizontal="right" vertical="center"/>
    </xf>
    <xf numFmtId="0" fontId="29" fillId="0" borderId="0" xfId="5" applyFont="1" applyAlignment="1">
      <alignment horizontal="center" vertical="center" wrapText="1"/>
    </xf>
    <xf numFmtId="166" fontId="29" fillId="0" borderId="0" xfId="5" applyNumberFormat="1" applyFont="1" applyAlignment="1">
      <alignment horizontal="center" vertical="center" wrapText="1"/>
    </xf>
    <xf numFmtId="164" fontId="28" fillId="0" borderId="0" xfId="5" applyNumberFormat="1" applyFont="1" applyAlignment="1">
      <alignment horizontal="right" vertical="center"/>
    </xf>
    <xf numFmtId="0" fontId="28" fillId="0" borderId="14" xfId="5" applyFont="1" applyBorder="1" applyAlignment="1">
      <alignment horizontal="right" vertical="center"/>
    </xf>
    <xf numFmtId="167" fontId="28" fillId="0" borderId="14" xfId="5" applyNumberFormat="1" applyFont="1" applyBorder="1" applyAlignment="1">
      <alignment horizontal="right" vertical="center"/>
    </xf>
    <xf numFmtId="164" fontId="28" fillId="0" borderId="27" xfId="5" applyNumberFormat="1" applyFont="1" applyBorder="1" applyAlignment="1">
      <alignment horizontal="right" vertical="center"/>
    </xf>
    <xf numFmtId="166" fontId="28" fillId="0" borderId="27" xfId="5" applyNumberFormat="1" applyFont="1" applyBorder="1" applyAlignment="1">
      <alignment horizontal="center"/>
    </xf>
    <xf numFmtId="164" fontId="24" fillId="0" borderId="8" xfId="5" applyNumberFormat="1" applyBorder="1"/>
    <xf numFmtId="0" fontId="24" fillId="0" borderId="39" xfId="5" applyBorder="1"/>
    <xf numFmtId="0" fontId="28" fillId="0" borderId="39" xfId="5" applyFont="1" applyBorder="1" applyAlignment="1">
      <alignment horizontal="right" vertical="center"/>
    </xf>
    <xf numFmtId="4" fontId="28" fillId="0" borderId="39" xfId="5" applyNumberFormat="1" applyFont="1" applyBorder="1" applyAlignment="1">
      <alignment horizontal="right" vertical="center"/>
    </xf>
    <xf numFmtId="0" fontId="0" fillId="0" borderId="0" xfId="0" applyAlignment="1">
      <alignment wrapText="1"/>
    </xf>
    <xf numFmtId="0" fontId="29" fillId="0" borderId="0" xfId="5" applyFont="1" applyAlignment="1">
      <alignment horizontal="left" vertical="center"/>
    </xf>
    <xf numFmtId="0" fontId="28" fillId="0" borderId="14" xfId="5" applyFont="1" applyBorder="1" applyAlignment="1">
      <alignment vertical="center"/>
    </xf>
    <xf numFmtId="0" fontId="28" fillId="0" borderId="8" xfId="5" applyFont="1" applyBorder="1" applyAlignment="1">
      <alignment vertical="center"/>
    </xf>
    <xf numFmtId="0" fontId="28" fillId="0" borderId="14" xfId="5" applyFont="1" applyBorder="1"/>
    <xf numFmtId="164" fontId="28" fillId="0" borderId="14" xfId="5" applyNumberFormat="1" applyFont="1" applyBorder="1" applyAlignment="1">
      <alignment vertical="center"/>
    </xf>
    <xf numFmtId="0" fontId="25" fillId="0" borderId="38" xfId="5" applyFont="1" applyBorder="1"/>
    <xf numFmtId="0" fontId="26" fillId="0" borderId="0" xfId="5" applyFont="1" applyAlignment="1">
      <alignment vertical="center"/>
    </xf>
    <xf numFmtId="0" fontId="26" fillId="0" borderId="38" xfId="5" applyFont="1" applyBorder="1" applyAlignment="1">
      <alignment vertical="center"/>
    </xf>
    <xf numFmtId="0" fontId="27" fillId="0" borderId="38" xfId="5" applyFont="1" applyBorder="1"/>
    <xf numFmtId="0" fontId="26" fillId="0" borderId="38" xfId="5" applyFont="1" applyBorder="1"/>
    <xf numFmtId="0" fontId="30" fillId="0" borderId="0" xfId="5" applyFont="1" applyAlignment="1">
      <alignment vertical="center"/>
    </xf>
    <xf numFmtId="0" fontId="31" fillId="3" borderId="0" xfId="6" applyFont="1" applyFill="1"/>
    <xf numFmtId="0" fontId="7" fillId="3" borderId="0" xfId="6" applyFont="1" applyFill="1" applyAlignment="1">
      <alignment horizontal="center" vertical="center"/>
    </xf>
    <xf numFmtId="0" fontId="7" fillId="0" borderId="0" xfId="6" applyFont="1" applyAlignment="1">
      <alignment horizontal="center" vertical="center"/>
    </xf>
    <xf numFmtId="0" fontId="7" fillId="0" borderId="0" xfId="6" applyFont="1" applyAlignment="1">
      <alignment horizontal="center" vertical="center" wrapText="1"/>
    </xf>
    <xf numFmtId="0" fontId="31" fillId="0" borderId="2" xfId="6" applyFont="1" applyBorder="1" applyAlignment="1">
      <alignment horizontal="center" vertical="center"/>
    </xf>
    <xf numFmtId="0" fontId="31" fillId="0" borderId="2" xfId="6" applyFont="1" applyBorder="1" applyAlignment="1">
      <alignment horizontal="left" vertical="center" wrapText="1" indent="1"/>
    </xf>
    <xf numFmtId="170" fontId="7" fillId="0" borderId="0" xfId="6" applyNumberFormat="1" applyFont="1" applyAlignment="1">
      <alignment horizontal="center" vertical="center"/>
    </xf>
    <xf numFmtId="0" fontId="7" fillId="0" borderId="0" xfId="6" applyFont="1" applyAlignment="1">
      <alignment horizontal="left" vertical="center"/>
    </xf>
    <xf numFmtId="43" fontId="7" fillId="0" borderId="0" xfId="6" applyNumberFormat="1" applyFont="1" applyAlignment="1">
      <alignment horizontal="center" vertical="center"/>
    </xf>
    <xf numFmtId="0" fontId="8" fillId="0" borderId="0" xfId="6" applyAlignment="1">
      <alignment horizontal="left" vertical="center"/>
    </xf>
    <xf numFmtId="0" fontId="38" fillId="8" borderId="3" xfId="6" applyFont="1" applyFill="1" applyBorder="1" applyAlignment="1">
      <alignment horizontal="center" vertical="center" wrapText="1"/>
    </xf>
    <xf numFmtId="0" fontId="39" fillId="0" borderId="0" xfId="6" applyFont="1" applyAlignment="1">
      <alignment vertical="center"/>
    </xf>
    <xf numFmtId="0" fontId="8" fillId="0" borderId="0" xfId="6" applyAlignment="1">
      <alignment vertical="center"/>
    </xf>
    <xf numFmtId="0" fontId="1" fillId="3" borderId="0" xfId="12" applyFill="1" applyAlignment="1">
      <alignment vertical="center"/>
    </xf>
    <xf numFmtId="0" fontId="1" fillId="3" borderId="0" xfId="12" applyFill="1" applyAlignment="1">
      <alignment horizontal="center" vertical="center"/>
    </xf>
    <xf numFmtId="0" fontId="1" fillId="3" borderId="0" xfId="12" applyFill="1" applyAlignment="1" applyProtection="1">
      <alignment vertical="center"/>
      <protection locked="0"/>
    </xf>
    <xf numFmtId="0" fontId="9" fillId="3" borderId="0" xfId="12" applyFont="1" applyFill="1" applyAlignment="1" applyProtection="1">
      <alignment vertical="center"/>
      <protection locked="0"/>
    </xf>
    <xf numFmtId="0" fontId="42" fillId="3" borderId="0" xfId="12" applyFont="1" applyFill="1" applyAlignment="1" applyProtection="1">
      <alignment vertical="center"/>
      <protection locked="0"/>
    </xf>
    <xf numFmtId="17" fontId="43" fillId="13" borderId="0" xfId="12" applyNumberFormat="1" applyFont="1" applyFill="1" applyAlignment="1" applyProtection="1">
      <alignment horizontal="left" vertical="center"/>
      <protection locked="0"/>
    </xf>
    <xf numFmtId="2" fontId="1" fillId="3" borderId="0" xfId="12" applyNumberFormat="1" applyFill="1" applyAlignment="1" applyProtection="1">
      <alignment vertical="center"/>
      <protection locked="0"/>
    </xf>
    <xf numFmtId="0" fontId="44" fillId="3" borderId="2" xfId="12" applyFont="1" applyFill="1" applyBorder="1" applyAlignment="1">
      <alignment horizontal="center" vertical="center"/>
    </xf>
    <xf numFmtId="173" fontId="43" fillId="13" borderId="0" xfId="12" applyNumberFormat="1" applyFont="1" applyFill="1" applyAlignment="1" applyProtection="1">
      <alignment horizontal="left" vertical="center"/>
      <protection locked="0"/>
    </xf>
    <xf numFmtId="0" fontId="10" fillId="3" borderId="0" xfId="12" applyFont="1" applyFill="1" applyAlignment="1">
      <alignment vertical="center"/>
    </xf>
    <xf numFmtId="0" fontId="21" fillId="3" borderId="4" xfId="12" applyFont="1" applyFill="1" applyBorder="1" applyAlignment="1">
      <alignment horizontal="left" vertical="center"/>
    </xf>
    <xf numFmtId="2" fontId="1" fillId="3" borderId="16" xfId="12" applyNumberFormat="1" applyFill="1" applyBorder="1" applyAlignment="1">
      <alignment horizontal="center" vertical="center"/>
    </xf>
    <xf numFmtId="174" fontId="43" fillId="13" borderId="0" xfId="12" applyNumberFormat="1" applyFont="1" applyFill="1" applyAlignment="1" applyProtection="1">
      <alignment horizontal="left" vertical="center"/>
      <protection locked="0"/>
    </xf>
    <xf numFmtId="2" fontId="12" fillId="3" borderId="0" xfId="12" applyNumberFormat="1" applyFont="1" applyFill="1" applyAlignment="1" applyProtection="1">
      <alignment horizontal="center" vertical="center"/>
      <protection locked="0"/>
    </xf>
    <xf numFmtId="0" fontId="10" fillId="3" borderId="0" xfId="12" applyFont="1" applyFill="1" applyAlignment="1" applyProtection="1">
      <alignment vertical="center"/>
      <protection locked="0"/>
    </xf>
    <xf numFmtId="175" fontId="21" fillId="0" borderId="6" xfId="12" applyNumberFormat="1" applyFont="1" applyBorder="1" applyAlignment="1">
      <alignment horizontal="left" vertical="center"/>
    </xf>
    <xf numFmtId="10" fontId="42" fillId="13" borderId="0" xfId="13" applyNumberFormat="1" applyFont="1" applyFill="1" applyBorder="1" applyAlignment="1" applyProtection="1">
      <alignment horizontal="left" vertical="center" wrapText="1"/>
      <protection locked="0"/>
    </xf>
    <xf numFmtId="176" fontId="21" fillId="3" borderId="6" xfId="12" applyNumberFormat="1" applyFont="1" applyFill="1" applyBorder="1" applyAlignment="1">
      <alignment horizontal="left" vertical="center"/>
    </xf>
    <xf numFmtId="0" fontId="21" fillId="3" borderId="6" xfId="12" applyFont="1" applyFill="1" applyBorder="1" applyAlignment="1">
      <alignment horizontal="left" vertical="center"/>
    </xf>
    <xf numFmtId="0" fontId="10" fillId="3" borderId="5" xfId="12" applyFont="1" applyFill="1" applyBorder="1" applyAlignment="1">
      <alignment horizontal="right" vertical="center"/>
    </xf>
    <xf numFmtId="2" fontId="10" fillId="3" borderId="5" xfId="12" applyNumberFormat="1" applyFont="1" applyFill="1" applyBorder="1" applyAlignment="1">
      <alignment horizontal="center" vertical="center"/>
    </xf>
    <xf numFmtId="2" fontId="44" fillId="3" borderId="2" xfId="12" applyNumberFormat="1" applyFont="1" applyFill="1" applyBorder="1" applyAlignment="1">
      <alignment horizontal="center" vertical="center"/>
    </xf>
    <xf numFmtId="177" fontId="21" fillId="3" borderId="6" xfId="12" applyNumberFormat="1" applyFont="1" applyFill="1" applyBorder="1" applyAlignment="1">
      <alignment horizontal="left" vertical="center"/>
    </xf>
    <xf numFmtId="2" fontId="1" fillId="3" borderId="6" xfId="12" applyNumberFormat="1" applyFill="1" applyBorder="1" applyAlignment="1">
      <alignment horizontal="center" vertical="center"/>
    </xf>
    <xf numFmtId="0" fontId="10" fillId="3" borderId="6" xfId="12" applyFont="1" applyFill="1" applyBorder="1" applyAlignment="1">
      <alignment horizontal="right" vertical="center"/>
    </xf>
    <xf numFmtId="2" fontId="10" fillId="3" borderId="6" xfId="12" applyNumberFormat="1" applyFont="1" applyFill="1" applyBorder="1" applyAlignment="1">
      <alignment horizontal="center" vertical="center"/>
    </xf>
    <xf numFmtId="2" fontId="45" fillId="13" borderId="6" xfId="12" applyNumberFormat="1" applyFont="1" applyFill="1" applyBorder="1" applyAlignment="1">
      <alignment horizontal="center" vertical="center"/>
    </xf>
    <xf numFmtId="0" fontId="49" fillId="0" borderId="0" xfId="6" applyFont="1" applyAlignment="1">
      <alignment vertical="center"/>
    </xf>
    <xf numFmtId="4" fontId="8" fillId="0" borderId="0" xfId="6" applyNumberFormat="1" applyAlignment="1">
      <alignment horizontal="center" vertical="center"/>
    </xf>
    <xf numFmtId="4" fontId="35" fillId="0" borderId="0" xfId="6" applyNumberFormat="1" applyFont="1" applyAlignment="1">
      <alignment horizontal="center"/>
    </xf>
    <xf numFmtId="0" fontId="47" fillId="0" borderId="2" xfId="6" applyFont="1" applyBorder="1" applyAlignment="1">
      <alignment horizontal="center" vertical="center"/>
    </xf>
    <xf numFmtId="0" fontId="49" fillId="0" borderId="2" xfId="6" applyFont="1" applyBorder="1" applyAlignment="1">
      <alignment horizontal="center" vertical="center"/>
    </xf>
    <xf numFmtId="43" fontId="0" fillId="0" borderId="2" xfId="7" applyFont="1" applyBorder="1" applyAlignment="1">
      <alignment horizontal="center" vertical="center"/>
    </xf>
    <xf numFmtId="0" fontId="48" fillId="0" borderId="0" xfId="6" applyFont="1" applyAlignment="1">
      <alignment horizontal="right" vertical="center"/>
    </xf>
    <xf numFmtId="0" fontId="3" fillId="6" borderId="13" xfId="0" applyFont="1" applyFill="1" applyBorder="1" applyAlignment="1">
      <alignment horizontal="center" vertical="center" wrapText="1"/>
    </xf>
    <xf numFmtId="0" fontId="51" fillId="14" borderId="0" xfId="5" applyFont="1" applyFill="1" applyAlignment="1">
      <alignment horizontal="center" vertical="center" wrapText="1"/>
    </xf>
    <xf numFmtId="0" fontId="51" fillId="14" borderId="0" xfId="5" applyFont="1" applyFill="1" applyAlignment="1">
      <alignment horizontal="left" vertical="center" wrapText="1"/>
    </xf>
    <xf numFmtId="166" fontId="51" fillId="14" borderId="0" xfId="5" applyNumberFormat="1" applyFont="1" applyFill="1" applyAlignment="1">
      <alignment horizontal="center" vertical="center" wrapText="1"/>
    </xf>
    <xf numFmtId="0" fontId="51" fillId="14" borderId="0" xfId="5" applyFont="1" applyFill="1" applyAlignment="1">
      <alignment horizontal="center" vertical="center"/>
    </xf>
    <xf numFmtId="0" fontId="17" fillId="14" borderId="0" xfId="5" applyFont="1" applyFill="1"/>
    <xf numFmtId="164" fontId="51" fillId="14" borderId="0" xfId="5" applyNumberFormat="1" applyFont="1" applyFill="1" applyAlignment="1">
      <alignment horizontal="right" vertical="center"/>
    </xf>
    <xf numFmtId="0" fontId="17" fillId="14" borderId="0" xfId="0" applyFont="1" applyFill="1" applyAlignment="1">
      <alignment wrapText="1"/>
    </xf>
    <xf numFmtId="0" fontId="17" fillId="14" borderId="0" xfId="0" applyFont="1" applyFill="1"/>
    <xf numFmtId="0" fontId="2" fillId="3" borderId="0" xfId="0" applyFont="1" applyFill="1" applyAlignment="1">
      <alignment horizontal="center" vertical="center"/>
    </xf>
    <xf numFmtId="0" fontId="52" fillId="0" borderId="0" xfId="0" applyFont="1" applyAlignment="1">
      <alignment horizontal="center" vertical="center" wrapText="1"/>
    </xf>
    <xf numFmtId="0" fontId="35" fillId="0" borderId="10" xfId="6" applyFont="1" applyBorder="1" applyAlignment="1">
      <alignment vertical="center" textRotation="90"/>
    </xf>
    <xf numFmtId="14" fontId="53" fillId="0" borderId="0" xfId="2" applyNumberFormat="1" applyFont="1"/>
    <xf numFmtId="0" fontId="54" fillId="0" borderId="0" xfId="2" applyFont="1"/>
    <xf numFmtId="0" fontId="55" fillId="0" borderId="0" xfId="2" applyFont="1" applyAlignment="1">
      <alignment horizontal="centerContinuous" vertical="center"/>
    </xf>
    <xf numFmtId="0" fontId="56" fillId="0" borderId="0" xfId="2" applyFont="1" applyAlignment="1">
      <alignment horizontal="centerContinuous"/>
    </xf>
    <xf numFmtId="0" fontId="56" fillId="0" borderId="0" xfId="2" applyFont="1" applyAlignment="1">
      <alignment horizontal="centerContinuous" vertical="center"/>
    </xf>
    <xf numFmtId="0" fontId="56" fillId="0" borderId="0" xfId="2" applyFont="1"/>
    <xf numFmtId="0" fontId="55" fillId="0" borderId="0" xfId="2" applyFont="1" applyAlignment="1">
      <alignment horizontal="centerContinuous" vertical="top"/>
    </xf>
    <xf numFmtId="0" fontId="56" fillId="0" borderId="0" xfId="2" applyFont="1" applyAlignment="1">
      <alignment horizontal="centerContinuous" vertical="top"/>
    </xf>
    <xf numFmtId="0" fontId="57" fillId="2" borderId="1" xfId="2" applyFont="1" applyFill="1" applyBorder="1" applyAlignment="1">
      <alignment horizontal="center" vertical="center" wrapText="1"/>
    </xf>
    <xf numFmtId="0" fontId="57" fillId="2" borderId="2" xfId="2" applyFont="1" applyFill="1" applyBorder="1" applyAlignment="1">
      <alignment horizontal="center" vertical="center" wrapText="1"/>
    </xf>
    <xf numFmtId="0" fontId="57" fillId="2" borderId="3" xfId="2" applyFont="1" applyFill="1" applyBorder="1" applyAlignment="1">
      <alignment horizontal="center" vertical="center" wrapText="1"/>
    </xf>
    <xf numFmtId="0" fontId="53" fillId="0" borderId="0" xfId="2" applyFont="1"/>
    <xf numFmtId="0" fontId="48" fillId="0" borderId="2" xfId="2" applyFont="1" applyBorder="1" applyAlignment="1">
      <alignment horizontal="center" vertical="center" wrapText="1"/>
    </xf>
    <xf numFmtId="0" fontId="48" fillId="0" borderId="2" xfId="2" applyFont="1" applyBorder="1" applyAlignment="1">
      <alignment vertical="center" wrapText="1"/>
    </xf>
    <xf numFmtId="4" fontId="48" fillId="0" borderId="2" xfId="2" applyNumberFormat="1" applyFont="1" applyBorder="1" applyAlignment="1">
      <alignment horizontal="right" vertical="center" wrapText="1"/>
    </xf>
    <xf numFmtId="4" fontId="48" fillId="0" borderId="3" xfId="2" applyNumberFormat="1" applyFont="1" applyBorder="1" applyAlignment="1">
      <alignment horizontal="right" vertical="center" wrapText="1"/>
    </xf>
    <xf numFmtId="0" fontId="8" fillId="0" borderId="0" xfId="2" applyFont="1" applyAlignment="1">
      <alignment horizontal="left" vertical="center"/>
    </xf>
    <xf numFmtId="0" fontId="48" fillId="0" borderId="0" xfId="2" applyFont="1" applyAlignment="1">
      <alignment horizontal="center" vertical="center" wrapText="1"/>
    </xf>
    <xf numFmtId="0" fontId="48" fillId="0" borderId="0" xfId="2" applyFont="1" applyAlignment="1">
      <alignment vertical="center" wrapText="1"/>
    </xf>
    <xf numFmtId="0" fontId="48" fillId="0" borderId="0" xfId="2" applyFont="1" applyAlignment="1">
      <alignment horizontal="right" vertical="center" wrapText="1"/>
    </xf>
    <xf numFmtId="4" fontId="54" fillId="0" borderId="3" xfId="2" applyNumberFormat="1" applyFont="1" applyBorder="1" applyAlignment="1">
      <alignment horizontal="right" vertical="center" wrapText="1"/>
    </xf>
    <xf numFmtId="0" fontId="31" fillId="6" borderId="2" xfId="6" applyFont="1" applyFill="1" applyBorder="1" applyAlignment="1">
      <alignment horizontal="center" vertical="center"/>
    </xf>
    <xf numFmtId="0" fontId="31" fillId="6" borderId="2" xfId="6" applyFont="1" applyFill="1" applyBorder="1" applyAlignment="1">
      <alignment horizontal="center" vertical="center" wrapText="1"/>
    </xf>
    <xf numFmtId="0" fontId="0" fillId="3" borderId="2" xfId="0" applyFill="1" applyBorder="1" applyAlignment="1">
      <alignment horizontal="left" vertical="center"/>
    </xf>
    <xf numFmtId="0" fontId="8" fillId="0" borderId="0" xfId="6" applyAlignment="1">
      <alignment horizontal="center" vertical="center"/>
    </xf>
    <xf numFmtId="0" fontId="59" fillId="7" borderId="0" xfId="6" applyFont="1" applyFill="1" applyAlignment="1">
      <alignment vertical="center"/>
    </xf>
    <xf numFmtId="0" fontId="47" fillId="0" borderId="43" xfId="6" applyFont="1" applyBorder="1" applyAlignment="1">
      <alignment vertical="center"/>
    </xf>
    <xf numFmtId="4" fontId="8" fillId="0" borderId="43" xfId="6" applyNumberFormat="1" applyBorder="1" applyAlignment="1">
      <alignment horizontal="center" vertical="center"/>
    </xf>
    <xf numFmtId="0" fontId="8" fillId="0" borderId="43" xfId="6" applyBorder="1" applyAlignment="1">
      <alignment vertical="center"/>
    </xf>
    <xf numFmtId="0" fontId="47" fillId="0" borderId="43" xfId="6" applyFont="1" applyBorder="1" applyAlignment="1">
      <alignment horizontal="left" vertical="center"/>
    </xf>
    <xf numFmtId="43" fontId="62" fillId="0" borderId="2" xfId="6" applyNumberFormat="1" applyFont="1" applyBorder="1" applyAlignment="1">
      <alignment vertical="center"/>
    </xf>
    <xf numFmtId="0" fontId="8" fillId="7" borderId="0" xfId="6" applyFill="1" applyAlignment="1">
      <alignment vertical="center"/>
    </xf>
    <xf numFmtId="0" fontId="35" fillId="7" borderId="0" xfId="6" applyFont="1" applyFill="1" applyAlignment="1">
      <alignment vertical="center"/>
    </xf>
    <xf numFmtId="0" fontId="63" fillId="0" borderId="2" xfId="0" applyFont="1" applyBorder="1" applyAlignment="1">
      <alignment horizontal="center" vertical="center" wrapText="1"/>
    </xf>
    <xf numFmtId="0" fontId="8" fillId="0" borderId="0" xfId="6" quotePrefix="1" applyAlignment="1">
      <alignment horizontal="center" vertical="center"/>
    </xf>
    <xf numFmtId="0" fontId="50" fillId="0" borderId="0" xfId="17" applyAlignment="1">
      <alignment horizontal="center" vertical="center"/>
    </xf>
    <xf numFmtId="0" fontId="1" fillId="0" borderId="0" xfId="15" applyAlignment="1">
      <alignment horizontal="center" vertical="center"/>
    </xf>
    <xf numFmtId="0" fontId="58" fillId="7" borderId="0" xfId="6" applyFont="1" applyFill="1" applyAlignment="1">
      <alignment horizontal="center" vertical="center"/>
    </xf>
    <xf numFmtId="0" fontId="58" fillId="7" borderId="0" xfId="6" quotePrefix="1" applyFont="1" applyFill="1" applyAlignment="1">
      <alignment horizontal="left" vertical="center"/>
    </xf>
    <xf numFmtId="0" fontId="58" fillId="7" borderId="0" xfId="6" applyFont="1" applyFill="1" applyAlignment="1">
      <alignment horizontal="left" vertical="center"/>
    </xf>
    <xf numFmtId="0" fontId="59" fillId="7" borderId="0" xfId="6" applyFont="1" applyFill="1" applyAlignment="1">
      <alignment horizontal="center" vertical="center"/>
    </xf>
    <xf numFmtId="0" fontId="59" fillId="7" borderId="0" xfId="6" quotePrefix="1" applyFont="1" applyFill="1" applyAlignment="1">
      <alignment horizontal="center" vertical="center"/>
    </xf>
    <xf numFmtId="0" fontId="31" fillId="0" borderId="0" xfId="6" applyFont="1" applyAlignment="1">
      <alignment horizontal="center" vertical="center"/>
    </xf>
    <xf numFmtId="0" fontId="35" fillId="0" borderId="4" xfId="6" applyFont="1" applyBorder="1" applyAlignment="1">
      <alignment horizontal="center" vertical="center" wrapText="1"/>
    </xf>
    <xf numFmtId="0" fontId="8" fillId="0" borderId="44" xfId="6" applyBorder="1" applyAlignment="1">
      <alignment horizontal="center" vertical="center"/>
    </xf>
    <xf numFmtId="0" fontId="0" fillId="7" borderId="0" xfId="0" applyFill="1"/>
    <xf numFmtId="0" fontId="64" fillId="7" borderId="0" xfId="0" applyFont="1" applyFill="1"/>
    <xf numFmtId="0" fontId="65" fillId="7" borderId="0" xfId="0" applyFont="1" applyFill="1"/>
    <xf numFmtId="0" fontId="66" fillId="0" borderId="0" xfId="0" applyFont="1"/>
    <xf numFmtId="0" fontId="0" fillId="0" borderId="45" xfId="0" applyBorder="1" applyAlignment="1">
      <alignment vertical="center"/>
    </xf>
    <xf numFmtId="17" fontId="0" fillId="0" borderId="45" xfId="0" applyNumberFormat="1" applyBorder="1" applyAlignment="1">
      <alignment horizontal="center" vertical="center"/>
    </xf>
    <xf numFmtId="10" fontId="0" fillId="0" borderId="45" xfId="0" applyNumberFormat="1" applyBorder="1" applyAlignment="1">
      <alignment horizontal="center" vertical="center"/>
    </xf>
    <xf numFmtId="0" fontId="0" fillId="0" borderId="45" xfId="0" applyBorder="1" applyAlignment="1">
      <alignment vertical="center" wrapText="1"/>
    </xf>
    <xf numFmtId="165" fontId="0" fillId="0" borderId="45" xfId="0" applyNumberFormat="1" applyBorder="1" applyAlignment="1">
      <alignment horizontal="center" vertical="center" wrapText="1"/>
    </xf>
    <xf numFmtId="0" fontId="3" fillId="6" borderId="45" xfId="0" quotePrefix="1" applyFont="1" applyFill="1" applyBorder="1" applyAlignment="1">
      <alignment horizontal="center" vertical="center" wrapText="1"/>
    </xf>
    <xf numFmtId="0" fontId="67" fillId="6" borderId="45" xfId="0" applyFont="1" applyFill="1" applyBorder="1" applyAlignment="1">
      <alignment horizontal="center" vertical="center" wrapText="1"/>
    </xf>
    <xf numFmtId="0" fontId="0" fillId="0" borderId="45" xfId="0" applyBorder="1" applyAlignment="1">
      <alignment horizontal="center" vertical="center"/>
    </xf>
    <xf numFmtId="0" fontId="64" fillId="7" borderId="0" xfId="0" applyFont="1" applyFill="1" applyAlignment="1">
      <alignment vertical="center"/>
    </xf>
    <xf numFmtId="0" fontId="32" fillId="0" borderId="0" xfId="6" applyFont="1" applyAlignment="1">
      <alignment horizontal="left"/>
    </xf>
    <xf numFmtId="0" fontId="32" fillId="0" borderId="0" xfId="6" applyFont="1" applyAlignment="1">
      <alignment horizontal="left" vertical="center"/>
    </xf>
    <xf numFmtId="0" fontId="68" fillId="0" borderId="0" xfId="6" applyFont="1" applyAlignment="1">
      <alignment horizontal="center" vertical="center"/>
    </xf>
    <xf numFmtId="0" fontId="68" fillId="0" borderId="0" xfId="6" applyFont="1" applyAlignment="1">
      <alignment horizontal="left" vertical="center"/>
    </xf>
    <xf numFmtId="17" fontId="32" fillId="0" borderId="0" xfId="6" applyNumberFormat="1" applyFont="1" applyAlignment="1">
      <alignment horizontal="left" vertical="center"/>
    </xf>
    <xf numFmtId="0" fontId="61" fillId="0" borderId="0" xfId="6" applyFont="1" applyAlignment="1">
      <alignment horizontal="center" vertical="center" wrapText="1"/>
    </xf>
    <xf numFmtId="43" fontId="62" fillId="0" borderId="0" xfId="6" applyNumberFormat="1" applyFont="1" applyAlignment="1">
      <alignment vertical="center"/>
    </xf>
    <xf numFmtId="0" fontId="71" fillId="0" borderId="0" xfId="6" applyFont="1" applyAlignment="1">
      <alignment vertical="center"/>
    </xf>
    <xf numFmtId="43" fontId="59" fillId="16" borderId="2" xfId="6" applyNumberFormat="1" applyFont="1" applyFill="1" applyBorder="1" applyAlignment="1">
      <alignment vertical="center"/>
    </xf>
    <xf numFmtId="43" fontId="59" fillId="16" borderId="0" xfId="6" applyNumberFormat="1" applyFont="1" applyFill="1" applyAlignment="1">
      <alignment vertical="center"/>
    </xf>
    <xf numFmtId="43" fontId="21" fillId="0" borderId="2" xfId="14" applyFont="1" applyFill="1" applyBorder="1" applyAlignment="1">
      <alignment horizontal="center" vertical="center"/>
    </xf>
    <xf numFmtId="0" fontId="18" fillId="0" borderId="0" xfId="6" applyFont="1" applyAlignment="1">
      <alignment vertical="center"/>
    </xf>
    <xf numFmtId="0" fontId="18" fillId="0" borderId="0" xfId="6" applyFont="1" applyAlignment="1">
      <alignment horizontal="left" vertical="center"/>
    </xf>
    <xf numFmtId="0" fontId="26" fillId="0" borderId="2" xfId="6" applyFont="1" applyBorder="1" applyAlignment="1">
      <alignment horizontal="center" vertical="center"/>
    </xf>
    <xf numFmtId="43" fontId="21" fillId="0" borderId="2" xfId="7" applyFont="1" applyFill="1" applyBorder="1" applyAlignment="1">
      <alignment horizontal="center" vertical="center"/>
    </xf>
    <xf numFmtId="1" fontId="0" fillId="17" borderId="35" xfId="0" applyNumberFormat="1" applyFill="1" applyBorder="1" applyAlignment="1">
      <alignment horizontal="center" vertical="center"/>
    </xf>
    <xf numFmtId="1" fontId="0" fillId="17" borderId="37" xfId="0" applyNumberFormat="1" applyFill="1" applyBorder="1" applyAlignment="1">
      <alignment horizontal="center" vertical="center"/>
    </xf>
    <xf numFmtId="1" fontId="0" fillId="3" borderId="46" xfId="0" applyNumberFormat="1" applyFill="1" applyBorder="1" applyAlignment="1">
      <alignment horizontal="center" vertical="center" wrapText="1"/>
    </xf>
    <xf numFmtId="1" fontId="0" fillId="3" borderId="37" xfId="0" applyNumberFormat="1" applyFill="1" applyBorder="1" applyAlignment="1">
      <alignment horizontal="center" vertical="center"/>
    </xf>
    <xf numFmtId="0" fontId="21" fillId="3" borderId="2" xfId="0" applyFont="1" applyFill="1" applyBorder="1" applyAlignment="1">
      <alignment horizontal="center" vertical="center" wrapText="1"/>
    </xf>
    <xf numFmtId="0" fontId="3" fillId="6" borderId="2" xfId="9" applyFont="1" applyFill="1" applyBorder="1" applyAlignment="1">
      <alignment horizontal="center" vertical="center" wrapText="1"/>
    </xf>
    <xf numFmtId="0" fontId="75" fillId="18" borderId="8" xfId="0" applyFont="1" applyFill="1" applyBorder="1" applyAlignment="1">
      <alignment vertical="center"/>
    </xf>
    <xf numFmtId="0" fontId="70" fillId="3" borderId="0" xfId="0" applyFont="1" applyFill="1" applyAlignment="1">
      <alignment vertical="center"/>
    </xf>
    <xf numFmtId="0" fontId="0" fillId="3" borderId="8" xfId="0" applyFill="1" applyBorder="1" applyAlignment="1">
      <alignment vertical="center"/>
    </xf>
    <xf numFmtId="0" fontId="76" fillId="0" borderId="43" xfId="6" applyFont="1" applyBorder="1" applyAlignment="1">
      <alignment horizontal="left" vertical="center"/>
    </xf>
    <xf numFmtId="0" fontId="71" fillId="0" borderId="43" xfId="6" applyFont="1" applyBorder="1" applyAlignment="1">
      <alignment vertical="center"/>
    </xf>
    <xf numFmtId="0" fontId="76" fillId="0" borderId="2" xfId="6" applyFont="1" applyBorder="1" applyAlignment="1">
      <alignment horizontal="center" vertical="center"/>
    </xf>
    <xf numFmtId="0" fontId="77" fillId="0" borderId="2" xfId="6" applyFont="1" applyBorder="1" applyAlignment="1">
      <alignment horizontal="center" vertical="center"/>
    </xf>
    <xf numFmtId="43" fontId="2" fillId="0" borderId="2" xfId="7" applyFont="1" applyBorder="1" applyAlignment="1">
      <alignment horizontal="center" vertical="center"/>
    </xf>
    <xf numFmtId="43" fontId="2" fillId="0" borderId="2" xfId="14" applyFont="1" applyFill="1" applyBorder="1" applyAlignment="1">
      <alignment horizontal="center" vertical="center"/>
    </xf>
    <xf numFmtId="43" fontId="2" fillId="0" borderId="2" xfId="7" applyFont="1" applyFill="1" applyBorder="1" applyAlignment="1">
      <alignment horizontal="center" vertical="center"/>
    </xf>
    <xf numFmtId="43" fontId="78" fillId="16" borderId="2" xfId="6" applyNumberFormat="1" applyFont="1" applyFill="1" applyBorder="1" applyAlignment="1">
      <alignment vertical="center"/>
    </xf>
    <xf numFmtId="0" fontId="15" fillId="0" borderId="14" xfId="0" applyFont="1" applyBorder="1" applyAlignment="1">
      <alignment vertical="center"/>
    </xf>
    <xf numFmtId="0" fontId="15" fillId="0" borderId="15" xfId="0" applyFont="1" applyBorder="1" applyAlignment="1">
      <alignment vertical="center"/>
    </xf>
    <xf numFmtId="0" fontId="15" fillId="0" borderId="8" xfId="0" applyFont="1" applyBorder="1" applyAlignment="1">
      <alignment horizontal="center" vertical="center"/>
    </xf>
    <xf numFmtId="0" fontId="13" fillId="0" borderId="8" xfId="0" applyFont="1" applyBorder="1" applyAlignment="1">
      <alignment horizontal="center" vertical="center"/>
    </xf>
    <xf numFmtId="0" fontId="13" fillId="0" borderId="8" xfId="0" applyFont="1" applyBorder="1" applyAlignment="1">
      <alignment horizontal="center" vertical="center" wrapText="1"/>
    </xf>
    <xf numFmtId="4" fontId="13" fillId="0" borderId="8" xfId="0" applyNumberFormat="1" applyFont="1" applyBorder="1" applyAlignment="1">
      <alignment horizontal="center" vertical="center" wrapText="1"/>
    </xf>
    <xf numFmtId="0" fontId="13" fillId="0" borderId="8" xfId="0" applyFont="1" applyBorder="1" applyAlignment="1">
      <alignment horizontal="center"/>
    </xf>
    <xf numFmtId="0" fontId="73" fillId="0" borderId="2" xfId="0" applyFont="1" applyBorder="1" applyAlignment="1">
      <alignment horizontal="center" vertical="center" wrapText="1"/>
    </xf>
    <xf numFmtId="4" fontId="73" fillId="0" borderId="2" xfId="0" applyNumberFormat="1" applyFont="1" applyBorder="1" applyAlignment="1">
      <alignment horizontal="center" vertical="center" wrapText="1"/>
    </xf>
    <xf numFmtId="0" fontId="73" fillId="0" borderId="0" xfId="0" applyFont="1" applyAlignment="1">
      <alignment horizontal="center"/>
    </xf>
    <xf numFmtId="178" fontId="73" fillId="0" borderId="0" xfId="0" applyNumberFormat="1" applyFont="1" applyAlignment="1">
      <alignment horizontal="center"/>
    </xf>
    <xf numFmtId="0" fontId="13" fillId="0" borderId="0" xfId="0" applyFont="1" applyAlignment="1">
      <alignment horizontal="left" vertical="center" wrapText="1"/>
    </xf>
    <xf numFmtId="0" fontId="13" fillId="0" borderId="0" xfId="0" applyFont="1" applyAlignment="1">
      <alignment horizontal="center" vertical="center" wrapText="1"/>
    </xf>
    <xf numFmtId="0" fontId="13" fillId="0" borderId="0" xfId="0" applyFont="1" applyAlignment="1">
      <alignment horizontal="center" vertical="center"/>
    </xf>
    <xf numFmtId="4" fontId="13" fillId="0" borderId="0" xfId="0" applyNumberFormat="1" applyFont="1" applyAlignment="1">
      <alignment horizontal="center" vertical="center" wrapText="1"/>
    </xf>
    <xf numFmtId="4" fontId="13" fillId="0" borderId="0" xfId="0" applyNumberFormat="1" applyFont="1" applyAlignment="1">
      <alignment horizontal="center" vertical="center"/>
    </xf>
    <xf numFmtId="0" fontId="15" fillId="0" borderId="13" xfId="0" applyFont="1" applyBorder="1" applyAlignment="1">
      <alignment horizontal="left" vertical="center"/>
    </xf>
    <xf numFmtId="0" fontId="15" fillId="0" borderId="14" xfId="0" applyFont="1" applyBorder="1" applyAlignment="1">
      <alignment horizontal="center" vertical="center"/>
    </xf>
    <xf numFmtId="0" fontId="29" fillId="0" borderId="2" xfId="6" applyFont="1" applyBorder="1" applyAlignment="1">
      <alignment horizontal="center" vertical="center"/>
    </xf>
    <xf numFmtId="0" fontId="52" fillId="0" borderId="2" xfId="0" applyFont="1" applyBorder="1" applyAlignment="1">
      <alignment horizontal="center" vertical="center" wrapText="1"/>
    </xf>
    <xf numFmtId="43" fontId="18" fillId="0" borderId="2" xfId="6" applyNumberFormat="1" applyFont="1" applyBorder="1" applyAlignment="1">
      <alignment vertical="center"/>
    </xf>
    <xf numFmtId="0" fontId="72" fillId="7" borderId="0" xfId="6" applyFont="1" applyFill="1" applyAlignment="1">
      <alignment vertical="center"/>
    </xf>
    <xf numFmtId="0" fontId="58" fillId="7" borderId="0" xfId="6" applyFont="1" applyFill="1" applyAlignment="1">
      <alignment vertical="center"/>
    </xf>
    <xf numFmtId="0" fontId="81" fillId="7" borderId="2" xfId="6" applyFont="1" applyFill="1" applyBorder="1" applyAlignment="1">
      <alignment horizontal="center" vertical="center"/>
    </xf>
    <xf numFmtId="0" fontId="52" fillId="0" borderId="0" xfId="0" applyFont="1" applyAlignment="1">
      <alignment horizontal="center" vertical="center"/>
    </xf>
    <xf numFmtId="4" fontId="52" fillId="0" borderId="0" xfId="0" applyNumberFormat="1" applyFont="1" applyAlignment="1">
      <alignment horizontal="center" vertical="center" wrapText="1"/>
    </xf>
    <xf numFmtId="4" fontId="73" fillId="0" borderId="0" xfId="0" applyNumberFormat="1" applyFont="1" applyAlignment="1">
      <alignment horizontal="center" vertical="center" wrapText="1"/>
    </xf>
    <xf numFmtId="4" fontId="52" fillId="0" borderId="0" xfId="19" applyNumberFormat="1" applyFont="1" applyFill="1" applyBorder="1" applyAlignment="1">
      <alignment horizontal="center" vertical="center" wrapText="1"/>
    </xf>
    <xf numFmtId="4" fontId="52" fillId="0" borderId="0" xfId="0" applyNumberFormat="1" applyFont="1" applyAlignment="1">
      <alignment horizontal="center" vertical="center"/>
    </xf>
    <xf numFmtId="0" fontId="52" fillId="0" borderId="14" xfId="6" applyFont="1" applyBorder="1" applyAlignment="1">
      <alignment horizontal="center" vertical="center" wrapText="1"/>
    </xf>
    <xf numFmtId="0" fontId="52" fillId="0" borderId="14" xfId="0" applyFont="1" applyBorder="1" applyAlignment="1">
      <alignment horizontal="center" vertical="center"/>
    </xf>
    <xf numFmtId="0" fontId="52" fillId="0" borderId="14" xfId="0" applyFont="1" applyBorder="1" applyAlignment="1">
      <alignment horizontal="center" vertical="center" wrapText="1"/>
    </xf>
    <xf numFmtId="4" fontId="52" fillId="0" borderId="14" xfId="0" applyNumberFormat="1" applyFont="1" applyBorder="1" applyAlignment="1">
      <alignment horizontal="center" vertical="center"/>
    </xf>
    <xf numFmtId="4" fontId="52" fillId="0" borderId="14" xfId="0" applyNumberFormat="1" applyFont="1" applyBorder="1" applyAlignment="1">
      <alignment horizontal="center" vertical="center" wrapText="1"/>
    </xf>
    <xf numFmtId="4" fontId="73" fillId="0" borderId="14" xfId="0" applyNumberFormat="1" applyFont="1" applyBorder="1" applyAlignment="1">
      <alignment horizontal="center" vertical="center" wrapText="1"/>
    </xf>
    <xf numFmtId="4" fontId="52" fillId="0" borderId="14" xfId="19" applyNumberFormat="1" applyFont="1" applyFill="1" applyBorder="1" applyAlignment="1">
      <alignment horizontal="center" vertical="center" wrapText="1"/>
    </xf>
    <xf numFmtId="4" fontId="73" fillId="0" borderId="15" xfId="0" applyNumberFormat="1" applyFont="1" applyBorder="1" applyAlignment="1">
      <alignment horizontal="center" vertical="center" wrapText="1"/>
    </xf>
    <xf numFmtId="4" fontId="73" fillId="0" borderId="10" xfId="0" applyNumberFormat="1" applyFont="1" applyBorder="1" applyAlignment="1">
      <alignment horizontal="center" vertical="center" wrapText="1"/>
    </xf>
    <xf numFmtId="4" fontId="52" fillId="0" borderId="8" xfId="0" applyNumberFormat="1" applyFont="1" applyBorder="1" applyAlignment="1">
      <alignment horizontal="center" vertical="center" wrapText="1"/>
    </xf>
    <xf numFmtId="0" fontId="52" fillId="0" borderId="8" xfId="0" applyFont="1" applyBorder="1" applyAlignment="1">
      <alignment horizontal="center" vertical="center"/>
    </xf>
    <xf numFmtId="0" fontId="52" fillId="0" borderId="8" xfId="0" applyFont="1" applyBorder="1" applyAlignment="1">
      <alignment horizontal="center" vertical="center" wrapText="1"/>
    </xf>
    <xf numFmtId="4" fontId="52" fillId="0" borderId="8" xfId="0" applyNumberFormat="1" applyFont="1" applyBorder="1" applyAlignment="1">
      <alignment horizontal="center" vertical="center"/>
    </xf>
    <xf numFmtId="4" fontId="73" fillId="0" borderId="8" xfId="0" applyNumberFormat="1" applyFont="1" applyBorder="1" applyAlignment="1">
      <alignment horizontal="center" vertical="center" wrapText="1"/>
    </xf>
    <xf numFmtId="4" fontId="52" fillId="0" borderId="8" xfId="19" applyNumberFormat="1" applyFont="1" applyFill="1" applyBorder="1" applyAlignment="1">
      <alignment horizontal="center" vertical="center" wrapText="1"/>
    </xf>
    <xf numFmtId="4" fontId="73" fillId="0" borderId="26" xfId="0" applyNumberFormat="1" applyFont="1" applyBorder="1" applyAlignment="1">
      <alignment horizontal="center" vertical="center" wrapText="1"/>
    </xf>
    <xf numFmtId="0" fontId="13" fillId="0" borderId="40" xfId="0" applyFont="1" applyBorder="1" applyAlignment="1">
      <alignment horizontal="center" vertical="center"/>
    </xf>
    <xf numFmtId="0" fontId="52" fillId="0" borderId="40" xfId="0" applyFont="1" applyBorder="1" applyAlignment="1">
      <alignment horizontal="center" vertical="center"/>
    </xf>
    <xf numFmtId="0" fontId="52" fillId="0" borderId="0" xfId="0" applyFont="1" applyAlignment="1">
      <alignment horizontal="center"/>
    </xf>
    <xf numFmtId="0" fontId="52" fillId="0" borderId="8" xfId="0" applyFont="1" applyBorder="1" applyAlignment="1">
      <alignment horizontal="center"/>
    </xf>
    <xf numFmtId="0" fontId="82" fillId="7" borderId="0" xfId="0" applyFont="1" applyFill="1" applyAlignment="1">
      <alignment horizontal="center" vertical="center" wrapText="1"/>
    </xf>
    <xf numFmtId="4" fontId="82" fillId="7" borderId="0" xfId="0" applyNumberFormat="1" applyFont="1" applyFill="1" applyAlignment="1">
      <alignment horizontal="center" vertical="center"/>
    </xf>
    <xf numFmtId="4" fontId="82" fillId="7" borderId="0" xfId="0" applyNumberFormat="1" applyFont="1" applyFill="1" applyAlignment="1">
      <alignment horizontal="left" vertical="center"/>
    </xf>
    <xf numFmtId="4" fontId="82" fillId="7" borderId="0" xfId="0" applyNumberFormat="1" applyFont="1" applyFill="1" applyAlignment="1">
      <alignment horizontal="center" vertical="center" wrapText="1"/>
    </xf>
    <xf numFmtId="4" fontId="69" fillId="7" borderId="0" xfId="19" applyNumberFormat="1" applyFont="1" applyFill="1" applyBorder="1" applyAlignment="1">
      <alignment horizontal="center" vertical="center" wrapText="1"/>
    </xf>
    <xf numFmtId="0" fontId="80" fillId="0" borderId="14" xfId="6" applyFont="1" applyBorder="1" applyAlignment="1">
      <alignment horizontal="center" vertical="center"/>
    </xf>
    <xf numFmtId="0" fontId="80" fillId="0" borderId="0" xfId="6" applyFont="1" applyAlignment="1">
      <alignment horizontal="center" vertical="center"/>
    </xf>
    <xf numFmtId="0" fontId="80" fillId="0" borderId="8" xfId="6" applyFont="1" applyBorder="1" applyAlignment="1">
      <alignment horizontal="center" vertical="center"/>
    </xf>
    <xf numFmtId="0" fontId="82" fillId="0" borderId="0" xfId="0" applyFont="1" applyAlignment="1">
      <alignment horizontal="center" vertical="center" wrapText="1"/>
    </xf>
    <xf numFmtId="4" fontId="82" fillId="0" borderId="0" xfId="0" applyNumberFormat="1" applyFont="1" applyAlignment="1">
      <alignment horizontal="center" vertical="center"/>
    </xf>
    <xf numFmtId="4" fontId="82" fillId="0" borderId="0" xfId="0" applyNumberFormat="1" applyFont="1" applyAlignment="1">
      <alignment horizontal="left" vertical="center"/>
    </xf>
    <xf numFmtId="4" fontId="82" fillId="0" borderId="0" xfId="0" applyNumberFormat="1" applyFont="1" applyAlignment="1">
      <alignment horizontal="center" vertical="center" wrapText="1"/>
    </xf>
    <xf numFmtId="4" fontId="69" fillId="0" borderId="0" xfId="19" applyNumberFormat="1" applyFont="1" applyFill="1" applyBorder="1" applyAlignment="1">
      <alignment horizontal="center" vertical="center" wrapText="1"/>
    </xf>
    <xf numFmtId="4" fontId="69" fillId="0" borderId="0" xfId="0" applyNumberFormat="1" applyFont="1" applyAlignment="1">
      <alignment horizontal="center" vertical="center" wrapText="1"/>
    </xf>
    <xf numFmtId="4" fontId="21" fillId="3" borderId="2" xfId="0" applyNumberFormat="1" applyFont="1" applyFill="1" applyBorder="1" applyAlignment="1">
      <alignment horizontal="center" vertical="center"/>
    </xf>
    <xf numFmtId="4" fontId="0" fillId="0" borderId="2" xfId="0" applyNumberFormat="1" applyBorder="1" applyAlignment="1">
      <alignment horizontal="center" vertical="center" wrapText="1"/>
    </xf>
    <xf numFmtId="9" fontId="0" fillId="0" borderId="2" xfId="1" applyFont="1" applyBorder="1" applyAlignment="1">
      <alignment horizontal="center" vertical="center" wrapText="1"/>
    </xf>
    <xf numFmtId="0" fontId="21" fillId="3" borderId="2" xfId="0" applyFont="1" applyFill="1" applyBorder="1" applyAlignment="1">
      <alignment horizontal="center" vertical="center"/>
    </xf>
    <xf numFmtId="0" fontId="0" fillId="0" borderId="25" xfId="0" applyBorder="1" applyAlignment="1">
      <alignment horizontal="center" vertical="center"/>
    </xf>
    <xf numFmtId="17" fontId="13" fillId="0" borderId="16" xfId="0" applyNumberFormat="1" applyFont="1" applyBorder="1" applyAlignment="1">
      <alignment horizontal="left" vertical="center"/>
    </xf>
    <xf numFmtId="17" fontId="13" fillId="0" borderId="0" xfId="0" applyNumberFormat="1" applyFont="1" applyAlignment="1">
      <alignment horizontal="left" vertical="center"/>
    </xf>
    <xf numFmtId="0" fontId="13" fillId="0" borderId="16" xfId="0" applyFont="1" applyBorder="1" applyAlignment="1">
      <alignment horizontal="left" vertical="center"/>
    </xf>
    <xf numFmtId="0" fontId="13" fillId="0" borderId="10" xfId="0" applyFont="1" applyBorder="1" applyAlignment="1">
      <alignment vertical="center" wrapText="1"/>
    </xf>
    <xf numFmtId="0" fontId="13" fillId="0" borderId="0" xfId="0" applyFont="1" applyAlignment="1">
      <alignment vertical="center"/>
    </xf>
    <xf numFmtId="0" fontId="13" fillId="0" borderId="10" xfId="0" applyFont="1" applyBorder="1" applyAlignment="1">
      <alignment vertical="center"/>
    </xf>
    <xf numFmtId="0" fontId="13" fillId="0" borderId="25" xfId="0" applyFont="1" applyBorder="1" applyAlignment="1">
      <alignment horizontal="left" vertical="center"/>
    </xf>
    <xf numFmtId="0" fontId="13" fillId="0" borderId="8" xfId="0" applyFont="1" applyBorder="1" applyAlignment="1">
      <alignment vertical="center"/>
    </xf>
    <xf numFmtId="0" fontId="13" fillId="0" borderId="8" xfId="0" applyFont="1" applyBorder="1" applyAlignment="1">
      <alignment horizontal="left" vertical="center"/>
    </xf>
    <xf numFmtId="0" fontId="13" fillId="0" borderId="8" xfId="0" applyFont="1" applyBorder="1" applyAlignment="1">
      <alignment horizontal="left" vertical="center" wrapText="1"/>
    </xf>
    <xf numFmtId="0" fontId="13" fillId="0" borderId="26" xfId="0" applyFont="1" applyBorder="1" applyAlignment="1">
      <alignment vertical="center"/>
    </xf>
    <xf numFmtId="17" fontId="13" fillId="0" borderId="25" xfId="0" applyNumberFormat="1" applyFont="1" applyBorder="1" applyAlignment="1">
      <alignment horizontal="left" vertical="center"/>
    </xf>
    <xf numFmtId="10" fontId="3" fillId="3" borderId="27" xfId="0" applyNumberFormat="1" applyFont="1" applyFill="1" applyBorder="1" applyAlignment="1">
      <alignment vertical="center"/>
    </xf>
    <xf numFmtId="0" fontId="0" fillId="0" borderId="14" xfId="0" applyBorder="1" applyAlignment="1">
      <alignment horizontal="center" vertical="center" wrapText="1"/>
    </xf>
    <xf numFmtId="0" fontId="3" fillId="3" borderId="13" xfId="0" applyFont="1" applyFill="1" applyBorder="1" applyAlignment="1">
      <alignment vertical="center"/>
    </xf>
    <xf numFmtId="4" fontId="0" fillId="0" borderId="14" xfId="0" applyNumberFormat="1" applyBorder="1" applyAlignment="1">
      <alignment horizontal="center" vertical="center" wrapText="1"/>
    </xf>
    <xf numFmtId="9" fontId="0" fillId="0" borderId="14" xfId="1" applyFont="1" applyBorder="1" applyAlignment="1">
      <alignment horizontal="center" vertical="center" wrapText="1"/>
    </xf>
    <xf numFmtId="0" fontId="21" fillId="3" borderId="14" xfId="0" applyFont="1" applyFill="1" applyBorder="1" applyAlignment="1">
      <alignment horizontal="center" vertical="center"/>
    </xf>
    <xf numFmtId="0" fontId="0" fillId="0" borderId="27" xfId="0" applyBorder="1" applyAlignment="1">
      <alignment horizontal="center" vertical="center"/>
    </xf>
    <xf numFmtId="4" fontId="21" fillId="3" borderId="4" xfId="0" applyNumberFormat="1" applyFont="1" applyFill="1" applyBorder="1" applyAlignment="1">
      <alignment horizontal="center" vertical="center"/>
    </xf>
    <xf numFmtId="4" fontId="3" fillId="3" borderId="2" xfId="0" applyNumberFormat="1" applyFont="1" applyFill="1" applyBorder="1" applyAlignment="1">
      <alignment horizontal="center" vertical="center"/>
    </xf>
    <xf numFmtId="0" fontId="79" fillId="7" borderId="25" xfId="0" applyFont="1" applyFill="1" applyBorder="1" applyAlignment="1">
      <alignment vertical="center"/>
    </xf>
    <xf numFmtId="0" fontId="79" fillId="7" borderId="8" xfId="0" applyFont="1" applyFill="1" applyBorder="1" applyAlignment="1">
      <alignment vertical="center"/>
    </xf>
    <xf numFmtId="0" fontId="79" fillId="7" borderId="8" xfId="0" applyFont="1" applyFill="1" applyBorder="1" applyAlignment="1">
      <alignment horizontal="center" vertical="center"/>
    </xf>
    <xf numFmtId="4" fontId="79" fillId="7" borderId="5" xfId="0" applyNumberFormat="1" applyFont="1" applyFill="1" applyBorder="1" applyAlignment="1">
      <alignment horizontal="center" vertical="center"/>
    </xf>
    <xf numFmtId="0" fontId="80" fillId="0" borderId="27" xfId="6" applyFont="1" applyBorder="1" applyAlignment="1">
      <alignment horizontal="center" vertical="center" wrapText="1"/>
    </xf>
    <xf numFmtId="4" fontId="52" fillId="0" borderId="27" xfId="0" applyNumberFormat="1" applyFont="1" applyBorder="1" applyAlignment="1">
      <alignment horizontal="center" vertical="center" wrapText="1"/>
    </xf>
    <xf numFmtId="0" fontId="52" fillId="0" borderId="27" xfId="0" applyFont="1" applyBorder="1" applyAlignment="1">
      <alignment horizontal="center" vertical="center"/>
    </xf>
    <xf numFmtId="0" fontId="52" fillId="0" borderId="27" xfId="0" applyFont="1" applyBorder="1" applyAlignment="1">
      <alignment horizontal="center" vertical="center" wrapText="1"/>
    </xf>
    <xf numFmtId="4" fontId="52" fillId="0" borderId="27" xfId="0" applyNumberFormat="1" applyFont="1" applyBorder="1" applyAlignment="1">
      <alignment horizontal="center" vertical="center"/>
    </xf>
    <xf numFmtId="4" fontId="73" fillId="0" borderId="27" xfId="0" applyNumberFormat="1" applyFont="1" applyBorder="1" applyAlignment="1">
      <alignment horizontal="center" vertical="center" wrapText="1"/>
    </xf>
    <xf numFmtId="4" fontId="52" fillId="0" borderId="27" xfId="19" applyNumberFormat="1" applyFont="1" applyFill="1" applyBorder="1" applyAlignment="1">
      <alignment horizontal="center" vertical="center" wrapText="1"/>
    </xf>
    <xf numFmtId="4" fontId="69" fillId="7" borderId="5" xfId="0" applyNumberFormat="1" applyFont="1" applyFill="1" applyBorder="1" applyAlignment="1">
      <alignment horizontal="center" vertical="center" wrapText="1"/>
    </xf>
    <xf numFmtId="0" fontId="10" fillId="0" borderId="3" xfId="0" applyFont="1" applyBorder="1" applyAlignment="1">
      <alignment vertical="center"/>
    </xf>
    <xf numFmtId="0" fontId="10" fillId="3" borderId="3" xfId="0" applyFont="1" applyFill="1" applyBorder="1" applyAlignment="1">
      <alignment vertical="center"/>
    </xf>
    <xf numFmtId="168" fontId="7" fillId="0" borderId="2" xfId="6" applyNumberFormat="1" applyFont="1" applyBorder="1" applyAlignment="1">
      <alignment horizontal="center" vertical="center"/>
    </xf>
    <xf numFmtId="169" fontId="31" fillId="6" borderId="2" xfId="6" applyNumberFormat="1" applyFont="1" applyFill="1" applyBorder="1" applyAlignment="1">
      <alignment horizontal="center" vertical="center"/>
    </xf>
    <xf numFmtId="0" fontId="74" fillId="6" borderId="2" xfId="0" applyFont="1" applyFill="1" applyBorder="1" applyAlignment="1">
      <alignment horizontal="center" vertical="center" wrapText="1"/>
    </xf>
    <xf numFmtId="0" fontId="35" fillId="0" borderId="44" xfId="6" applyFont="1" applyBorder="1" applyAlignment="1">
      <alignment horizontal="center" vertical="center"/>
    </xf>
    <xf numFmtId="0" fontId="35" fillId="0" borderId="44" xfId="6" applyFont="1" applyBorder="1" applyAlignment="1">
      <alignment horizontal="right" vertical="center"/>
    </xf>
    <xf numFmtId="17" fontId="84" fillId="3" borderId="0" xfId="0" applyNumberFormat="1" applyFont="1" applyFill="1" applyAlignment="1">
      <alignment vertical="center" wrapText="1"/>
    </xf>
    <xf numFmtId="0" fontId="31" fillId="6" borderId="3" xfId="6" applyFont="1" applyFill="1" applyBorder="1" applyAlignment="1">
      <alignment horizontal="center" vertical="center" wrapText="1"/>
    </xf>
    <xf numFmtId="0" fontId="31" fillId="6" borderId="1" xfId="6" applyFont="1" applyFill="1" applyBorder="1" applyAlignment="1">
      <alignment horizontal="center" vertical="center" wrapText="1"/>
    </xf>
    <xf numFmtId="0" fontId="14" fillId="0" borderId="0" xfId="6" applyFont="1" applyAlignment="1">
      <alignment horizontal="center" vertical="center"/>
    </xf>
    <xf numFmtId="0" fontId="14" fillId="3" borderId="0" xfId="6" applyFont="1" applyFill="1" applyAlignment="1">
      <alignment horizontal="center" vertical="center"/>
    </xf>
    <xf numFmtId="0" fontId="14" fillId="0" borderId="0" xfId="6" applyFont="1" applyAlignment="1">
      <alignment vertical="center"/>
    </xf>
    <xf numFmtId="43" fontId="14" fillId="3" borderId="0" xfId="6" applyNumberFormat="1" applyFont="1" applyFill="1" applyAlignment="1">
      <alignment horizontal="center" vertical="center"/>
    </xf>
    <xf numFmtId="43" fontId="14" fillId="0" borderId="0" xfId="6" applyNumberFormat="1" applyFont="1" applyAlignment="1">
      <alignment vertical="center"/>
    </xf>
    <xf numFmtId="0" fontId="74" fillId="11" borderId="41" xfId="6" applyFont="1" applyFill="1" applyBorder="1" applyAlignment="1">
      <alignment horizontal="center" vertical="center" wrapText="1"/>
    </xf>
    <xf numFmtId="0" fontId="74" fillId="11" borderId="42" xfId="6" applyFont="1" applyFill="1" applyBorder="1" applyAlignment="1">
      <alignment horizontal="center" vertical="center" wrapText="1"/>
    </xf>
    <xf numFmtId="0" fontId="13" fillId="0" borderId="0" xfId="6" applyFont="1" applyAlignment="1">
      <alignment vertical="center" wrapText="1"/>
    </xf>
    <xf numFmtId="0" fontId="85" fillId="12" borderId="2" xfId="6" applyFont="1" applyFill="1" applyBorder="1" applyAlignment="1">
      <alignment vertical="center"/>
    </xf>
    <xf numFmtId="0" fontId="85" fillId="12" borderId="2" xfId="6" applyFont="1" applyFill="1" applyBorder="1" applyAlignment="1">
      <alignment horizontal="center" vertical="center"/>
    </xf>
    <xf numFmtId="0" fontId="85" fillId="12" borderId="2" xfId="6" applyFont="1" applyFill="1" applyBorder="1" applyAlignment="1">
      <alignment horizontal="left" vertical="center"/>
    </xf>
    <xf numFmtId="43" fontId="85" fillId="12" borderId="2" xfId="6" applyNumberFormat="1" applyFont="1" applyFill="1" applyBorder="1" applyAlignment="1">
      <alignment vertical="center"/>
    </xf>
    <xf numFmtId="3" fontId="85" fillId="12" borderId="2" xfId="6" applyNumberFormat="1" applyFont="1" applyFill="1" applyBorder="1" applyAlignment="1">
      <alignment horizontal="center" vertical="center"/>
    </xf>
    <xf numFmtId="43" fontId="74" fillId="12" borderId="2" xfId="6" applyNumberFormat="1" applyFont="1" applyFill="1" applyBorder="1" applyAlignment="1">
      <alignment vertical="center"/>
    </xf>
    <xf numFmtId="43" fontId="74" fillId="12" borderId="2" xfId="6" applyNumberFormat="1" applyFont="1" applyFill="1" applyBorder="1" applyAlignment="1">
      <alignment horizontal="center" vertical="center"/>
    </xf>
    <xf numFmtId="0" fontId="14" fillId="0" borderId="2" xfId="6" applyFont="1" applyBorder="1" applyAlignment="1">
      <alignment horizontal="center" vertical="center"/>
    </xf>
    <xf numFmtId="0" fontId="14" fillId="0" borderId="2" xfId="6" applyFont="1" applyBorder="1" applyAlignment="1">
      <alignment vertical="center"/>
    </xf>
    <xf numFmtId="4" fontId="14" fillId="0" borderId="2" xfId="6" applyNumberFormat="1" applyFont="1" applyBorder="1" applyAlignment="1">
      <alignment horizontal="center" vertical="center"/>
    </xf>
    <xf numFmtId="179" fontId="14" fillId="0" borderId="2" xfId="6" applyNumberFormat="1" applyFont="1" applyBorder="1" applyAlignment="1">
      <alignment horizontal="center" vertical="center"/>
    </xf>
    <xf numFmtId="43" fontId="14" fillId="0" borderId="2" xfId="6" applyNumberFormat="1" applyFont="1" applyBorder="1" applyAlignment="1">
      <alignment horizontal="center" vertical="center"/>
    </xf>
    <xf numFmtId="0" fontId="52" fillId="0" borderId="2" xfId="6" applyFont="1" applyBorder="1" applyAlignment="1">
      <alignment horizontal="center" vertical="center"/>
    </xf>
    <xf numFmtId="3" fontId="14" fillId="0" borderId="2" xfId="6" applyNumberFormat="1" applyFont="1" applyBorder="1" applyAlignment="1">
      <alignment horizontal="center" vertical="center"/>
    </xf>
    <xf numFmtId="17" fontId="52" fillId="0" borderId="2" xfId="6" applyNumberFormat="1" applyFont="1" applyBorder="1" applyAlignment="1">
      <alignment horizontal="center" vertical="center"/>
    </xf>
    <xf numFmtId="43" fontId="14" fillId="0" borderId="0" xfId="7" applyFont="1" applyAlignment="1">
      <alignment vertical="center"/>
    </xf>
    <xf numFmtId="0" fontId="87" fillId="0" borderId="0" xfId="6" applyFont="1" applyAlignment="1">
      <alignment horizontal="center" vertical="center"/>
    </xf>
    <xf numFmtId="43" fontId="88" fillId="12" borderId="2" xfId="6" applyNumberFormat="1" applyFont="1" applyFill="1" applyBorder="1" applyAlignment="1">
      <alignment horizontal="center" vertical="center"/>
    </xf>
    <xf numFmtId="0" fontId="87" fillId="0" borderId="0" xfId="6" applyFont="1" applyAlignment="1">
      <alignment vertical="center"/>
    </xf>
    <xf numFmtId="43" fontId="87" fillId="0" borderId="0" xfId="7" applyFont="1" applyAlignment="1">
      <alignment vertical="center"/>
    </xf>
    <xf numFmtId="0" fontId="52" fillId="0" borderId="2" xfId="6" applyFont="1" applyBorder="1" applyAlignment="1">
      <alignment vertical="center" wrapText="1"/>
    </xf>
    <xf numFmtId="43" fontId="90" fillId="12" borderId="2" xfId="6" applyNumberFormat="1" applyFont="1" applyFill="1" applyBorder="1" applyAlignment="1">
      <alignment vertical="center"/>
    </xf>
    <xf numFmtId="0" fontId="91" fillId="0" borderId="0" xfId="6" applyFont="1" applyAlignment="1">
      <alignment horizontal="center" vertical="center"/>
    </xf>
    <xf numFmtId="0" fontId="85" fillId="12" borderId="3" xfId="6" applyFont="1" applyFill="1" applyBorder="1" applyAlignment="1">
      <alignment vertical="center"/>
    </xf>
    <xf numFmtId="0" fontId="85" fillId="12" borderId="1" xfId="6" applyFont="1" applyFill="1" applyBorder="1" applyAlignment="1">
      <alignment vertical="center"/>
    </xf>
    <xf numFmtId="0" fontId="14" fillId="0" borderId="25" xfId="6" applyFont="1" applyBorder="1" applyAlignment="1">
      <alignment horizontal="center" vertical="center" wrapText="1"/>
    </xf>
    <xf numFmtId="0" fontId="14" fillId="0" borderId="26" xfId="6" applyFont="1" applyBorder="1" applyAlignment="1">
      <alignment horizontal="center" vertical="center" wrapText="1"/>
    </xf>
    <xf numFmtId="0" fontId="14" fillId="0" borderId="3" xfId="6" applyFont="1" applyBorder="1" applyAlignment="1">
      <alignment horizontal="center" vertical="center"/>
    </xf>
    <xf numFmtId="0" fontId="14" fillId="0" borderId="1" xfId="6" applyFont="1" applyBorder="1" applyAlignment="1">
      <alignment horizontal="center" vertical="center"/>
    </xf>
    <xf numFmtId="0" fontId="86" fillId="0" borderId="3" xfId="6" applyFont="1" applyBorder="1" applyAlignment="1">
      <alignment horizontal="center" vertical="center"/>
    </xf>
    <xf numFmtId="0" fontId="86" fillId="0" borderId="1" xfId="6" applyFont="1" applyBorder="1" applyAlignment="1">
      <alignment horizontal="center" vertical="center"/>
    </xf>
    <xf numFmtId="0" fontId="92" fillId="12" borderId="1" xfId="6" applyFont="1" applyFill="1" applyBorder="1" applyAlignment="1">
      <alignment vertical="center"/>
    </xf>
    <xf numFmtId="0" fontId="85" fillId="12" borderId="25" xfId="6" applyFont="1" applyFill="1" applyBorder="1" applyAlignment="1">
      <alignment vertical="center"/>
    </xf>
    <xf numFmtId="0" fontId="85" fillId="12" borderId="26" xfId="6" applyFont="1" applyFill="1" applyBorder="1" applyAlignment="1">
      <alignment vertical="center"/>
    </xf>
    <xf numFmtId="0" fontId="52" fillId="0" borderId="0" xfId="6" applyFont="1" applyAlignment="1">
      <alignment horizontal="center" vertical="center" wrapText="1"/>
    </xf>
    <xf numFmtId="0" fontId="21" fillId="3" borderId="27" xfId="0" applyFont="1" applyFill="1" applyBorder="1"/>
    <xf numFmtId="4" fontId="21" fillId="0" borderId="45" xfId="0" applyNumberFormat="1" applyFont="1" applyBorder="1" applyAlignment="1">
      <alignment horizontal="center" vertical="center"/>
    </xf>
    <xf numFmtId="4" fontId="21" fillId="0" borderId="45" xfId="0" applyNumberFormat="1" applyFont="1" applyBorder="1" applyAlignment="1">
      <alignment horizontal="left" vertical="center"/>
    </xf>
    <xf numFmtId="170" fontId="7" fillId="0" borderId="0" xfId="1" applyNumberFormat="1" applyFont="1" applyAlignment="1">
      <alignment horizontal="center" vertical="center"/>
    </xf>
    <xf numFmtId="10" fontId="7" fillId="0" borderId="0" xfId="1" applyNumberFormat="1" applyFont="1" applyAlignment="1">
      <alignment horizontal="center" vertical="center"/>
    </xf>
    <xf numFmtId="0" fontId="94" fillId="0" borderId="0" xfId="6" applyFont="1" applyAlignment="1">
      <alignment horizontal="center" vertical="center"/>
    </xf>
    <xf numFmtId="0" fontId="94" fillId="0" borderId="0" xfId="6" applyFont="1" applyAlignment="1">
      <alignment horizontal="left" vertical="center"/>
    </xf>
    <xf numFmtId="170" fontId="94" fillId="0" borderId="0" xfId="6" applyNumberFormat="1" applyFont="1" applyAlignment="1">
      <alignment horizontal="center" vertical="center"/>
    </xf>
    <xf numFmtId="0" fontId="95" fillId="0" borderId="0" xfId="6" applyFont="1" applyAlignment="1">
      <alignment horizontal="left" vertical="center"/>
    </xf>
    <xf numFmtId="0" fontId="38" fillId="9" borderId="2" xfId="6" applyFont="1" applyFill="1" applyBorder="1" applyAlignment="1">
      <alignment horizontal="center" vertical="center" wrapText="1"/>
    </xf>
    <xf numFmtId="0" fontId="31" fillId="9" borderId="2" xfId="6" applyFont="1" applyFill="1" applyBorder="1" applyAlignment="1">
      <alignment horizontal="center" vertical="center" wrapText="1"/>
    </xf>
    <xf numFmtId="0" fontId="37" fillId="19" borderId="2" xfId="6" applyFont="1" applyFill="1" applyBorder="1" applyAlignment="1">
      <alignment horizontal="center" vertical="center" wrapText="1"/>
    </xf>
    <xf numFmtId="1" fontId="37" fillId="10" borderId="2" xfId="6" applyNumberFormat="1" applyFont="1" applyFill="1" applyBorder="1" applyAlignment="1">
      <alignment horizontal="center" vertical="center"/>
    </xf>
    <xf numFmtId="171" fontId="98" fillId="3" borderId="7" xfId="8" applyNumberFormat="1" applyFont="1" applyFill="1" applyBorder="1" applyAlignment="1">
      <alignment horizontal="center" vertical="center" wrapText="1"/>
    </xf>
    <xf numFmtId="0" fontId="97" fillId="8" borderId="1" xfId="10" applyFont="1" applyFill="1" applyBorder="1" applyAlignment="1">
      <alignment horizontal="center" vertical="center" wrapText="1"/>
    </xf>
    <xf numFmtId="0" fontId="35" fillId="3" borderId="14" xfId="6" applyFont="1" applyFill="1" applyBorder="1" applyAlignment="1">
      <alignment vertical="center" wrapText="1"/>
    </xf>
    <xf numFmtId="0" fontId="35" fillId="3" borderId="14" xfId="6" applyFont="1" applyFill="1" applyBorder="1" applyAlignment="1">
      <alignment horizontal="center" vertical="center" wrapText="1"/>
    </xf>
    <xf numFmtId="170" fontId="35" fillId="3" borderId="15" xfId="6" applyNumberFormat="1" applyFont="1" applyFill="1" applyBorder="1" applyAlignment="1">
      <alignment vertical="center" wrapText="1"/>
    </xf>
    <xf numFmtId="0" fontId="99" fillId="3" borderId="2" xfId="10" applyFont="1" applyFill="1" applyBorder="1" applyAlignment="1">
      <alignment horizontal="center" vertical="center" wrapText="1"/>
    </xf>
    <xf numFmtId="9" fontId="96" fillId="3" borderId="2" xfId="8" applyFont="1" applyFill="1" applyBorder="1" applyAlignment="1">
      <alignment horizontal="center" vertical="center" textRotation="90"/>
    </xf>
    <xf numFmtId="0" fontId="35" fillId="3" borderId="0" xfId="6" applyFont="1" applyFill="1" applyAlignment="1">
      <alignment vertical="center" wrapText="1"/>
    </xf>
    <xf numFmtId="0" fontId="35" fillId="3" borderId="0" xfId="6" applyFont="1" applyFill="1" applyAlignment="1">
      <alignment horizontal="center" vertical="center" wrapText="1"/>
    </xf>
    <xf numFmtId="170" fontId="35" fillId="3" borderId="10" xfId="6" applyNumberFormat="1" applyFont="1" applyFill="1" applyBorder="1" applyAlignment="1">
      <alignment vertical="center" wrapText="1"/>
    </xf>
    <xf numFmtId="172" fontId="99" fillId="3" borderId="1" xfId="10" applyNumberFormat="1" applyFont="1" applyFill="1" applyBorder="1" applyAlignment="1">
      <alignment horizontal="center" vertical="center" wrapText="1"/>
    </xf>
    <xf numFmtId="172" fontId="96" fillId="3" borderId="2" xfId="11" applyNumberFormat="1" applyFont="1" applyFill="1" applyBorder="1" applyAlignment="1">
      <alignment horizontal="center" vertical="center" textRotation="90"/>
    </xf>
    <xf numFmtId="0" fontId="33" fillId="0" borderId="0" xfId="6" applyFont="1" applyAlignment="1">
      <alignment vertical="center"/>
    </xf>
    <xf numFmtId="170" fontId="34" fillId="0" borderId="0" xfId="6" applyNumberFormat="1" applyFont="1" applyAlignment="1">
      <alignment horizontal="center" vertical="center"/>
    </xf>
    <xf numFmtId="0" fontId="34" fillId="0" borderId="0" xfId="6" applyFont="1" applyAlignment="1">
      <alignment horizontal="right" vertical="center"/>
    </xf>
    <xf numFmtId="0" fontId="34" fillId="0" borderId="0" xfId="6" applyFont="1" applyAlignment="1">
      <alignment vertical="center"/>
    </xf>
    <xf numFmtId="0" fontId="36" fillId="0" borderId="0" xfId="6" applyFont="1" applyAlignment="1">
      <alignment vertical="center"/>
    </xf>
    <xf numFmtId="0" fontId="4" fillId="0" borderId="0" xfId="0" applyFont="1" applyAlignment="1">
      <alignment vertical="center"/>
    </xf>
    <xf numFmtId="43" fontId="8" fillId="0" borderId="0" xfId="6" applyNumberFormat="1" applyAlignment="1">
      <alignment vertical="center"/>
    </xf>
    <xf numFmtId="170" fontId="8" fillId="0" borderId="0" xfId="6" applyNumberFormat="1" applyAlignment="1">
      <alignment horizontal="center" vertical="center"/>
    </xf>
    <xf numFmtId="43" fontId="97" fillId="0" borderId="50" xfId="6" applyNumberFormat="1" applyFont="1" applyBorder="1" applyAlignment="1">
      <alignment horizontal="left" vertical="center"/>
    </xf>
    <xf numFmtId="170" fontId="4" fillId="0" borderId="50" xfId="8" applyNumberFormat="1" applyFont="1" applyBorder="1" applyAlignment="1">
      <alignment horizontal="center" vertical="center"/>
    </xf>
    <xf numFmtId="0" fontId="93" fillId="3" borderId="50" xfId="6" applyFont="1" applyFill="1" applyBorder="1" applyAlignment="1">
      <alignment horizontal="center" vertical="center"/>
    </xf>
    <xf numFmtId="0" fontId="93" fillId="8" borderId="50" xfId="6" applyFont="1" applyFill="1" applyBorder="1" applyAlignment="1">
      <alignment horizontal="center" vertical="center"/>
    </xf>
    <xf numFmtId="0" fontId="93" fillId="3" borderId="51" xfId="6" applyFont="1" applyFill="1" applyBorder="1" applyAlignment="1">
      <alignment horizontal="center" vertical="center"/>
    </xf>
    <xf numFmtId="43" fontId="97" fillId="0" borderId="53" xfId="6" applyNumberFormat="1" applyFont="1" applyBorder="1" applyAlignment="1">
      <alignment horizontal="left" vertical="center"/>
    </xf>
    <xf numFmtId="170" fontId="4" fillId="0" borderId="53" xfId="8" applyNumberFormat="1" applyFont="1" applyBorder="1" applyAlignment="1">
      <alignment horizontal="center" vertical="center"/>
    </xf>
    <xf numFmtId="0" fontId="93" fillId="3" borderId="53" xfId="6" applyFont="1" applyFill="1" applyBorder="1" applyAlignment="1">
      <alignment horizontal="center" vertical="center"/>
    </xf>
    <xf numFmtId="0" fontId="93" fillId="8" borderId="53" xfId="6" applyFont="1" applyFill="1" applyBorder="1" applyAlignment="1">
      <alignment horizontal="center" vertical="center"/>
    </xf>
    <xf numFmtId="0" fontId="93" fillId="0" borderId="53" xfId="6" applyFont="1" applyBorder="1" applyAlignment="1">
      <alignment horizontal="center" vertical="center"/>
    </xf>
    <xf numFmtId="0" fontId="93" fillId="0" borderId="54" xfId="6" applyFont="1" applyBorder="1" applyAlignment="1">
      <alignment horizontal="center" vertical="center"/>
    </xf>
    <xf numFmtId="0" fontId="93" fillId="0" borderId="50" xfId="6" applyFont="1" applyBorder="1" applyAlignment="1">
      <alignment horizontal="center" vertical="center"/>
    </xf>
    <xf numFmtId="0" fontId="93" fillId="0" borderId="51" xfId="6" applyFont="1" applyBorder="1" applyAlignment="1">
      <alignment horizontal="center" vertical="center"/>
    </xf>
    <xf numFmtId="0" fontId="18" fillId="0" borderId="50" xfId="6" applyFont="1" applyBorder="1" applyAlignment="1">
      <alignment horizontal="left" vertical="center" wrapText="1"/>
    </xf>
    <xf numFmtId="0" fontId="18" fillId="0" borderId="56" xfId="6" applyFont="1" applyBorder="1" applyAlignment="1">
      <alignment horizontal="left" vertical="center" wrapText="1"/>
    </xf>
    <xf numFmtId="43" fontId="97" fillId="0" borderId="56" xfId="6" applyNumberFormat="1" applyFont="1" applyBorder="1" applyAlignment="1">
      <alignment horizontal="left" vertical="center"/>
    </xf>
    <xf numFmtId="170" fontId="4" fillId="0" borderId="56" xfId="8" applyNumberFormat="1" applyFont="1" applyBorder="1" applyAlignment="1">
      <alignment horizontal="center" vertical="center"/>
    </xf>
    <xf numFmtId="0" fontId="93" fillId="0" borderId="56" xfId="6" applyFont="1" applyBorder="1" applyAlignment="1">
      <alignment horizontal="center" vertical="center"/>
    </xf>
    <xf numFmtId="0" fontId="93" fillId="8" borderId="56" xfId="6" applyFont="1" applyFill="1" applyBorder="1" applyAlignment="1">
      <alignment horizontal="center" vertical="center"/>
    </xf>
    <xf numFmtId="0" fontId="93" fillId="0" borderId="57" xfId="6" applyFont="1" applyBorder="1" applyAlignment="1">
      <alignment horizontal="center" vertical="center"/>
    </xf>
    <xf numFmtId="0" fontId="18" fillId="0" borderId="53" xfId="6" applyFont="1" applyBorder="1" applyAlignment="1">
      <alignment horizontal="left" vertical="center" wrapText="1"/>
    </xf>
    <xf numFmtId="43" fontId="8" fillId="0" borderId="35" xfId="6" applyNumberFormat="1" applyBorder="1" applyAlignment="1">
      <alignment horizontal="center" vertical="center"/>
    </xf>
    <xf numFmtId="43" fontId="97" fillId="0" borderId="35" xfId="6" applyNumberFormat="1" applyFont="1" applyBorder="1" applyAlignment="1">
      <alignment horizontal="left" vertical="center"/>
    </xf>
    <xf numFmtId="170" fontId="4" fillId="0" borderId="35" xfId="8" applyNumberFormat="1" applyFont="1" applyBorder="1" applyAlignment="1">
      <alignment horizontal="center" vertical="center"/>
    </xf>
    <xf numFmtId="0" fontId="93" fillId="3" borderId="35" xfId="6" applyFont="1" applyFill="1" applyBorder="1" applyAlignment="1">
      <alignment horizontal="center" vertical="center"/>
    </xf>
    <xf numFmtId="0" fontId="93" fillId="8" borderId="35" xfId="6" applyFont="1" applyFill="1" applyBorder="1" applyAlignment="1">
      <alignment horizontal="center" vertical="center"/>
    </xf>
    <xf numFmtId="0" fontId="93" fillId="0" borderId="35" xfId="6" applyFont="1" applyBorder="1" applyAlignment="1">
      <alignment horizontal="center" vertical="center"/>
    </xf>
    <xf numFmtId="0" fontId="93" fillId="0" borderId="48" xfId="6" applyFont="1" applyBorder="1" applyAlignment="1">
      <alignment horizontal="center" vertical="center"/>
    </xf>
    <xf numFmtId="43" fontId="6" fillId="0" borderId="35" xfId="6" applyNumberFormat="1" applyFont="1" applyBorder="1" applyAlignment="1">
      <alignment horizontal="center" vertical="center" wrapText="1"/>
    </xf>
    <xf numFmtId="170" fontId="6" fillId="0" borderId="35" xfId="8" applyNumberFormat="1" applyFont="1" applyFill="1" applyBorder="1" applyAlignment="1">
      <alignment horizontal="center" vertical="center" wrapText="1"/>
    </xf>
    <xf numFmtId="1" fontId="93" fillId="3" borderId="35" xfId="6" applyNumberFormat="1" applyFont="1" applyFill="1" applyBorder="1" applyAlignment="1">
      <alignment horizontal="center" vertical="center"/>
    </xf>
    <xf numFmtId="0" fontId="93" fillId="3" borderId="48" xfId="6" applyFont="1" applyFill="1" applyBorder="1" applyAlignment="1">
      <alignment horizontal="center" vertical="center"/>
    </xf>
    <xf numFmtId="4" fontId="0" fillId="0" borderId="0" xfId="0" applyNumberFormat="1" applyAlignment="1">
      <alignment horizontal="center" vertical="center"/>
    </xf>
    <xf numFmtId="0" fontId="18" fillId="0" borderId="35" xfId="6" applyFont="1" applyBorder="1" applyAlignment="1">
      <alignment horizontal="left" vertical="center" wrapText="1"/>
    </xf>
    <xf numFmtId="0" fontId="35" fillId="0" borderId="34" xfId="6" applyFont="1" applyBorder="1" applyAlignment="1">
      <alignment horizontal="center" vertical="center" wrapText="1"/>
    </xf>
    <xf numFmtId="0" fontId="35" fillId="0" borderId="35" xfId="6" applyFont="1" applyBorder="1" applyAlignment="1">
      <alignment horizontal="left" vertical="center" wrapText="1"/>
    </xf>
    <xf numFmtId="0" fontId="99" fillId="0" borderId="34" xfId="6" applyFont="1" applyBorder="1" applyAlignment="1">
      <alignment horizontal="center" vertical="center"/>
    </xf>
    <xf numFmtId="0" fontId="99" fillId="0" borderId="35" xfId="6" applyFont="1" applyBorder="1" applyAlignment="1">
      <alignment horizontal="left" vertical="center" wrapText="1"/>
    </xf>
    <xf numFmtId="171" fontId="98" fillId="3" borderId="2" xfId="8" applyNumberFormat="1" applyFont="1" applyFill="1" applyBorder="1" applyAlignment="1">
      <alignment horizontal="center" vertical="center" wrapText="1"/>
    </xf>
    <xf numFmtId="171" fontId="98" fillId="3" borderId="5" xfId="8" applyNumberFormat="1" applyFont="1" applyFill="1" applyBorder="1" applyAlignment="1">
      <alignment horizontal="center" vertical="center" wrapText="1"/>
    </xf>
    <xf numFmtId="171" fontId="98" fillId="3" borderId="58" xfId="8" applyNumberFormat="1" applyFont="1" applyFill="1" applyBorder="1" applyAlignment="1">
      <alignment horizontal="center" vertical="center" wrapText="1"/>
    </xf>
    <xf numFmtId="171" fontId="98" fillId="3" borderId="59" xfId="8" applyNumberFormat="1" applyFont="1" applyFill="1" applyBorder="1" applyAlignment="1">
      <alignment horizontal="center" vertical="center" wrapText="1"/>
    </xf>
    <xf numFmtId="4" fontId="32" fillId="10" borderId="2" xfId="10" applyNumberFormat="1" applyFont="1" applyFill="1" applyBorder="1" applyAlignment="1">
      <alignment horizontal="center" vertical="center" wrapText="1"/>
    </xf>
    <xf numFmtId="0" fontId="21" fillId="3" borderId="13" xfId="12" applyFont="1" applyFill="1" applyBorder="1" applyAlignment="1">
      <alignment vertical="center"/>
    </xf>
    <xf numFmtId="2" fontId="1" fillId="3" borderId="4" xfId="12" applyNumberFormat="1" applyFill="1" applyBorder="1" applyAlignment="1">
      <alignment horizontal="center" vertical="center"/>
    </xf>
    <xf numFmtId="0" fontId="21" fillId="3" borderId="16" xfId="12" applyFont="1" applyFill="1" applyBorder="1" applyAlignment="1">
      <alignment vertical="center"/>
    </xf>
    <xf numFmtId="0" fontId="10" fillId="3" borderId="25" xfId="12" applyFont="1" applyFill="1" applyBorder="1" applyAlignment="1">
      <alignment vertical="center"/>
    </xf>
    <xf numFmtId="2" fontId="10" fillId="3" borderId="26" xfId="12" applyNumberFormat="1" applyFont="1" applyFill="1" applyBorder="1" applyAlignment="1">
      <alignment horizontal="center" vertical="center"/>
    </xf>
    <xf numFmtId="0" fontId="21" fillId="3" borderId="6" xfId="12" applyFont="1" applyFill="1" applyBorder="1" applyAlignment="1">
      <alignment horizontal="left" vertical="center" wrapText="1"/>
    </xf>
    <xf numFmtId="0" fontId="21" fillId="3" borderId="6" xfId="12" applyFont="1" applyFill="1" applyBorder="1" applyAlignment="1">
      <alignment vertical="center" wrapText="1"/>
    </xf>
    <xf numFmtId="0" fontId="44" fillId="4" borderId="3" xfId="12" applyFont="1" applyFill="1" applyBorder="1" applyAlignment="1">
      <alignment vertical="center"/>
    </xf>
    <xf numFmtId="0" fontId="44" fillId="4" borderId="1" xfId="12" applyFont="1" applyFill="1" applyBorder="1" applyAlignment="1">
      <alignment horizontal="right" vertical="center"/>
    </xf>
    <xf numFmtId="10" fontId="45" fillId="4" borderId="2" xfId="13" applyNumberFormat="1" applyFont="1" applyFill="1" applyBorder="1" applyAlignment="1" applyProtection="1">
      <alignment horizontal="center" vertical="center"/>
    </xf>
    <xf numFmtId="10" fontId="46" fillId="4" borderId="2" xfId="13" applyNumberFormat="1" applyFont="1" applyFill="1" applyBorder="1" applyAlignment="1" applyProtection="1">
      <alignment horizontal="center" vertical="center"/>
    </xf>
    <xf numFmtId="43" fontId="35" fillId="3" borderId="0" xfId="6" applyNumberFormat="1" applyFont="1" applyFill="1" applyAlignment="1">
      <alignment vertical="center" wrapText="1"/>
    </xf>
    <xf numFmtId="0" fontId="0" fillId="0" borderId="2" xfId="0" applyBorder="1" applyAlignment="1">
      <alignment horizontal="left" vertical="center" wrapText="1"/>
    </xf>
    <xf numFmtId="1" fontId="31" fillId="0" borderId="2" xfId="6" applyNumberFormat="1" applyFont="1" applyBorder="1" applyAlignment="1">
      <alignment horizontal="center" vertical="center" wrapText="1"/>
    </xf>
    <xf numFmtId="0" fontId="31" fillId="0" borderId="2" xfId="6" applyFont="1" applyBorder="1" applyAlignment="1">
      <alignment horizontal="center" vertical="center" wrapText="1"/>
    </xf>
    <xf numFmtId="0" fontId="34" fillId="4" borderId="2" xfId="6" applyFont="1" applyFill="1" applyBorder="1" applyAlignment="1">
      <alignment horizontal="center" vertical="center" textRotation="90" wrapText="1"/>
    </xf>
    <xf numFmtId="0" fontId="33" fillId="4" borderId="2" xfId="6" applyFont="1" applyFill="1" applyBorder="1" applyAlignment="1">
      <alignment horizontal="center" vertical="center" textRotation="90" wrapText="1"/>
    </xf>
    <xf numFmtId="0" fontId="100" fillId="4" borderId="2" xfId="9" applyFont="1" applyFill="1" applyBorder="1" applyAlignment="1">
      <alignment horizontal="center" vertical="center" textRotation="90" wrapText="1"/>
    </xf>
    <xf numFmtId="43" fontId="97" fillId="0" borderId="61" xfId="6" applyNumberFormat="1" applyFont="1" applyBorder="1" applyAlignment="1">
      <alignment horizontal="left" vertical="center"/>
    </xf>
    <xf numFmtId="170" fontId="6" fillId="0" borderId="61" xfId="8" applyNumberFormat="1" applyFont="1" applyFill="1" applyBorder="1" applyAlignment="1">
      <alignment horizontal="center" vertical="center" wrapText="1"/>
    </xf>
    <xf numFmtId="0" fontId="93" fillId="3" borderId="61" xfId="6" applyFont="1" applyFill="1" applyBorder="1" applyAlignment="1">
      <alignment horizontal="center" vertical="center"/>
    </xf>
    <xf numFmtId="0" fontId="93" fillId="8" borderId="61" xfId="6" applyFont="1" applyFill="1" applyBorder="1" applyAlignment="1">
      <alignment horizontal="center" vertical="center"/>
    </xf>
    <xf numFmtId="1" fontId="93" fillId="3" borderId="61" xfId="6" applyNumberFormat="1" applyFont="1" applyFill="1" applyBorder="1" applyAlignment="1">
      <alignment horizontal="center" vertical="center"/>
    </xf>
    <xf numFmtId="0" fontId="93" fillId="3" borderId="62" xfId="6" applyFont="1" applyFill="1" applyBorder="1" applyAlignment="1">
      <alignment horizontal="center" vertical="center"/>
    </xf>
    <xf numFmtId="171" fontId="98" fillId="3" borderId="63" xfId="8" applyNumberFormat="1" applyFont="1" applyFill="1" applyBorder="1" applyAlignment="1">
      <alignment horizontal="center" vertical="center" wrapText="1"/>
    </xf>
    <xf numFmtId="43" fontId="97" fillId="0" borderId="65" xfId="6" applyNumberFormat="1" applyFont="1" applyBorder="1" applyAlignment="1">
      <alignment horizontal="left" vertical="center"/>
    </xf>
    <xf numFmtId="170" fontId="4" fillId="0" borderId="65" xfId="8" applyNumberFormat="1" applyFont="1" applyBorder="1" applyAlignment="1">
      <alignment horizontal="center" vertical="center"/>
    </xf>
    <xf numFmtId="0" fontId="93" fillId="3" borderId="65" xfId="6" applyFont="1" applyFill="1" applyBorder="1" applyAlignment="1">
      <alignment horizontal="center" vertical="center"/>
    </xf>
    <xf numFmtId="0" fontId="93" fillId="8" borderId="65" xfId="6" applyFont="1" applyFill="1" applyBorder="1" applyAlignment="1">
      <alignment horizontal="center" vertical="center"/>
    </xf>
    <xf numFmtId="0" fontId="93" fillId="3" borderId="66" xfId="6" applyFont="1" applyFill="1" applyBorder="1" applyAlignment="1">
      <alignment horizontal="center" vertical="center"/>
    </xf>
    <xf numFmtId="171" fontId="98" fillId="3" borderId="67" xfId="8" applyNumberFormat="1" applyFont="1" applyFill="1" applyBorder="1" applyAlignment="1">
      <alignment horizontal="center" vertical="center" wrapText="1"/>
    </xf>
    <xf numFmtId="170" fontId="4" fillId="0" borderId="61" xfId="8" applyNumberFormat="1" applyFont="1" applyBorder="1" applyAlignment="1">
      <alignment horizontal="center" vertical="center"/>
    </xf>
    <xf numFmtId="0" fontId="93" fillId="0" borderId="65" xfId="6" applyFont="1" applyBorder="1" applyAlignment="1">
      <alignment horizontal="center" vertical="center"/>
    </xf>
    <xf numFmtId="0" fontId="93" fillId="0" borderId="66" xfId="6" applyFont="1" applyBorder="1" applyAlignment="1">
      <alignment horizontal="center" vertical="center"/>
    </xf>
    <xf numFmtId="0" fontId="93" fillId="0" borderId="61" xfId="6" applyFont="1" applyBorder="1" applyAlignment="1">
      <alignment horizontal="center" vertical="center"/>
    </xf>
    <xf numFmtId="0" fontId="93" fillId="0" borderId="62" xfId="6" applyFont="1" applyBorder="1" applyAlignment="1">
      <alignment horizontal="center" vertical="center"/>
    </xf>
    <xf numFmtId="0" fontId="18" fillId="0" borderId="61" xfId="6" applyFont="1" applyBorder="1" applyAlignment="1">
      <alignment horizontal="left" vertical="center" wrapText="1"/>
    </xf>
    <xf numFmtId="0" fontId="99" fillId="0" borderId="46" xfId="6" applyFont="1" applyBorder="1" applyAlignment="1">
      <alignment horizontal="center" vertical="center"/>
    </xf>
    <xf numFmtId="0" fontId="99" fillId="0" borderId="37" xfId="6" applyFont="1" applyBorder="1" applyAlignment="1">
      <alignment horizontal="left" vertical="center" wrapText="1"/>
    </xf>
    <xf numFmtId="0" fontId="18" fillId="0" borderId="37" xfId="6" applyFont="1" applyBorder="1" applyAlignment="1">
      <alignment horizontal="left" vertical="center" wrapText="1"/>
    </xf>
    <xf numFmtId="43" fontId="8" fillId="0" borderId="37" xfId="6" applyNumberFormat="1" applyBorder="1" applyAlignment="1">
      <alignment horizontal="center" vertical="center"/>
    </xf>
    <xf numFmtId="43" fontId="97" fillId="0" borderId="37" xfId="6" applyNumberFormat="1" applyFont="1" applyBorder="1" applyAlignment="1">
      <alignment horizontal="left" vertical="center"/>
    </xf>
    <xf numFmtId="170" fontId="4" fillId="0" borderId="37" xfId="8" applyNumberFormat="1" applyFont="1" applyBorder="1" applyAlignment="1">
      <alignment horizontal="center" vertical="center"/>
    </xf>
    <xf numFmtId="0" fontId="93" fillId="0" borderId="37" xfId="6" applyFont="1" applyBorder="1" applyAlignment="1">
      <alignment horizontal="center" vertical="center"/>
    </xf>
    <xf numFmtId="0" fontId="93" fillId="8" borderId="37" xfId="6" applyFont="1" applyFill="1" applyBorder="1" applyAlignment="1">
      <alignment horizontal="center" vertical="center"/>
    </xf>
    <xf numFmtId="0" fontId="93" fillId="0" borderId="68" xfId="6" applyFont="1" applyBorder="1" applyAlignment="1">
      <alignment horizontal="center" vertical="center"/>
    </xf>
    <xf numFmtId="171" fontId="98" fillId="3" borderId="34" xfId="8" applyNumberFormat="1" applyFont="1" applyFill="1" applyBorder="1" applyAlignment="1">
      <alignment horizontal="center" vertical="center" wrapText="1"/>
    </xf>
    <xf numFmtId="171" fontId="98" fillId="3" borderId="35" xfId="8" applyNumberFormat="1" applyFont="1" applyFill="1" applyBorder="1" applyAlignment="1">
      <alignment horizontal="center" vertical="center" wrapText="1"/>
    </xf>
    <xf numFmtId="171" fontId="98" fillId="3" borderId="48" xfId="8" applyNumberFormat="1" applyFont="1" applyFill="1" applyBorder="1" applyAlignment="1">
      <alignment horizontal="center" vertical="center" wrapText="1"/>
    </xf>
    <xf numFmtId="171" fontId="98" fillId="3" borderId="60" xfId="8" applyNumberFormat="1" applyFont="1" applyFill="1" applyBorder="1" applyAlignment="1">
      <alignment horizontal="center" vertical="center" wrapText="1"/>
    </xf>
    <xf numFmtId="171" fontId="98" fillId="3" borderId="61" xfId="8" applyNumberFormat="1" applyFont="1" applyFill="1" applyBorder="1" applyAlignment="1">
      <alignment horizontal="center" vertical="center" wrapText="1"/>
    </xf>
    <xf numFmtId="171" fontId="98" fillId="3" borderId="62" xfId="8" applyNumberFormat="1" applyFont="1" applyFill="1" applyBorder="1" applyAlignment="1">
      <alignment horizontal="center" vertical="center" wrapText="1"/>
    </xf>
    <xf numFmtId="171" fontId="98" fillId="3" borderId="64" xfId="8" applyNumberFormat="1" applyFont="1" applyFill="1" applyBorder="1" applyAlignment="1">
      <alignment horizontal="center" vertical="center" wrapText="1"/>
    </xf>
    <xf numFmtId="171" fontId="98" fillId="3" borderId="65" xfId="8" applyNumberFormat="1" applyFont="1" applyFill="1" applyBorder="1" applyAlignment="1">
      <alignment horizontal="center" vertical="center" wrapText="1"/>
    </xf>
    <xf numFmtId="171" fontId="98" fillId="3" borderId="66" xfId="8" applyNumberFormat="1" applyFont="1" applyFill="1" applyBorder="1" applyAlignment="1">
      <alignment horizontal="center" vertical="center" wrapText="1"/>
    </xf>
    <xf numFmtId="171" fontId="98" fillId="3" borderId="49" xfId="8" applyNumberFormat="1" applyFont="1" applyFill="1" applyBorder="1" applyAlignment="1">
      <alignment horizontal="center" vertical="center" wrapText="1"/>
    </xf>
    <xf numFmtId="171" fontId="98" fillId="3" borderId="50" xfId="8" applyNumberFormat="1" applyFont="1" applyFill="1" applyBorder="1" applyAlignment="1">
      <alignment horizontal="center" vertical="center" wrapText="1"/>
    </xf>
    <xf numFmtId="171" fontId="98" fillId="3" borderId="51" xfId="8" applyNumberFormat="1" applyFont="1" applyFill="1" applyBorder="1" applyAlignment="1">
      <alignment horizontal="center" vertical="center" wrapText="1"/>
    </xf>
    <xf numFmtId="171" fontId="98" fillId="3" borderId="52" xfId="8" applyNumberFormat="1" applyFont="1" applyFill="1" applyBorder="1" applyAlignment="1">
      <alignment horizontal="center" vertical="center" wrapText="1"/>
    </xf>
    <xf numFmtId="171" fontId="98" fillId="3" borderId="53" xfId="8" applyNumberFormat="1" applyFont="1" applyFill="1" applyBorder="1" applyAlignment="1">
      <alignment horizontal="center" vertical="center" wrapText="1"/>
    </xf>
    <xf numFmtId="171" fontId="98" fillId="3" borderId="54" xfId="8" applyNumberFormat="1" applyFont="1" applyFill="1" applyBorder="1" applyAlignment="1">
      <alignment horizontal="center" vertical="center" wrapText="1"/>
    </xf>
    <xf numFmtId="171" fontId="98" fillId="3" borderId="55" xfId="8" applyNumberFormat="1" applyFont="1" applyFill="1" applyBorder="1" applyAlignment="1">
      <alignment horizontal="center" vertical="center" wrapText="1"/>
    </xf>
    <xf numFmtId="171" fontId="98" fillId="3" borderId="56" xfId="8" applyNumberFormat="1" applyFont="1" applyFill="1" applyBorder="1" applyAlignment="1">
      <alignment horizontal="center" vertical="center" wrapText="1"/>
    </xf>
    <xf numFmtId="171" fontId="98" fillId="3" borderId="57" xfId="8" applyNumberFormat="1" applyFont="1" applyFill="1" applyBorder="1" applyAlignment="1">
      <alignment horizontal="center" vertical="center" wrapText="1"/>
    </xf>
    <xf numFmtId="171" fontId="98" fillId="3" borderId="46" xfId="8" applyNumberFormat="1" applyFont="1" applyFill="1" applyBorder="1" applyAlignment="1">
      <alignment horizontal="center" vertical="center" wrapText="1"/>
    </xf>
    <xf numFmtId="171" fontId="98" fillId="3" borderId="37" xfId="8" applyNumberFormat="1" applyFont="1" applyFill="1" applyBorder="1" applyAlignment="1">
      <alignment horizontal="center" vertical="center" wrapText="1"/>
    </xf>
    <xf numFmtId="171" fontId="98" fillId="3" borderId="68" xfId="8" applyNumberFormat="1" applyFont="1" applyFill="1" applyBorder="1" applyAlignment="1">
      <alignment horizontal="center" vertical="center" wrapText="1"/>
    </xf>
    <xf numFmtId="172" fontId="101" fillId="8" borderId="2" xfId="11" applyNumberFormat="1" applyFont="1" applyFill="1" applyBorder="1" applyAlignment="1">
      <alignment horizontal="center" vertical="center" textRotation="90"/>
    </xf>
    <xf numFmtId="0" fontId="18" fillId="0" borderId="65" xfId="6" applyFont="1" applyBorder="1" applyAlignment="1">
      <alignment horizontal="left" vertical="center" wrapText="1"/>
    </xf>
    <xf numFmtId="3" fontId="21" fillId="0" borderId="45" xfId="0" applyNumberFormat="1" applyFont="1" applyBorder="1" applyAlignment="1">
      <alignment horizontal="center" vertical="center"/>
    </xf>
    <xf numFmtId="0" fontId="102" fillId="0" borderId="45" xfId="0" applyFont="1" applyBorder="1" applyAlignment="1">
      <alignment vertical="center"/>
    </xf>
    <xf numFmtId="0" fontId="15" fillId="0" borderId="14" xfId="0" applyFont="1" applyBorder="1" applyAlignment="1">
      <alignment horizontal="left" vertical="center"/>
    </xf>
    <xf numFmtId="0" fontId="13" fillId="0" borderId="0" xfId="0" applyFont="1" applyAlignment="1">
      <alignment horizontal="left" vertical="center"/>
    </xf>
    <xf numFmtId="0" fontId="3" fillId="3" borderId="14" xfId="0" applyFont="1" applyFill="1" applyBorder="1" applyAlignment="1">
      <alignment vertical="center"/>
    </xf>
    <xf numFmtId="0" fontId="15" fillId="6" borderId="2" xfId="0" applyFont="1" applyFill="1" applyBorder="1" applyAlignment="1">
      <alignment horizontal="center" vertical="center" wrapText="1"/>
    </xf>
    <xf numFmtId="0" fontId="13" fillId="0" borderId="2" xfId="0" applyFont="1" applyBorder="1" applyAlignment="1">
      <alignment horizontal="center" vertical="center"/>
    </xf>
    <xf numFmtId="0" fontId="13" fillId="0" borderId="2" xfId="0" applyFont="1" applyBorder="1" applyAlignment="1">
      <alignment vertical="center"/>
    </xf>
    <xf numFmtId="1" fontId="13" fillId="0" borderId="2" xfId="0" applyNumberFormat="1" applyFont="1" applyBorder="1" applyAlignment="1">
      <alignment horizontal="center" vertical="center"/>
    </xf>
    <xf numFmtId="44" fontId="13" fillId="0" borderId="2" xfId="20" applyFont="1" applyBorder="1" applyAlignment="1">
      <alignment horizontal="center" vertical="center"/>
    </xf>
    <xf numFmtId="0" fontId="13" fillId="0" borderId="2" xfId="0" applyFont="1" applyBorder="1" applyAlignment="1">
      <alignment horizontal="left" vertical="center" wrapText="1"/>
    </xf>
    <xf numFmtId="44" fontId="69" fillId="7" borderId="70" xfId="0" applyNumberFormat="1" applyFont="1" applyFill="1" applyBorder="1" applyAlignment="1">
      <alignment vertical="center"/>
    </xf>
    <xf numFmtId="44" fontId="69" fillId="7" borderId="71" xfId="0" applyNumberFormat="1" applyFont="1" applyFill="1" applyBorder="1" applyAlignment="1">
      <alignment vertical="center"/>
    </xf>
    <xf numFmtId="0" fontId="67" fillId="3" borderId="11" xfId="0" applyFont="1" applyFill="1" applyBorder="1"/>
    <xf numFmtId="168" fontId="83" fillId="7" borderId="70" xfId="6" applyNumberFormat="1" applyFont="1" applyFill="1" applyBorder="1" applyAlignment="1">
      <alignment horizontal="center" vertical="center"/>
    </xf>
    <xf numFmtId="169" fontId="83" fillId="7" borderId="71" xfId="6" applyNumberFormat="1" applyFont="1" applyFill="1" applyBorder="1" applyAlignment="1">
      <alignment horizontal="center" vertical="center"/>
    </xf>
    <xf numFmtId="0" fontId="14" fillId="0" borderId="0" xfId="6" applyFont="1" applyAlignment="1">
      <alignment vertical="center" wrapText="1"/>
    </xf>
    <xf numFmtId="43" fontId="74" fillId="12" borderId="2" xfId="6" applyNumberFormat="1" applyFont="1" applyFill="1" applyBorder="1" applyAlignment="1">
      <alignment vertical="center" wrapText="1"/>
    </xf>
    <xf numFmtId="43" fontId="88" fillId="12" borderId="2" xfId="6" applyNumberFormat="1" applyFont="1" applyFill="1" applyBorder="1" applyAlignment="1">
      <alignment vertical="center" wrapText="1"/>
    </xf>
    <xf numFmtId="43" fontId="89" fillId="12" borderId="2" xfId="6" applyNumberFormat="1" applyFont="1" applyFill="1" applyBorder="1" applyAlignment="1">
      <alignment vertical="center" wrapText="1"/>
    </xf>
    <xf numFmtId="0" fontId="90" fillId="12" borderId="2" xfId="6" applyFont="1" applyFill="1" applyBorder="1" applyAlignment="1">
      <alignment vertical="center" wrapText="1"/>
    </xf>
    <xf numFmtId="0" fontId="91" fillId="12" borderId="2" xfId="6" applyFont="1" applyFill="1" applyBorder="1" applyAlignment="1">
      <alignment vertical="center" wrapText="1"/>
    </xf>
    <xf numFmtId="0" fontId="91" fillId="0" borderId="0" xfId="6" applyFont="1" applyAlignment="1">
      <alignment vertical="center" wrapText="1"/>
    </xf>
    <xf numFmtId="4" fontId="43" fillId="3" borderId="4" xfId="0" applyNumberFormat="1" applyFont="1" applyFill="1" applyBorder="1" applyAlignment="1">
      <alignment horizontal="center"/>
    </xf>
    <xf numFmtId="4" fontId="43" fillId="3" borderId="4" xfId="0" applyNumberFormat="1" applyFont="1" applyFill="1" applyBorder="1" applyAlignment="1">
      <alignment horizontal="center" vertical="center"/>
    </xf>
    <xf numFmtId="0" fontId="53" fillId="7" borderId="0" xfId="6" applyFont="1" applyFill="1" applyAlignment="1">
      <alignment vertical="center"/>
    </xf>
    <xf numFmtId="0" fontId="103" fillId="7" borderId="0" xfId="6" applyFont="1" applyFill="1" applyAlignment="1">
      <alignment vertical="center"/>
    </xf>
    <xf numFmtId="0" fontId="103" fillId="7" borderId="0" xfId="6" applyFont="1" applyFill="1" applyAlignment="1">
      <alignment horizontal="center" vertical="center"/>
    </xf>
    <xf numFmtId="170" fontId="103" fillId="7" borderId="0" xfId="6" applyNumberFormat="1" applyFont="1" applyFill="1" applyAlignment="1">
      <alignment horizontal="center" vertical="center"/>
    </xf>
    <xf numFmtId="0" fontId="64" fillId="7" borderId="0" xfId="6" applyFont="1" applyFill="1" applyAlignment="1">
      <alignment vertical="center"/>
    </xf>
    <xf numFmtId="0" fontId="82" fillId="7" borderId="0" xfId="6" applyFont="1" applyFill="1" applyAlignment="1">
      <alignment vertical="center"/>
    </xf>
    <xf numFmtId="0" fontId="64" fillId="7" borderId="0" xfId="6" applyFont="1" applyFill="1" applyAlignment="1">
      <alignment horizontal="center" vertical="center"/>
    </xf>
    <xf numFmtId="0" fontId="104" fillId="7" borderId="0" xfId="6" applyFont="1" applyFill="1" applyAlignment="1">
      <alignment vertical="center"/>
    </xf>
    <xf numFmtId="0" fontId="82" fillId="7" borderId="0" xfId="6" applyFont="1" applyFill="1" applyAlignment="1">
      <alignment horizontal="center" vertical="center"/>
    </xf>
    <xf numFmtId="43" fontId="82" fillId="7" borderId="0" xfId="6" applyNumberFormat="1" applyFont="1" applyFill="1" applyAlignment="1">
      <alignment vertical="center"/>
    </xf>
    <xf numFmtId="43" fontId="69" fillId="7" borderId="0" xfId="6" applyNumberFormat="1" applyFont="1" applyFill="1" applyAlignment="1">
      <alignment vertical="center"/>
    </xf>
    <xf numFmtId="43" fontId="69" fillId="7" borderId="0" xfId="6" applyNumberFormat="1" applyFont="1" applyFill="1" applyAlignment="1">
      <alignment vertical="center" wrapText="1"/>
    </xf>
    <xf numFmtId="0" fontId="105" fillId="7" borderId="0" xfId="6" applyFont="1" applyFill="1" applyAlignment="1">
      <alignment vertical="center"/>
    </xf>
    <xf numFmtId="0" fontId="105" fillId="7" borderId="0" xfId="6" applyFont="1" applyFill="1" applyAlignment="1">
      <alignment horizontal="center" vertical="center"/>
    </xf>
    <xf numFmtId="0" fontId="106" fillId="7" borderId="0" xfId="6" applyFont="1" applyFill="1" applyAlignment="1">
      <alignment horizontal="right" vertical="center"/>
    </xf>
    <xf numFmtId="17" fontId="106" fillId="7" borderId="0" xfId="6" applyNumberFormat="1" applyFont="1" applyFill="1" applyAlignment="1">
      <alignment horizontal="left" vertical="center"/>
    </xf>
    <xf numFmtId="43" fontId="79" fillId="7" borderId="2" xfId="6" applyNumberFormat="1" applyFont="1" applyFill="1" applyBorder="1" applyAlignment="1">
      <alignment horizontal="center" vertical="center"/>
    </xf>
    <xf numFmtId="43" fontId="82" fillId="7" borderId="0" xfId="6" applyNumberFormat="1" applyFont="1" applyFill="1" applyAlignment="1">
      <alignment horizontal="center" vertical="center"/>
    </xf>
    <xf numFmtId="43" fontId="82" fillId="7" borderId="0" xfId="6" applyNumberFormat="1" applyFont="1" applyFill="1" applyAlignment="1">
      <alignment vertical="center" wrapText="1"/>
    </xf>
    <xf numFmtId="44" fontId="15" fillId="8" borderId="2" xfId="20" applyFont="1" applyFill="1" applyBorder="1" applyAlignment="1">
      <alignment horizontal="center" vertical="center"/>
    </xf>
    <xf numFmtId="0" fontId="65" fillId="7" borderId="0" xfId="0" applyFont="1" applyFill="1" applyAlignment="1">
      <alignment vertical="center"/>
    </xf>
    <xf numFmtId="0" fontId="9" fillId="3" borderId="73" xfId="0" applyFont="1" applyFill="1" applyBorder="1"/>
    <xf numFmtId="0" fontId="0" fillId="3" borderId="17" xfId="0" applyFill="1" applyBorder="1"/>
    <xf numFmtId="0" fontId="0" fillId="3" borderId="74" xfId="0" applyFill="1" applyBorder="1"/>
    <xf numFmtId="0" fontId="3" fillId="3" borderId="0" xfId="0" applyFont="1" applyFill="1" applyAlignment="1">
      <alignment horizontal="center"/>
    </xf>
    <xf numFmtId="0" fontId="0" fillId="3" borderId="0" xfId="0" applyFill="1" applyAlignment="1">
      <alignment horizontal="left"/>
    </xf>
    <xf numFmtId="0" fontId="12" fillId="3" borderId="0" xfId="0" applyFont="1" applyFill="1"/>
    <xf numFmtId="4" fontId="0" fillId="3" borderId="0" xfId="0" applyNumberFormat="1" applyFill="1" applyAlignment="1">
      <alignment horizontal="center"/>
    </xf>
    <xf numFmtId="4" fontId="0" fillId="3" borderId="0" xfId="0" applyNumberFormat="1" applyFill="1"/>
    <xf numFmtId="0" fontId="12" fillId="3" borderId="0" xfId="0" applyFont="1" applyFill="1" applyAlignment="1">
      <alignment horizontal="center"/>
    </xf>
    <xf numFmtId="17" fontId="0" fillId="0" borderId="45" xfId="0" applyNumberFormat="1" applyBorder="1" applyAlignment="1">
      <alignment horizontal="left" vertical="center" wrapText="1"/>
    </xf>
    <xf numFmtId="0" fontId="83" fillId="7" borderId="3" xfId="6" applyFont="1" applyFill="1" applyBorder="1" applyAlignment="1">
      <alignment horizontal="center" vertical="center"/>
    </xf>
    <xf numFmtId="0" fontId="83" fillId="7" borderId="27" xfId="6" applyFont="1" applyFill="1" applyBorder="1" applyAlignment="1">
      <alignment horizontal="center" vertical="center"/>
    </xf>
    <xf numFmtId="0" fontId="83" fillId="7" borderId="72" xfId="6" applyFont="1" applyFill="1" applyBorder="1" applyAlignment="1">
      <alignment horizontal="center" vertical="center"/>
    </xf>
    <xf numFmtId="0" fontId="83" fillId="7" borderId="0" xfId="6" applyFont="1" applyFill="1" applyAlignment="1">
      <alignment horizontal="center" vertical="center" wrapText="1"/>
    </xf>
    <xf numFmtId="0" fontId="31" fillId="6" borderId="13" xfId="6" applyFont="1" applyFill="1" applyBorder="1" applyAlignment="1">
      <alignment horizontal="center" vertical="center"/>
    </xf>
    <xf numFmtId="0" fontId="31" fillId="6" borderId="15" xfId="6" applyFont="1" applyFill="1" applyBorder="1" applyAlignment="1">
      <alignment horizontal="center" vertical="center"/>
    </xf>
    <xf numFmtId="0" fontId="31" fillId="6" borderId="16" xfId="6" applyFont="1" applyFill="1" applyBorder="1" applyAlignment="1">
      <alignment horizontal="center" vertical="center"/>
    </xf>
    <xf numFmtId="0" fontId="31" fillId="6" borderId="10" xfId="6" applyFont="1" applyFill="1" applyBorder="1" applyAlignment="1">
      <alignment horizontal="center" vertical="center"/>
    </xf>
    <xf numFmtId="0" fontId="31" fillId="6" borderId="25" xfId="6" applyFont="1" applyFill="1" applyBorder="1" applyAlignment="1">
      <alignment horizontal="center" vertical="center"/>
    </xf>
    <xf numFmtId="0" fontId="31" fillId="6" borderId="26" xfId="6" applyFont="1" applyFill="1" applyBorder="1" applyAlignment="1">
      <alignment horizontal="center" vertical="center"/>
    </xf>
    <xf numFmtId="0" fontId="31" fillId="6" borderId="3" xfId="6" applyFont="1" applyFill="1" applyBorder="1" applyAlignment="1">
      <alignment horizontal="center" vertical="center"/>
    </xf>
    <xf numFmtId="0" fontId="31" fillId="6" borderId="27" xfId="6" applyFont="1" applyFill="1" applyBorder="1" applyAlignment="1">
      <alignment horizontal="center" vertical="center"/>
    </xf>
    <xf numFmtId="0" fontId="31" fillId="6" borderId="1" xfId="6" applyFont="1" applyFill="1" applyBorder="1" applyAlignment="1">
      <alignment horizontal="center" vertical="center"/>
    </xf>
    <xf numFmtId="0" fontId="31" fillId="6" borderId="4" xfId="6" applyFont="1" applyFill="1" applyBorder="1" applyAlignment="1">
      <alignment horizontal="center" vertical="center"/>
    </xf>
    <xf numFmtId="0" fontId="31" fillId="6" borderId="5" xfId="6" applyFont="1" applyFill="1" applyBorder="1" applyAlignment="1">
      <alignment horizontal="center" vertical="center"/>
    </xf>
    <xf numFmtId="0" fontId="31" fillId="6" borderId="3" xfId="6" applyFont="1" applyFill="1" applyBorder="1" applyAlignment="1">
      <alignment horizontal="center" vertical="center" wrapText="1"/>
    </xf>
    <xf numFmtId="0" fontId="31" fillId="6" borderId="1" xfId="6" applyFont="1" applyFill="1" applyBorder="1" applyAlignment="1">
      <alignment horizontal="center" vertical="center" wrapText="1"/>
    </xf>
    <xf numFmtId="0" fontId="31" fillId="6" borderId="4" xfId="6" applyFont="1" applyFill="1" applyBorder="1" applyAlignment="1">
      <alignment horizontal="center" vertical="center" wrapText="1"/>
    </xf>
    <xf numFmtId="0" fontId="31" fillId="6" borderId="6" xfId="6" applyFont="1" applyFill="1" applyBorder="1" applyAlignment="1">
      <alignment horizontal="center" vertical="center" wrapText="1"/>
    </xf>
    <xf numFmtId="0" fontId="31" fillId="6" borderId="5" xfId="6" applyFont="1" applyFill="1" applyBorder="1" applyAlignment="1">
      <alignment horizontal="center" vertical="center" wrapText="1"/>
    </xf>
    <xf numFmtId="43" fontId="8" fillId="0" borderId="61" xfId="6" applyNumberFormat="1" applyBorder="1" applyAlignment="1">
      <alignment horizontal="center" vertical="center"/>
    </xf>
    <xf numFmtId="43" fontId="8" fillId="0" borderId="65" xfId="6" applyNumberFormat="1" applyBorder="1" applyAlignment="1">
      <alignment horizontal="center" vertical="center"/>
    </xf>
    <xf numFmtId="43" fontId="8" fillId="0" borderId="50" xfId="6" applyNumberFormat="1" applyBorder="1" applyAlignment="1">
      <alignment horizontal="center" vertical="center"/>
    </xf>
    <xf numFmtId="43" fontId="8" fillId="0" borderId="53" xfId="6" applyNumberFormat="1" applyBorder="1" applyAlignment="1">
      <alignment horizontal="center" vertical="center"/>
    </xf>
    <xf numFmtId="0" fontId="99" fillId="0" borderId="60" xfId="6" applyFont="1" applyBorder="1" applyAlignment="1">
      <alignment horizontal="center" vertical="center" wrapText="1"/>
    </xf>
    <xf numFmtId="0" fontId="99" fillId="0" borderId="64" xfId="6" applyFont="1" applyBorder="1" applyAlignment="1">
      <alignment horizontal="center" vertical="center" wrapText="1"/>
    </xf>
    <xf numFmtId="0" fontId="99" fillId="0" borderId="49" xfId="6" applyFont="1" applyBorder="1" applyAlignment="1">
      <alignment horizontal="center" vertical="center"/>
    </xf>
    <xf numFmtId="0" fontId="99" fillId="0" borderId="52" xfId="6" applyFont="1" applyBorder="1" applyAlignment="1">
      <alignment horizontal="center" vertical="center"/>
    </xf>
    <xf numFmtId="0" fontId="99" fillId="0" borderId="61" xfId="6" applyFont="1" applyBorder="1" applyAlignment="1">
      <alignment horizontal="left" vertical="center" wrapText="1"/>
    </xf>
    <xf numFmtId="0" fontId="99" fillId="0" borderId="65" xfId="6" applyFont="1" applyBorder="1" applyAlignment="1">
      <alignment horizontal="left" vertical="center" wrapText="1"/>
    </xf>
    <xf numFmtId="0" fontId="45" fillId="0" borderId="60" xfId="6" applyFont="1" applyBorder="1" applyAlignment="1">
      <alignment horizontal="center" vertical="center"/>
    </xf>
    <xf numFmtId="0" fontId="45" fillId="0" borderId="64" xfId="6" applyFont="1" applyBorder="1" applyAlignment="1">
      <alignment horizontal="center" vertical="center"/>
    </xf>
    <xf numFmtId="0" fontId="45" fillId="0" borderId="61" xfId="6" applyFont="1" applyBorder="1" applyAlignment="1">
      <alignment horizontal="left" vertical="center" wrapText="1"/>
    </xf>
    <xf numFmtId="0" fontId="45" fillId="0" borderId="65" xfId="6" applyFont="1" applyBorder="1" applyAlignment="1">
      <alignment horizontal="left" vertical="center" wrapText="1"/>
    </xf>
    <xf numFmtId="0" fontId="99" fillId="0" borderId="50" xfId="6" applyFont="1" applyBorder="1" applyAlignment="1">
      <alignment horizontal="left" vertical="center" wrapText="1"/>
    </xf>
    <xf numFmtId="0" fontId="99" fillId="0" borderId="53" xfId="6" applyFont="1" applyBorder="1" applyAlignment="1">
      <alignment horizontal="left" vertical="center" wrapText="1"/>
    </xf>
    <xf numFmtId="0" fontId="99" fillId="0" borderId="49" xfId="6" applyFont="1" applyBorder="1" applyAlignment="1">
      <alignment horizontal="center" vertical="center" wrapText="1"/>
    </xf>
    <xf numFmtId="0" fontId="99" fillId="0" borderId="52" xfId="6" applyFont="1" applyBorder="1" applyAlignment="1">
      <alignment horizontal="center" vertical="center" wrapText="1"/>
    </xf>
    <xf numFmtId="0" fontId="99" fillId="0" borderId="60" xfId="6" applyFont="1" applyBorder="1" applyAlignment="1">
      <alignment horizontal="center" vertical="center"/>
    </xf>
    <xf numFmtId="0" fontId="99" fillId="0" borderId="64" xfId="6" applyFont="1" applyBorder="1" applyAlignment="1">
      <alignment horizontal="center" vertical="center"/>
    </xf>
    <xf numFmtId="43" fontId="8" fillId="0" borderId="56" xfId="6" applyNumberFormat="1" applyBorder="1" applyAlignment="1">
      <alignment horizontal="center" vertical="center"/>
    </xf>
    <xf numFmtId="0" fontId="99" fillId="0" borderId="56" xfId="6" applyFont="1" applyBorder="1" applyAlignment="1">
      <alignment horizontal="left" vertical="center" wrapText="1"/>
    </xf>
    <xf numFmtId="0" fontId="99" fillId="0" borderId="55" xfId="6" applyFont="1" applyBorder="1" applyAlignment="1">
      <alignment horizontal="center" vertical="center"/>
    </xf>
    <xf numFmtId="0" fontId="100" fillId="4" borderId="3" xfId="9" applyFont="1" applyFill="1" applyBorder="1" applyAlignment="1">
      <alignment horizontal="center" vertical="center" wrapText="1"/>
    </xf>
    <xf numFmtId="0" fontId="100" fillId="4" borderId="27" xfId="9" applyFont="1" applyFill="1" applyBorder="1" applyAlignment="1">
      <alignment horizontal="center" vertical="center" wrapText="1"/>
    </xf>
    <xf numFmtId="0" fontId="100" fillId="4" borderId="1" xfId="9" applyFont="1" applyFill="1" applyBorder="1" applyAlignment="1">
      <alignment horizontal="center" vertical="center" wrapText="1"/>
    </xf>
    <xf numFmtId="0" fontId="34" fillId="4" borderId="2" xfId="6" applyFont="1" applyFill="1" applyBorder="1" applyAlignment="1">
      <alignment horizontal="center" vertical="center" wrapText="1"/>
    </xf>
    <xf numFmtId="0" fontId="35" fillId="9" borderId="2" xfId="6" applyFont="1" applyFill="1" applyBorder="1" applyAlignment="1">
      <alignment horizontal="center" vertical="center" wrapText="1"/>
    </xf>
    <xf numFmtId="0" fontId="31" fillId="19" borderId="2" xfId="6" applyFont="1" applyFill="1" applyBorder="1" applyAlignment="1">
      <alignment horizontal="center" vertical="center" wrapText="1"/>
    </xf>
    <xf numFmtId="0" fontId="38" fillId="9" borderId="2" xfId="6" applyFont="1" applyFill="1" applyBorder="1" applyAlignment="1">
      <alignment horizontal="center" vertical="center" wrapText="1"/>
    </xf>
    <xf numFmtId="170" fontId="38" fillId="19" borderId="2" xfId="8" applyNumberFormat="1" applyFont="1" applyFill="1" applyBorder="1" applyAlignment="1">
      <alignment horizontal="center" vertical="center" wrapText="1"/>
    </xf>
    <xf numFmtId="0" fontId="99" fillId="3" borderId="2" xfId="10" applyFont="1" applyFill="1" applyBorder="1" applyAlignment="1">
      <alignment horizontal="center" vertical="center" wrapText="1"/>
    </xf>
    <xf numFmtId="172" fontId="99" fillId="3" borderId="3" xfId="10" applyNumberFormat="1" applyFont="1" applyFill="1" applyBorder="1" applyAlignment="1">
      <alignment horizontal="center" vertical="center" wrapText="1"/>
    </xf>
    <xf numFmtId="172" fontId="99" fillId="3" borderId="27" xfId="10" applyNumberFormat="1" applyFont="1" applyFill="1" applyBorder="1" applyAlignment="1">
      <alignment horizontal="center" vertical="center" wrapText="1"/>
    </xf>
    <xf numFmtId="172" fontId="99" fillId="3" borderId="1" xfId="10" applyNumberFormat="1" applyFont="1" applyFill="1" applyBorder="1" applyAlignment="1">
      <alignment horizontal="center" vertical="center" wrapText="1"/>
    </xf>
    <xf numFmtId="0" fontId="38" fillId="8" borderId="2" xfId="6" applyFont="1" applyFill="1" applyBorder="1" applyAlignment="1">
      <alignment horizontal="center" vertical="center" wrapText="1"/>
    </xf>
    <xf numFmtId="43" fontId="38" fillId="8" borderId="3" xfId="6" applyNumberFormat="1" applyFont="1" applyFill="1" applyBorder="1" applyAlignment="1">
      <alignment horizontal="center" vertical="center"/>
    </xf>
    <xf numFmtId="43" fontId="38" fillId="8" borderId="1" xfId="6" applyNumberFormat="1" applyFont="1" applyFill="1" applyBorder="1" applyAlignment="1">
      <alignment horizontal="center" vertical="center"/>
    </xf>
    <xf numFmtId="0" fontId="97" fillId="8" borderId="3" xfId="10" applyFont="1" applyFill="1" applyBorder="1" applyAlignment="1">
      <alignment horizontal="center" vertical="center" wrapText="1"/>
    </xf>
    <xf numFmtId="0" fontId="97" fillId="8" borderId="27" xfId="10" applyFont="1" applyFill="1" applyBorder="1" applyAlignment="1">
      <alignment horizontal="center" vertical="center" wrapText="1"/>
    </xf>
    <xf numFmtId="0" fontId="97" fillId="8" borderId="1" xfId="10" applyFont="1" applyFill="1" applyBorder="1" applyAlignment="1">
      <alignment horizontal="center" vertical="center" wrapText="1"/>
    </xf>
    <xf numFmtId="0" fontId="74" fillId="11" borderId="3" xfId="6" applyFont="1" applyFill="1" applyBorder="1" applyAlignment="1">
      <alignment horizontal="center" vertical="center" wrapText="1"/>
    </xf>
    <xf numFmtId="0" fontId="74" fillId="11" borderId="47" xfId="6" applyFont="1" applyFill="1" applyBorder="1" applyAlignment="1">
      <alignment horizontal="center" vertical="center" wrapText="1"/>
    </xf>
    <xf numFmtId="0" fontId="15" fillId="6" borderId="2" xfId="0" applyFont="1" applyFill="1" applyBorder="1" applyAlignment="1">
      <alignment horizontal="center" vertical="center" wrapText="1"/>
    </xf>
    <xf numFmtId="44" fontId="13" fillId="0" borderId="2" xfId="20" applyFont="1" applyBorder="1" applyAlignment="1">
      <alignment horizontal="center" vertical="center"/>
    </xf>
    <xf numFmtId="44" fontId="15" fillId="8" borderId="2" xfId="20" applyFont="1" applyFill="1" applyBorder="1" applyAlignment="1">
      <alignment horizontal="center" vertical="center"/>
    </xf>
    <xf numFmtId="0" fontId="69" fillId="7" borderId="69" xfId="0" applyFont="1" applyFill="1" applyBorder="1" applyAlignment="1">
      <alignment horizontal="center" vertical="center"/>
    </xf>
    <xf numFmtId="0" fontId="69" fillId="7" borderId="70" xfId="0" applyFont="1" applyFill="1" applyBorder="1" applyAlignment="1">
      <alignment horizontal="center" vertical="center"/>
    </xf>
    <xf numFmtId="44" fontId="3" fillId="8" borderId="4" xfId="0" applyNumberFormat="1" applyFont="1" applyFill="1" applyBorder="1" applyAlignment="1">
      <alignment horizontal="center" vertical="center"/>
    </xf>
    <xf numFmtId="0" fontId="3" fillId="8" borderId="6" xfId="0" applyFont="1" applyFill="1" applyBorder="1" applyAlignment="1">
      <alignment horizontal="center" vertical="center"/>
    </xf>
    <xf numFmtId="0" fontId="74" fillId="6" borderId="2" xfId="0" applyFont="1" applyFill="1" applyBorder="1" applyAlignment="1">
      <alignment horizontal="center" vertical="center" wrapText="1"/>
    </xf>
    <xf numFmtId="0" fontId="3" fillId="6" borderId="3" xfId="9" applyFont="1" applyFill="1" applyBorder="1" applyAlignment="1">
      <alignment horizontal="center" vertical="center" wrapText="1"/>
    </xf>
    <xf numFmtId="0" fontId="3" fillId="6" borderId="27" xfId="9" applyFont="1" applyFill="1" applyBorder="1" applyAlignment="1">
      <alignment horizontal="center" vertical="center" wrapText="1"/>
    </xf>
    <xf numFmtId="0" fontId="3" fillId="6" borderId="1" xfId="9" applyFont="1" applyFill="1" applyBorder="1" applyAlignment="1">
      <alignment horizontal="center" vertical="center" wrapText="1"/>
    </xf>
    <xf numFmtId="0" fontId="74" fillId="6" borderId="3" xfId="0" applyFont="1" applyFill="1" applyBorder="1" applyAlignment="1">
      <alignment horizontal="center" vertical="center" wrapText="1"/>
    </xf>
    <xf numFmtId="0" fontId="74" fillId="6" borderId="27" xfId="0" applyFont="1" applyFill="1" applyBorder="1" applyAlignment="1">
      <alignment horizontal="center" vertical="center" wrapText="1"/>
    </xf>
    <xf numFmtId="0" fontId="74" fillId="6" borderId="1" xfId="0" applyFont="1" applyFill="1" applyBorder="1" applyAlignment="1">
      <alignment horizontal="center" vertical="center" wrapText="1"/>
    </xf>
    <xf numFmtId="0" fontId="1" fillId="3" borderId="0" xfId="12" applyFill="1" applyAlignment="1">
      <alignment horizontal="left" vertical="center" wrapText="1"/>
    </xf>
    <xf numFmtId="0" fontId="40" fillId="4" borderId="3" xfId="12" applyFont="1" applyFill="1" applyBorder="1" applyAlignment="1">
      <alignment horizontal="center" vertical="center"/>
    </xf>
    <xf numFmtId="0" fontId="40" fillId="4" borderId="27" xfId="12" applyFont="1" applyFill="1" applyBorder="1" applyAlignment="1">
      <alignment horizontal="center" vertical="center"/>
    </xf>
    <xf numFmtId="0" fontId="40" fillId="4" borderId="1" xfId="12" applyFont="1" applyFill="1" applyBorder="1" applyAlignment="1">
      <alignment horizontal="center" vertical="center"/>
    </xf>
    <xf numFmtId="0" fontId="41" fillId="8" borderId="25" xfId="12" applyFont="1" applyFill="1" applyBorder="1" applyAlignment="1">
      <alignment horizontal="left" vertical="center"/>
    </xf>
    <xf numFmtId="0" fontId="41" fillId="8" borderId="8" xfId="12" applyFont="1" applyFill="1" applyBorder="1" applyAlignment="1">
      <alignment horizontal="left" vertical="center"/>
    </xf>
    <xf numFmtId="0" fontId="41" fillId="8" borderId="26" xfId="12" applyFont="1" applyFill="1" applyBorder="1" applyAlignment="1">
      <alignment horizontal="left" vertical="center"/>
    </xf>
    <xf numFmtId="0" fontId="44" fillId="3" borderId="2" xfId="12" applyFont="1" applyFill="1" applyBorder="1" applyAlignment="1">
      <alignment horizontal="center" vertical="center"/>
    </xf>
    <xf numFmtId="0" fontId="0" fillId="3" borderId="0" xfId="0" applyFill="1" applyAlignment="1">
      <alignment horizontal="left" vertical="center" wrapText="1"/>
    </xf>
    <xf numFmtId="0" fontId="0" fillId="3" borderId="10" xfId="0" applyFill="1" applyBorder="1" applyAlignment="1">
      <alignment horizontal="left" vertical="center" wrapText="1"/>
    </xf>
    <xf numFmtId="0" fontId="3" fillId="4" borderId="16" xfId="0" applyFont="1" applyFill="1" applyBorder="1" applyAlignment="1">
      <alignment horizontal="center"/>
    </xf>
    <xf numFmtId="0" fontId="3" fillId="4" borderId="0" xfId="0" applyFont="1" applyFill="1" applyAlignment="1">
      <alignment horizontal="center"/>
    </xf>
    <xf numFmtId="0" fontId="3" fillId="4" borderId="10" xfId="0" applyFont="1" applyFill="1" applyBorder="1" applyAlignment="1">
      <alignment horizontal="center"/>
    </xf>
    <xf numFmtId="0" fontId="10" fillId="3" borderId="16" xfId="0" applyFont="1" applyFill="1" applyBorder="1" applyAlignment="1">
      <alignment horizontal="left" vertical="center"/>
    </xf>
    <xf numFmtId="0" fontId="10" fillId="3" borderId="0" xfId="0" applyFont="1" applyFill="1" applyAlignment="1">
      <alignment horizontal="left" vertical="center"/>
    </xf>
    <xf numFmtId="0" fontId="10" fillId="3" borderId="8" xfId="0" applyFont="1" applyFill="1" applyBorder="1" applyAlignment="1">
      <alignment horizontal="left" vertical="center"/>
    </xf>
    <xf numFmtId="0" fontId="3" fillId="3" borderId="1" xfId="0" applyFont="1" applyFill="1" applyBorder="1" applyAlignment="1">
      <alignment horizontal="center" vertical="top"/>
    </xf>
    <xf numFmtId="0" fontId="3" fillId="3" borderId="2" xfId="0" applyFont="1" applyFill="1" applyBorder="1" applyAlignment="1">
      <alignment horizontal="center"/>
    </xf>
    <xf numFmtId="0" fontId="3" fillId="3" borderId="3" xfId="0" applyFont="1" applyFill="1" applyBorder="1" applyAlignment="1">
      <alignment horizontal="left" vertical="center"/>
    </xf>
    <xf numFmtId="0" fontId="3" fillId="3" borderId="27" xfId="0" applyFont="1" applyFill="1" applyBorder="1" applyAlignment="1">
      <alignment horizontal="left" vertical="center"/>
    </xf>
    <xf numFmtId="0" fontId="3" fillId="3" borderId="1" xfId="0" applyFont="1" applyFill="1" applyBorder="1" applyAlignment="1">
      <alignment horizontal="left" vertical="center"/>
    </xf>
    <xf numFmtId="0" fontId="3" fillId="3" borderId="3" xfId="0" applyFont="1" applyFill="1" applyBorder="1" applyAlignment="1">
      <alignment horizontal="center"/>
    </xf>
    <xf numFmtId="0" fontId="3" fillId="3" borderId="27" xfId="0" applyFont="1" applyFill="1" applyBorder="1" applyAlignment="1">
      <alignment horizontal="center"/>
    </xf>
    <xf numFmtId="0" fontId="3" fillId="3" borderId="1" xfId="0" applyFont="1" applyFill="1" applyBorder="1" applyAlignment="1">
      <alignment horizontal="center"/>
    </xf>
    <xf numFmtId="0" fontId="3" fillId="3" borderId="13" xfId="0" applyFont="1" applyFill="1" applyBorder="1" applyAlignment="1">
      <alignment horizontal="center"/>
    </xf>
    <xf numFmtId="0" fontId="3" fillId="3" borderId="14" xfId="0" applyFont="1" applyFill="1" applyBorder="1" applyAlignment="1">
      <alignment horizontal="center"/>
    </xf>
    <xf numFmtId="0" fontId="3" fillId="3" borderId="15" xfId="0" applyFont="1" applyFill="1" applyBorder="1" applyAlignment="1">
      <alignment horizontal="center"/>
    </xf>
    <xf numFmtId="0" fontId="0" fillId="3" borderId="0" xfId="0" applyFill="1" applyAlignment="1">
      <alignment horizontal="left"/>
    </xf>
    <xf numFmtId="0" fontId="13" fillId="0" borderId="16" xfId="0" applyFont="1" applyBorder="1" applyAlignment="1">
      <alignment horizontal="left" vertical="center" wrapText="1"/>
    </xf>
    <xf numFmtId="0" fontId="13" fillId="0" borderId="0" xfId="0" applyFont="1" applyAlignment="1">
      <alignment horizontal="left" vertical="center" wrapText="1"/>
    </xf>
    <xf numFmtId="0" fontId="3" fillId="6" borderId="2"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52" fillId="0" borderId="13" xfId="0" applyFont="1" applyBorder="1" applyAlignment="1">
      <alignment horizontal="center" vertical="center" wrapText="1"/>
    </xf>
    <xf numFmtId="0" fontId="52" fillId="0" borderId="16" xfId="0" applyFont="1" applyBorder="1" applyAlignment="1">
      <alignment horizontal="center" vertical="center" wrapText="1"/>
    </xf>
    <xf numFmtId="4" fontId="52" fillId="0" borderId="13" xfId="0" applyNumberFormat="1" applyFont="1" applyBorder="1" applyAlignment="1">
      <alignment horizontal="center" vertical="center" wrapText="1"/>
    </xf>
    <xf numFmtId="4" fontId="52" fillId="0" borderId="16" xfId="0" applyNumberFormat="1" applyFont="1" applyBorder="1" applyAlignment="1">
      <alignment horizontal="center" vertical="center" wrapText="1"/>
    </xf>
    <xf numFmtId="0" fontId="52" fillId="0" borderId="0" xfId="0" applyFont="1" applyAlignment="1">
      <alignment horizontal="left" vertical="center" wrapText="1" readingOrder="1"/>
    </xf>
    <xf numFmtId="4" fontId="52" fillId="0" borderId="25" xfId="0" applyNumberFormat="1" applyFont="1" applyBorder="1" applyAlignment="1">
      <alignment horizontal="center" vertical="center" wrapText="1"/>
    </xf>
    <xf numFmtId="4" fontId="52" fillId="0" borderId="0" xfId="0" applyNumberFormat="1" applyFont="1" applyAlignment="1">
      <alignment horizontal="center" vertical="center"/>
    </xf>
    <xf numFmtId="0" fontId="52" fillId="0" borderId="0" xfId="0" applyFont="1" applyAlignment="1">
      <alignment horizontal="center" vertical="center"/>
    </xf>
    <xf numFmtId="0" fontId="52" fillId="0" borderId="8" xfId="0" applyFont="1" applyBorder="1" applyAlignment="1">
      <alignment horizontal="center" vertical="center"/>
    </xf>
    <xf numFmtId="0" fontId="73" fillId="0" borderId="2" xfId="0" applyFont="1" applyBorder="1" applyAlignment="1">
      <alignment horizontal="center" vertical="center" wrapText="1"/>
    </xf>
    <xf numFmtId="0" fontId="15" fillId="0" borderId="8" xfId="0" applyFont="1" applyBorder="1" applyAlignment="1">
      <alignment horizontal="center" vertical="center"/>
    </xf>
    <xf numFmtId="0" fontId="73" fillId="0" borderId="2" xfId="0" applyFont="1" applyBorder="1" applyAlignment="1">
      <alignment horizontal="center" vertical="center"/>
    </xf>
    <xf numFmtId="0" fontId="52" fillId="0" borderId="25" xfId="0" applyFont="1" applyBorder="1" applyAlignment="1">
      <alignment horizontal="center" vertical="center" wrapText="1"/>
    </xf>
    <xf numFmtId="0" fontId="15" fillId="0" borderId="2" xfId="0" applyFont="1" applyBorder="1" applyAlignment="1">
      <alignment horizontal="center" vertical="center" wrapText="1"/>
    </xf>
    <xf numFmtId="4" fontId="73" fillId="0" borderId="2" xfId="0" applyNumberFormat="1" applyFont="1" applyBorder="1" applyAlignment="1">
      <alignment horizontal="center" vertical="center" wrapText="1"/>
    </xf>
    <xf numFmtId="0" fontId="35" fillId="0" borderId="2" xfId="6" applyFont="1" applyBorder="1" applyAlignment="1">
      <alignment horizontal="center" vertical="center" wrapText="1"/>
    </xf>
    <xf numFmtId="0" fontId="35" fillId="0" borderId="4" xfId="6" applyFont="1" applyBorder="1" applyAlignment="1">
      <alignment horizontal="center" vertical="center" wrapText="1"/>
    </xf>
    <xf numFmtId="0" fontId="72" fillId="16" borderId="3" xfId="6" applyFont="1" applyFill="1" applyBorder="1" applyAlignment="1">
      <alignment horizontal="center" vertical="center" wrapText="1"/>
    </xf>
    <xf numFmtId="0" fontId="72" fillId="16" borderId="1" xfId="6" applyFont="1" applyFill="1" applyBorder="1" applyAlignment="1">
      <alignment horizontal="center" vertical="center" wrapText="1"/>
    </xf>
    <xf numFmtId="0" fontId="76" fillId="16" borderId="3" xfId="6" applyFont="1" applyFill="1" applyBorder="1" applyAlignment="1">
      <alignment horizontal="center" vertical="center" wrapText="1"/>
    </xf>
    <xf numFmtId="0" fontId="76" fillId="16" borderId="1" xfId="6" applyFont="1" applyFill="1" applyBorder="1" applyAlignment="1">
      <alignment horizontal="center" vertical="center" wrapText="1"/>
    </xf>
    <xf numFmtId="0" fontId="61" fillId="0" borderId="3" xfId="6" applyFont="1" applyBorder="1" applyAlignment="1">
      <alignment horizontal="center" vertical="center" wrapText="1"/>
    </xf>
    <xf numFmtId="0" fontId="61" fillId="0" borderId="1" xfId="6" applyFont="1" applyBorder="1" applyAlignment="1">
      <alignment horizontal="center" vertical="center" wrapText="1"/>
    </xf>
    <xf numFmtId="0" fontId="72" fillId="16" borderId="0" xfId="6" applyFont="1" applyFill="1" applyAlignment="1">
      <alignment horizontal="center" vertical="center" wrapText="1"/>
    </xf>
    <xf numFmtId="0" fontId="26" fillId="0" borderId="0" xfId="5" applyFont="1" applyAlignment="1">
      <alignment horizontal="left" vertical="center" wrapText="1"/>
    </xf>
    <xf numFmtId="0" fontId="28" fillId="0" borderId="14" xfId="5" applyFont="1" applyBorder="1" applyAlignment="1">
      <alignment horizontal="left" vertical="center"/>
    </xf>
    <xf numFmtId="0" fontId="24" fillId="0" borderId="14" xfId="5" applyBorder="1"/>
    <xf numFmtId="0" fontId="28" fillId="0" borderId="8" xfId="5" applyFont="1" applyBorder="1" applyAlignment="1">
      <alignment horizontal="left" vertical="center"/>
    </xf>
    <xf numFmtId="0" fontId="24" fillId="0" borderId="8" xfId="5" applyBorder="1"/>
    <xf numFmtId="0" fontId="28" fillId="0" borderId="14" xfId="5" applyFont="1" applyBorder="1" applyAlignment="1">
      <alignment horizontal="center" vertical="center"/>
    </xf>
    <xf numFmtId="0" fontId="28" fillId="0" borderId="14" xfId="5" applyFont="1" applyBorder="1" applyAlignment="1">
      <alignment horizontal="center"/>
    </xf>
    <xf numFmtId="164" fontId="28" fillId="0" borderId="14" xfId="5" applyNumberFormat="1" applyFont="1" applyBorder="1" applyAlignment="1">
      <alignment horizontal="center" vertical="center"/>
    </xf>
    <xf numFmtId="164" fontId="24" fillId="0" borderId="8" xfId="5" applyNumberFormat="1" applyBorder="1"/>
    <xf numFmtId="0" fontId="30" fillId="0" borderId="0" xfId="5" applyFont="1" applyAlignment="1">
      <alignment horizontal="left" vertical="center" wrapText="1"/>
    </xf>
    <xf numFmtId="0" fontId="26" fillId="0" borderId="0" xfId="5" applyFont="1" applyAlignment="1">
      <alignment horizontal="left" vertical="center"/>
    </xf>
    <xf numFmtId="0" fontId="30" fillId="0" borderId="0" xfId="5" applyFont="1" applyAlignment="1">
      <alignment horizontal="left"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7" fillId="2" borderId="2" xfId="2" applyFont="1" applyFill="1" applyBorder="1" applyAlignment="1">
      <alignment horizontal="center" vertical="center" wrapText="1"/>
    </xf>
    <xf numFmtId="0" fontId="57" fillId="2" borderId="3" xfId="2" applyFont="1" applyFill="1" applyBorder="1" applyAlignment="1">
      <alignment horizontal="center" vertical="center" wrapText="1"/>
    </xf>
    <xf numFmtId="0" fontId="48" fillId="0" borderId="1" xfId="2" applyFont="1" applyBorder="1" applyAlignment="1">
      <alignment horizontal="center" vertical="center" wrapText="1"/>
    </xf>
    <xf numFmtId="0" fontId="48" fillId="0" borderId="3" xfId="2" applyFont="1" applyBorder="1" applyAlignment="1">
      <alignment horizontal="left" vertical="center" wrapText="1"/>
    </xf>
    <xf numFmtId="0" fontId="48" fillId="0" borderId="1" xfId="2" applyFont="1" applyBorder="1" applyAlignment="1">
      <alignment horizontal="left" vertical="center" wrapText="1"/>
    </xf>
    <xf numFmtId="0" fontId="57" fillId="2" borderId="1" xfId="2" applyFont="1" applyFill="1" applyBorder="1" applyAlignment="1">
      <alignment horizontal="center" vertical="center" wrapText="1"/>
    </xf>
    <xf numFmtId="0" fontId="5" fillId="2" borderId="2" xfId="2" applyFont="1" applyFill="1" applyBorder="1" applyAlignment="1">
      <alignment horizontal="center" vertical="center" wrapText="1"/>
    </xf>
    <xf numFmtId="0" fontId="15" fillId="5" borderId="29" xfId="0" applyFont="1" applyFill="1" applyBorder="1" applyAlignment="1">
      <alignment horizontal="center" vertical="center" wrapText="1"/>
    </xf>
    <xf numFmtId="0" fontId="15" fillId="5" borderId="32" xfId="0" applyFont="1" applyFill="1" applyBorder="1" applyAlignment="1">
      <alignment horizontal="center" vertical="center" wrapText="1"/>
    </xf>
    <xf numFmtId="0" fontId="15" fillId="5" borderId="28" xfId="0" applyFont="1" applyFill="1" applyBorder="1" applyAlignment="1">
      <alignment horizontal="center" vertical="center" wrapText="1"/>
    </xf>
    <xf numFmtId="0" fontId="15" fillId="5" borderId="31" xfId="0" applyFont="1" applyFill="1" applyBorder="1" applyAlignment="1">
      <alignment horizontal="center" vertical="center" wrapText="1"/>
    </xf>
  </cellXfs>
  <cellStyles count="21">
    <cellStyle name="60% - Ênfase5 2" xfId="18" xr:uid="{E633BD29-29A3-44D1-892D-6C5AD891F3C4}"/>
    <cellStyle name="Hiperlink" xfId="17" builtinId="8"/>
    <cellStyle name="Hiperlink 2" xfId="16" xr:uid="{4C63EE7D-D6C7-4EE0-A2A2-5345E91CADB3}"/>
    <cellStyle name="Moeda" xfId="20" builtinId="4"/>
    <cellStyle name="Moeda 2" xfId="11" xr:uid="{7BF6BAB7-72D4-4C72-9636-65038EACC97C}"/>
    <cellStyle name="Normal" xfId="0" builtinId="0"/>
    <cellStyle name="Normal 12" xfId="12" xr:uid="{3EED383E-2032-44E8-8237-1973EF7773F9}"/>
    <cellStyle name="Normal 2" xfId="2" xr:uid="{C8D70159-3958-430A-8BC3-21DA2A1EB028}"/>
    <cellStyle name="Normal 2 2" xfId="15" xr:uid="{A7904F69-519B-4B1C-B9C6-EDE2429B4710}"/>
    <cellStyle name="Normal 2 3 2" xfId="4" xr:uid="{6F3DC436-D3DA-41AD-A337-35D63E039F40}"/>
    <cellStyle name="Normal 3" xfId="6" xr:uid="{BF4AF7BE-62F7-43BD-BD90-4834799D6308}"/>
    <cellStyle name="Normal 4" xfId="5" xr:uid="{01EBFD24-582F-458F-A5C9-45F9AA0B9E7A}"/>
    <cellStyle name="Normal 7" xfId="10" xr:uid="{B596F9D4-E52F-4839-A99E-52BA8C074F57}"/>
    <cellStyle name="Normal 9" xfId="9" xr:uid="{E94B4CBA-8849-4760-8658-412E7847A49A}"/>
    <cellStyle name="Porcentagem" xfId="1" builtinId="5"/>
    <cellStyle name="Porcentagem 2" xfId="3" xr:uid="{4A738E4B-608D-4AC0-88C7-FE47DB70486C}"/>
    <cellStyle name="Porcentagem 2 2" xfId="8" xr:uid="{76E71249-00AE-41A9-B142-EE7F500B0293}"/>
    <cellStyle name="Porcentagem 4" xfId="13" xr:uid="{C69A807B-A270-413D-8EDE-ECE534DBF51F}"/>
    <cellStyle name="Vírgula 2" xfId="19" xr:uid="{DA151A66-0539-4D8A-BABB-A0681F57EEDF}"/>
    <cellStyle name="Vírgula 3" xfId="7" xr:uid="{1B0EE5C2-DDBF-4FCA-B289-AACDE20B998A}"/>
    <cellStyle name="Vírgula 4" xfId="14" xr:uid="{E897DD2F-821F-453D-9507-727B3EFF5A02}"/>
  </cellStyles>
  <dxfs count="116">
    <dxf>
      <font>
        <color rgb="FF00B050"/>
      </font>
      <fill>
        <patternFill>
          <bgColor rgb="FF00B050"/>
        </patternFill>
      </fill>
    </dxf>
    <dxf>
      <font>
        <color auto="1"/>
      </font>
      <fill>
        <patternFill>
          <bgColor theme="2" tint="-0.34998626667073579"/>
        </patternFill>
      </fill>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hair">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alignment horizontal="general" vertical="center" textRotation="0" wrapText="0" indent="0" justifyLastLine="0" shrinkToFit="0" readingOrder="0"/>
      <border diagonalUp="0" diagonalDown="0">
        <left/>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right style="thin">
          <color indexed="64"/>
        </right>
        <bottom style="thin">
          <color indexed="64"/>
        </bottom>
      </border>
    </dxf>
    <dxf>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family val="2"/>
        <scheme val="minor"/>
      </font>
      <fill>
        <patternFill patternType="solid">
          <fgColor indexed="64"/>
          <bgColor theme="0"/>
        </patternFill>
      </fill>
      <alignment horizontal="center" vertical="bottom" textRotation="90" wrapText="0" indent="0" justifyLastLine="0" shrinkToFit="0" readingOrder="0"/>
      <border diagonalUp="0" diagonalDown="0" outline="0">
        <left style="thin">
          <color indexed="64"/>
        </left>
        <right style="thin">
          <color indexed="64"/>
        </right>
        <top/>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hair">
          <color indexed="64"/>
        </right>
        <top style="thin">
          <color indexed="64"/>
        </top>
        <bottom style="thin">
          <color indexed="64"/>
        </bottom>
      </border>
    </dxf>
    <dxf>
      <numFmt numFmtId="2" formatCode="0.0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numFmt numFmtId="0" formatCode="General"/>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0" formatCode="General"/>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outline="0">
        <right style="thin">
          <color rgb="FF000000"/>
        </right>
        <bottom style="thin">
          <color rgb="FF000000"/>
        </bottom>
      </border>
    </dxf>
    <dxf>
      <fill>
        <patternFill patternType="solid">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bottom/>
      </border>
    </dxf>
  </dxfs>
  <tableStyles count="0" defaultTableStyle="TableStyleMedium2" defaultPivotStyle="PivotStyleLight16"/>
  <colors>
    <mruColors>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47" Type="http://schemas.openxmlformats.org/officeDocument/2006/relationships/image" Target="../media/image48.png"/><Relationship Id="rId50" Type="http://schemas.openxmlformats.org/officeDocument/2006/relationships/image" Target="../media/image51.png"/><Relationship Id="rId55" Type="http://schemas.openxmlformats.org/officeDocument/2006/relationships/image" Target="../media/image56.png"/><Relationship Id="rId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image" Target="../media/image17.png"/><Relationship Id="rId29" Type="http://schemas.openxmlformats.org/officeDocument/2006/relationships/image" Target="../media/image30.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3" Type="http://schemas.openxmlformats.org/officeDocument/2006/relationships/image" Target="../media/image54.png"/><Relationship Id="rId58" Type="http://schemas.openxmlformats.org/officeDocument/2006/relationships/image" Target="../media/image59.png"/><Relationship Id="rId5" Type="http://schemas.openxmlformats.org/officeDocument/2006/relationships/image" Target="../media/image6.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56" Type="http://schemas.openxmlformats.org/officeDocument/2006/relationships/image" Target="../media/image57.png"/><Relationship Id="rId8" Type="http://schemas.openxmlformats.org/officeDocument/2006/relationships/image" Target="../media/image9.png"/><Relationship Id="rId51" Type="http://schemas.openxmlformats.org/officeDocument/2006/relationships/image" Target="../media/image52.pn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5.png"/><Relationship Id="rId1" Type="http://schemas.openxmlformats.org/officeDocument/2006/relationships/image" Target="../media/image2.png"/><Relationship Id="rId6" Type="http://schemas.openxmlformats.org/officeDocument/2006/relationships/image" Target="../media/image7.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10" Type="http://schemas.openxmlformats.org/officeDocument/2006/relationships/image" Target="../media/image11.png"/><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image" Target="../media/image5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8.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62.jpeg"/><Relationship Id="rId1" Type="http://schemas.openxmlformats.org/officeDocument/2006/relationships/image" Target="../media/image61.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65.jpeg"/><Relationship Id="rId2" Type="http://schemas.openxmlformats.org/officeDocument/2006/relationships/image" Target="../media/image64.png"/><Relationship Id="rId1" Type="http://schemas.openxmlformats.org/officeDocument/2006/relationships/image" Target="../media/image63.png"/><Relationship Id="rId4" Type="http://schemas.openxmlformats.org/officeDocument/2006/relationships/image" Target="../media/image66.jpe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336979</xdr:colOff>
      <xdr:row>4</xdr:row>
      <xdr:rowOff>149679</xdr:rowOff>
    </xdr:to>
    <xdr:pic>
      <xdr:nvPicPr>
        <xdr:cNvPr id="2" name="Imagem 1">
          <a:extLst>
            <a:ext uri="{FF2B5EF4-FFF2-40B4-BE49-F238E27FC236}">
              <a16:creationId xmlns:a16="http://schemas.microsoft.com/office/drawing/2014/main" id="{BA06DCE7-CB77-48E1-B8C5-EA913A49C2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2485" y="178494"/>
          <a:ext cx="2796670" cy="5987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514351</xdr:colOff>
      <xdr:row>1</xdr:row>
      <xdr:rowOff>180975</xdr:rowOff>
    </xdr:from>
    <xdr:to>
      <xdr:col>13</xdr:col>
      <xdr:colOff>831398</xdr:colOff>
      <xdr:row>2</xdr:row>
      <xdr:rowOff>389164</xdr:rowOff>
    </xdr:to>
    <xdr:pic>
      <xdr:nvPicPr>
        <xdr:cNvPr id="2" name="Imagem 1">
          <a:extLst>
            <a:ext uri="{FF2B5EF4-FFF2-40B4-BE49-F238E27FC236}">
              <a16:creationId xmlns:a16="http://schemas.microsoft.com/office/drawing/2014/main" id="{9BFEEA59-ECBF-4477-BF7F-CEB1B89C3BB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8896351" y="371475"/>
          <a:ext cx="2817360" cy="6010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647700</xdr:colOff>
      <xdr:row>1</xdr:row>
      <xdr:rowOff>200025</xdr:rowOff>
    </xdr:from>
    <xdr:to>
      <xdr:col>15</xdr:col>
      <xdr:colOff>974272</xdr:colOff>
      <xdr:row>3</xdr:row>
      <xdr:rowOff>198664</xdr:rowOff>
    </xdr:to>
    <xdr:pic>
      <xdr:nvPicPr>
        <xdr:cNvPr id="2" name="Imagem 1">
          <a:extLst>
            <a:ext uri="{FF2B5EF4-FFF2-40B4-BE49-F238E27FC236}">
              <a16:creationId xmlns:a16="http://schemas.microsoft.com/office/drawing/2014/main" id="{91C951D8-5C0B-4495-AA06-82FB6149F1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2906375" y="200025"/>
          <a:ext cx="2803072" cy="59871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295275</xdr:colOff>
      <xdr:row>3</xdr:row>
      <xdr:rowOff>114300</xdr:rowOff>
    </xdr:from>
    <xdr:to>
      <xdr:col>23</xdr:col>
      <xdr:colOff>161924</xdr:colOff>
      <xdr:row>20</xdr:row>
      <xdr:rowOff>33463</xdr:rowOff>
    </xdr:to>
    <xdr:pic>
      <xdr:nvPicPr>
        <xdr:cNvPr id="2" name="Imagem 1">
          <a:extLst>
            <a:ext uri="{FF2B5EF4-FFF2-40B4-BE49-F238E27FC236}">
              <a16:creationId xmlns:a16="http://schemas.microsoft.com/office/drawing/2014/main" id="{5A4C2333-565D-4ED8-B452-BB21926A1C5A}"/>
            </a:ext>
          </a:extLst>
        </xdr:cNvPr>
        <xdr:cNvPicPr>
          <a:picLocks noChangeAspect="1"/>
        </xdr:cNvPicPr>
      </xdr:nvPicPr>
      <xdr:blipFill>
        <a:blip xmlns:r="http://schemas.openxmlformats.org/officeDocument/2006/relationships" r:embed="rId1"/>
        <a:stretch>
          <a:fillRect/>
        </a:stretch>
      </xdr:blipFill>
      <xdr:spPr>
        <a:xfrm>
          <a:off x="9544050" y="857250"/>
          <a:ext cx="4133849" cy="3157663"/>
        </a:xfrm>
        <a:prstGeom prst="rect">
          <a:avLst/>
        </a:prstGeom>
      </xdr:spPr>
    </xdr:pic>
    <xdr:clientData/>
  </xdr:twoCellAnchor>
  <xdr:twoCellAnchor editAs="oneCell">
    <xdr:from>
      <xdr:col>1</xdr:col>
      <xdr:colOff>85725</xdr:colOff>
      <xdr:row>4</xdr:row>
      <xdr:rowOff>123825</xdr:rowOff>
    </xdr:from>
    <xdr:to>
      <xdr:col>7</xdr:col>
      <xdr:colOff>95250</xdr:colOff>
      <xdr:row>15</xdr:row>
      <xdr:rowOff>187805</xdr:rowOff>
    </xdr:to>
    <xdr:pic>
      <xdr:nvPicPr>
        <xdr:cNvPr id="3" name="Imagem 2">
          <a:extLst>
            <a:ext uri="{FF2B5EF4-FFF2-40B4-BE49-F238E27FC236}">
              <a16:creationId xmlns:a16="http://schemas.microsoft.com/office/drawing/2014/main" id="{9B926968-0AF4-46C1-859A-73EEB94D6237}"/>
            </a:ext>
          </a:extLst>
        </xdr:cNvPr>
        <xdr:cNvPicPr>
          <a:picLocks noChangeAspect="1"/>
        </xdr:cNvPicPr>
      </xdr:nvPicPr>
      <xdr:blipFill>
        <a:blip xmlns:r="http://schemas.openxmlformats.org/officeDocument/2006/relationships" r:embed="rId2"/>
        <a:stretch>
          <a:fillRect/>
        </a:stretch>
      </xdr:blipFill>
      <xdr:spPr>
        <a:xfrm>
          <a:off x="190500" y="1057275"/>
          <a:ext cx="3667125" cy="2159480"/>
        </a:xfrm>
        <a:prstGeom prst="rect">
          <a:avLst/>
        </a:prstGeom>
      </xdr:spPr>
    </xdr:pic>
    <xdr:clientData/>
  </xdr:twoCellAnchor>
  <xdr:twoCellAnchor editAs="oneCell">
    <xdr:from>
      <xdr:col>7</xdr:col>
      <xdr:colOff>285750</xdr:colOff>
      <xdr:row>4</xdr:row>
      <xdr:rowOff>123824</xdr:rowOff>
    </xdr:from>
    <xdr:to>
      <xdr:col>16</xdr:col>
      <xdr:colOff>59622</xdr:colOff>
      <xdr:row>16</xdr:row>
      <xdr:rowOff>451</xdr:rowOff>
    </xdr:to>
    <xdr:pic>
      <xdr:nvPicPr>
        <xdr:cNvPr id="4" name="Imagem 3">
          <a:extLst>
            <a:ext uri="{FF2B5EF4-FFF2-40B4-BE49-F238E27FC236}">
              <a16:creationId xmlns:a16="http://schemas.microsoft.com/office/drawing/2014/main" id="{186F51EF-2FA2-4C45-A5DF-E8DC75554992}"/>
            </a:ext>
          </a:extLst>
        </xdr:cNvPr>
        <xdr:cNvPicPr>
          <a:picLocks noChangeAspect="1"/>
        </xdr:cNvPicPr>
      </xdr:nvPicPr>
      <xdr:blipFill>
        <a:blip xmlns:r="http://schemas.openxmlformats.org/officeDocument/2006/relationships" r:embed="rId3"/>
        <a:stretch>
          <a:fillRect/>
        </a:stretch>
      </xdr:blipFill>
      <xdr:spPr>
        <a:xfrm>
          <a:off x="4048125" y="1057274"/>
          <a:ext cx="5260272" cy="2162627"/>
        </a:xfrm>
        <a:prstGeom prst="rect">
          <a:avLst/>
        </a:prstGeom>
      </xdr:spPr>
    </xdr:pic>
    <xdr:clientData/>
  </xdr:twoCellAnchor>
  <xdr:twoCellAnchor editAs="oneCell">
    <xdr:from>
      <xdr:col>1</xdr:col>
      <xdr:colOff>28576</xdr:colOff>
      <xdr:row>22</xdr:row>
      <xdr:rowOff>142874</xdr:rowOff>
    </xdr:from>
    <xdr:to>
      <xdr:col>8</xdr:col>
      <xdr:colOff>525776</xdr:colOff>
      <xdr:row>33</xdr:row>
      <xdr:rowOff>19049</xdr:rowOff>
    </xdr:to>
    <xdr:pic>
      <xdr:nvPicPr>
        <xdr:cNvPr id="5" name="Imagem 4">
          <a:extLst>
            <a:ext uri="{FF2B5EF4-FFF2-40B4-BE49-F238E27FC236}">
              <a16:creationId xmlns:a16="http://schemas.microsoft.com/office/drawing/2014/main" id="{12F99C2B-8343-404D-BA4A-1512779512D1}"/>
            </a:ext>
          </a:extLst>
        </xdr:cNvPr>
        <xdr:cNvPicPr>
          <a:picLocks noChangeAspect="1"/>
        </xdr:cNvPicPr>
      </xdr:nvPicPr>
      <xdr:blipFill>
        <a:blip xmlns:r="http://schemas.openxmlformats.org/officeDocument/2006/relationships" r:embed="rId4"/>
        <a:stretch>
          <a:fillRect/>
        </a:stretch>
      </xdr:blipFill>
      <xdr:spPr>
        <a:xfrm>
          <a:off x="133351" y="4600574"/>
          <a:ext cx="4764400" cy="1971675"/>
        </a:xfrm>
        <a:prstGeom prst="rect">
          <a:avLst/>
        </a:prstGeom>
      </xdr:spPr>
    </xdr:pic>
    <xdr:clientData/>
  </xdr:twoCellAnchor>
  <xdr:twoCellAnchor editAs="oneCell">
    <xdr:from>
      <xdr:col>9</xdr:col>
      <xdr:colOff>28574</xdr:colOff>
      <xdr:row>22</xdr:row>
      <xdr:rowOff>123824</xdr:rowOff>
    </xdr:from>
    <xdr:to>
      <xdr:col>16</xdr:col>
      <xdr:colOff>564351</xdr:colOff>
      <xdr:row>43</xdr:row>
      <xdr:rowOff>23923</xdr:rowOff>
    </xdr:to>
    <xdr:pic>
      <xdr:nvPicPr>
        <xdr:cNvPr id="6" name="Imagem 5">
          <a:extLst>
            <a:ext uri="{FF2B5EF4-FFF2-40B4-BE49-F238E27FC236}">
              <a16:creationId xmlns:a16="http://schemas.microsoft.com/office/drawing/2014/main" id="{A80AE7D2-0F40-4A3B-B99B-9CEC0B6F71FF}"/>
            </a:ext>
          </a:extLst>
        </xdr:cNvPr>
        <xdr:cNvPicPr>
          <a:picLocks noChangeAspect="1"/>
        </xdr:cNvPicPr>
      </xdr:nvPicPr>
      <xdr:blipFill>
        <a:blip xmlns:r="http://schemas.openxmlformats.org/officeDocument/2006/relationships" r:embed="rId5"/>
        <a:stretch>
          <a:fillRect/>
        </a:stretch>
      </xdr:blipFill>
      <xdr:spPr>
        <a:xfrm>
          <a:off x="5010149" y="4581524"/>
          <a:ext cx="4802977" cy="3900599"/>
        </a:xfrm>
        <a:prstGeom prst="rect">
          <a:avLst/>
        </a:prstGeom>
      </xdr:spPr>
    </xdr:pic>
    <xdr:clientData/>
  </xdr:twoCellAnchor>
  <xdr:twoCellAnchor editAs="oneCell">
    <xdr:from>
      <xdr:col>17</xdr:col>
      <xdr:colOff>171450</xdr:colOff>
      <xdr:row>22</xdr:row>
      <xdr:rowOff>161925</xdr:rowOff>
    </xdr:from>
    <xdr:to>
      <xdr:col>23</xdr:col>
      <xdr:colOff>352425</xdr:colOff>
      <xdr:row>43</xdr:row>
      <xdr:rowOff>76069</xdr:rowOff>
    </xdr:to>
    <xdr:pic>
      <xdr:nvPicPr>
        <xdr:cNvPr id="7" name="Imagem 6">
          <a:extLst>
            <a:ext uri="{FF2B5EF4-FFF2-40B4-BE49-F238E27FC236}">
              <a16:creationId xmlns:a16="http://schemas.microsoft.com/office/drawing/2014/main" id="{4298D5E6-3A7A-42E0-A3E0-3A27D460C6A6}"/>
            </a:ext>
          </a:extLst>
        </xdr:cNvPr>
        <xdr:cNvPicPr>
          <a:picLocks noChangeAspect="1"/>
        </xdr:cNvPicPr>
      </xdr:nvPicPr>
      <xdr:blipFill>
        <a:blip xmlns:r="http://schemas.openxmlformats.org/officeDocument/2006/relationships" r:embed="rId6"/>
        <a:stretch>
          <a:fillRect/>
        </a:stretch>
      </xdr:blipFill>
      <xdr:spPr>
        <a:xfrm>
          <a:off x="10029825" y="4619625"/>
          <a:ext cx="3838575" cy="3914644"/>
        </a:xfrm>
        <a:prstGeom prst="rect">
          <a:avLst/>
        </a:prstGeom>
      </xdr:spPr>
    </xdr:pic>
    <xdr:clientData/>
  </xdr:twoCellAnchor>
  <xdr:twoCellAnchor editAs="oneCell">
    <xdr:from>
      <xdr:col>1</xdr:col>
      <xdr:colOff>152400</xdr:colOff>
      <xdr:row>45</xdr:row>
      <xdr:rowOff>123824</xdr:rowOff>
    </xdr:from>
    <xdr:to>
      <xdr:col>7</xdr:col>
      <xdr:colOff>590549</xdr:colOff>
      <xdr:row>70</xdr:row>
      <xdr:rowOff>154081</xdr:rowOff>
    </xdr:to>
    <xdr:pic>
      <xdr:nvPicPr>
        <xdr:cNvPr id="8" name="Imagem 7">
          <a:extLst>
            <a:ext uri="{FF2B5EF4-FFF2-40B4-BE49-F238E27FC236}">
              <a16:creationId xmlns:a16="http://schemas.microsoft.com/office/drawing/2014/main" id="{10C7E85A-2B72-403F-A35A-93BDC47406CB}"/>
            </a:ext>
          </a:extLst>
        </xdr:cNvPr>
        <xdr:cNvPicPr>
          <a:picLocks noChangeAspect="1"/>
        </xdr:cNvPicPr>
      </xdr:nvPicPr>
      <xdr:blipFill>
        <a:blip xmlns:r="http://schemas.openxmlformats.org/officeDocument/2006/relationships" r:embed="rId7"/>
        <a:stretch>
          <a:fillRect/>
        </a:stretch>
      </xdr:blipFill>
      <xdr:spPr>
        <a:xfrm>
          <a:off x="257175" y="9058274"/>
          <a:ext cx="4095749" cy="4792757"/>
        </a:xfrm>
        <a:prstGeom prst="rect">
          <a:avLst/>
        </a:prstGeom>
      </xdr:spPr>
    </xdr:pic>
    <xdr:clientData/>
  </xdr:twoCellAnchor>
  <xdr:twoCellAnchor editAs="oneCell">
    <xdr:from>
      <xdr:col>8</xdr:col>
      <xdr:colOff>66675</xdr:colOff>
      <xdr:row>45</xdr:row>
      <xdr:rowOff>104775</xdr:rowOff>
    </xdr:from>
    <xdr:to>
      <xdr:col>16</xdr:col>
      <xdr:colOff>19050</xdr:colOff>
      <xdr:row>64</xdr:row>
      <xdr:rowOff>136412</xdr:rowOff>
    </xdr:to>
    <xdr:pic>
      <xdr:nvPicPr>
        <xdr:cNvPr id="9" name="Imagem 8">
          <a:extLst>
            <a:ext uri="{FF2B5EF4-FFF2-40B4-BE49-F238E27FC236}">
              <a16:creationId xmlns:a16="http://schemas.microsoft.com/office/drawing/2014/main" id="{B9376A09-BE54-4FA0-BF7A-54136F99C23E}"/>
            </a:ext>
          </a:extLst>
        </xdr:cNvPr>
        <xdr:cNvPicPr>
          <a:picLocks noChangeAspect="1"/>
        </xdr:cNvPicPr>
      </xdr:nvPicPr>
      <xdr:blipFill>
        <a:blip xmlns:r="http://schemas.openxmlformats.org/officeDocument/2006/relationships" r:embed="rId8"/>
        <a:stretch>
          <a:fillRect/>
        </a:stretch>
      </xdr:blipFill>
      <xdr:spPr>
        <a:xfrm>
          <a:off x="4438650" y="9039225"/>
          <a:ext cx="4829175" cy="3651137"/>
        </a:xfrm>
        <a:prstGeom prst="rect">
          <a:avLst/>
        </a:prstGeom>
      </xdr:spPr>
    </xdr:pic>
    <xdr:clientData/>
  </xdr:twoCellAnchor>
  <xdr:twoCellAnchor editAs="oneCell">
    <xdr:from>
      <xdr:col>16</xdr:col>
      <xdr:colOff>133350</xdr:colOff>
      <xdr:row>45</xdr:row>
      <xdr:rowOff>123825</xdr:rowOff>
    </xdr:from>
    <xdr:to>
      <xdr:col>23</xdr:col>
      <xdr:colOff>268338</xdr:colOff>
      <xdr:row>67</xdr:row>
      <xdr:rowOff>86503</xdr:rowOff>
    </xdr:to>
    <xdr:pic>
      <xdr:nvPicPr>
        <xdr:cNvPr id="10" name="Imagem 9">
          <a:extLst>
            <a:ext uri="{FF2B5EF4-FFF2-40B4-BE49-F238E27FC236}">
              <a16:creationId xmlns:a16="http://schemas.microsoft.com/office/drawing/2014/main" id="{C6FB9D54-EB43-4C25-9F13-16501E248890}"/>
            </a:ext>
          </a:extLst>
        </xdr:cNvPr>
        <xdr:cNvPicPr>
          <a:picLocks noChangeAspect="1"/>
        </xdr:cNvPicPr>
      </xdr:nvPicPr>
      <xdr:blipFill>
        <a:blip xmlns:r="http://schemas.openxmlformats.org/officeDocument/2006/relationships" r:embed="rId9"/>
        <a:stretch>
          <a:fillRect/>
        </a:stretch>
      </xdr:blipFill>
      <xdr:spPr>
        <a:xfrm>
          <a:off x="9382125" y="9058275"/>
          <a:ext cx="4402188" cy="4153678"/>
        </a:xfrm>
        <a:prstGeom prst="rect">
          <a:avLst/>
        </a:prstGeom>
      </xdr:spPr>
    </xdr:pic>
    <xdr:clientData/>
  </xdr:twoCellAnchor>
  <xdr:twoCellAnchor editAs="oneCell">
    <xdr:from>
      <xdr:col>1</xdr:col>
      <xdr:colOff>123825</xdr:colOff>
      <xdr:row>73</xdr:row>
      <xdr:rowOff>142876</xdr:rowOff>
    </xdr:from>
    <xdr:to>
      <xdr:col>7</xdr:col>
      <xdr:colOff>581025</xdr:colOff>
      <xdr:row>85</xdr:row>
      <xdr:rowOff>57198</xdr:rowOff>
    </xdr:to>
    <xdr:pic>
      <xdr:nvPicPr>
        <xdr:cNvPr id="11" name="Imagem 10">
          <a:extLst>
            <a:ext uri="{FF2B5EF4-FFF2-40B4-BE49-F238E27FC236}">
              <a16:creationId xmlns:a16="http://schemas.microsoft.com/office/drawing/2014/main" id="{BC767D5F-C540-46F7-89B3-F7B4860186A7}"/>
            </a:ext>
          </a:extLst>
        </xdr:cNvPr>
        <xdr:cNvPicPr>
          <a:picLocks noChangeAspect="1"/>
        </xdr:cNvPicPr>
      </xdr:nvPicPr>
      <xdr:blipFill>
        <a:blip xmlns:r="http://schemas.openxmlformats.org/officeDocument/2006/relationships" r:embed="rId10"/>
        <a:stretch>
          <a:fillRect/>
        </a:stretch>
      </xdr:blipFill>
      <xdr:spPr>
        <a:xfrm>
          <a:off x="228600" y="14506576"/>
          <a:ext cx="4114800" cy="2200322"/>
        </a:xfrm>
        <a:prstGeom prst="rect">
          <a:avLst/>
        </a:prstGeom>
      </xdr:spPr>
    </xdr:pic>
    <xdr:clientData/>
  </xdr:twoCellAnchor>
  <xdr:twoCellAnchor editAs="oneCell">
    <xdr:from>
      <xdr:col>16</xdr:col>
      <xdr:colOff>112075</xdr:colOff>
      <xdr:row>73</xdr:row>
      <xdr:rowOff>161925</xdr:rowOff>
    </xdr:from>
    <xdr:to>
      <xdr:col>23</xdr:col>
      <xdr:colOff>447674</xdr:colOff>
      <xdr:row>86</xdr:row>
      <xdr:rowOff>76200</xdr:rowOff>
    </xdr:to>
    <xdr:pic>
      <xdr:nvPicPr>
        <xdr:cNvPr id="12" name="Imagem 11">
          <a:extLst>
            <a:ext uri="{FF2B5EF4-FFF2-40B4-BE49-F238E27FC236}">
              <a16:creationId xmlns:a16="http://schemas.microsoft.com/office/drawing/2014/main" id="{46972C9A-805A-48CE-94E5-4C65AAADAE0A}"/>
            </a:ext>
          </a:extLst>
        </xdr:cNvPr>
        <xdr:cNvPicPr>
          <a:picLocks noChangeAspect="1"/>
        </xdr:cNvPicPr>
      </xdr:nvPicPr>
      <xdr:blipFill>
        <a:blip xmlns:r="http://schemas.openxmlformats.org/officeDocument/2006/relationships" r:embed="rId11"/>
        <a:stretch>
          <a:fillRect/>
        </a:stretch>
      </xdr:blipFill>
      <xdr:spPr>
        <a:xfrm>
          <a:off x="9360850" y="14525625"/>
          <a:ext cx="4602799" cy="2390775"/>
        </a:xfrm>
        <a:prstGeom prst="rect">
          <a:avLst/>
        </a:prstGeom>
      </xdr:spPr>
    </xdr:pic>
    <xdr:clientData/>
  </xdr:twoCellAnchor>
  <xdr:twoCellAnchor editAs="oneCell">
    <xdr:from>
      <xdr:col>8</xdr:col>
      <xdr:colOff>238125</xdr:colOff>
      <xdr:row>73</xdr:row>
      <xdr:rowOff>142875</xdr:rowOff>
    </xdr:from>
    <xdr:to>
      <xdr:col>15</xdr:col>
      <xdr:colOff>469855</xdr:colOff>
      <xdr:row>84</xdr:row>
      <xdr:rowOff>85725</xdr:rowOff>
    </xdr:to>
    <xdr:pic>
      <xdr:nvPicPr>
        <xdr:cNvPr id="13" name="Imagem 12">
          <a:extLst>
            <a:ext uri="{FF2B5EF4-FFF2-40B4-BE49-F238E27FC236}">
              <a16:creationId xmlns:a16="http://schemas.microsoft.com/office/drawing/2014/main" id="{16C02C99-4699-4389-918F-17A2FAD9C6A3}"/>
            </a:ext>
          </a:extLst>
        </xdr:cNvPr>
        <xdr:cNvPicPr>
          <a:picLocks noChangeAspect="1"/>
        </xdr:cNvPicPr>
      </xdr:nvPicPr>
      <xdr:blipFill>
        <a:blip xmlns:r="http://schemas.openxmlformats.org/officeDocument/2006/relationships" r:embed="rId12"/>
        <a:stretch>
          <a:fillRect/>
        </a:stretch>
      </xdr:blipFill>
      <xdr:spPr>
        <a:xfrm>
          <a:off x="4610100" y="14506575"/>
          <a:ext cx="4498930" cy="2038350"/>
        </a:xfrm>
        <a:prstGeom prst="rect">
          <a:avLst/>
        </a:prstGeom>
      </xdr:spPr>
    </xdr:pic>
    <xdr:clientData/>
  </xdr:twoCellAnchor>
  <xdr:twoCellAnchor editAs="oneCell">
    <xdr:from>
      <xdr:col>16</xdr:col>
      <xdr:colOff>78274</xdr:colOff>
      <xdr:row>90</xdr:row>
      <xdr:rowOff>107660</xdr:rowOff>
    </xdr:from>
    <xdr:to>
      <xdr:col>23</xdr:col>
      <xdr:colOff>306916</xdr:colOff>
      <xdr:row>112</xdr:row>
      <xdr:rowOff>105832</xdr:rowOff>
    </xdr:to>
    <xdr:pic>
      <xdr:nvPicPr>
        <xdr:cNvPr id="14" name="Imagem 13">
          <a:extLst>
            <a:ext uri="{FF2B5EF4-FFF2-40B4-BE49-F238E27FC236}">
              <a16:creationId xmlns:a16="http://schemas.microsoft.com/office/drawing/2014/main" id="{5594C8AF-F340-4B66-8C70-59FED4EB85CE}"/>
            </a:ext>
          </a:extLst>
        </xdr:cNvPr>
        <xdr:cNvPicPr>
          <a:picLocks noChangeAspect="1"/>
        </xdr:cNvPicPr>
      </xdr:nvPicPr>
      <xdr:blipFill>
        <a:blip xmlns:r="http://schemas.openxmlformats.org/officeDocument/2006/relationships" r:embed="rId13"/>
        <a:stretch>
          <a:fillRect/>
        </a:stretch>
      </xdr:blipFill>
      <xdr:spPr>
        <a:xfrm>
          <a:off x="9327049" y="17881310"/>
          <a:ext cx="4495842" cy="4189172"/>
        </a:xfrm>
        <a:prstGeom prst="rect">
          <a:avLst/>
        </a:prstGeom>
      </xdr:spPr>
    </xdr:pic>
    <xdr:clientData/>
  </xdr:twoCellAnchor>
  <xdr:twoCellAnchor editAs="oneCell">
    <xdr:from>
      <xdr:col>8</xdr:col>
      <xdr:colOff>441916</xdr:colOff>
      <xdr:row>90</xdr:row>
      <xdr:rowOff>116416</xdr:rowOff>
    </xdr:from>
    <xdr:to>
      <xdr:col>15</xdr:col>
      <xdr:colOff>596661</xdr:colOff>
      <xdr:row>108</xdr:row>
      <xdr:rowOff>42333</xdr:rowOff>
    </xdr:to>
    <xdr:pic>
      <xdr:nvPicPr>
        <xdr:cNvPr id="15" name="Imagem 14">
          <a:extLst>
            <a:ext uri="{FF2B5EF4-FFF2-40B4-BE49-F238E27FC236}">
              <a16:creationId xmlns:a16="http://schemas.microsoft.com/office/drawing/2014/main" id="{1C6A8AA9-E39A-4118-9CC7-5679A809FD29}"/>
            </a:ext>
          </a:extLst>
        </xdr:cNvPr>
        <xdr:cNvPicPr>
          <a:picLocks noChangeAspect="1"/>
        </xdr:cNvPicPr>
      </xdr:nvPicPr>
      <xdr:blipFill>
        <a:blip xmlns:r="http://schemas.openxmlformats.org/officeDocument/2006/relationships" r:embed="rId14"/>
        <a:stretch>
          <a:fillRect/>
        </a:stretch>
      </xdr:blipFill>
      <xdr:spPr>
        <a:xfrm>
          <a:off x="4813891" y="17890066"/>
          <a:ext cx="4421945" cy="3354917"/>
        </a:xfrm>
        <a:prstGeom prst="rect">
          <a:avLst/>
        </a:prstGeom>
      </xdr:spPr>
    </xdr:pic>
    <xdr:clientData/>
  </xdr:twoCellAnchor>
  <xdr:twoCellAnchor editAs="oneCell">
    <xdr:from>
      <xdr:col>1</xdr:col>
      <xdr:colOff>21167</xdr:colOff>
      <xdr:row>90</xdr:row>
      <xdr:rowOff>137583</xdr:rowOff>
    </xdr:from>
    <xdr:to>
      <xdr:col>8</xdr:col>
      <xdr:colOff>296333</xdr:colOff>
      <xdr:row>101</xdr:row>
      <xdr:rowOff>120937</xdr:rowOff>
    </xdr:to>
    <xdr:pic>
      <xdr:nvPicPr>
        <xdr:cNvPr id="16" name="Imagem 15">
          <a:extLst>
            <a:ext uri="{FF2B5EF4-FFF2-40B4-BE49-F238E27FC236}">
              <a16:creationId xmlns:a16="http://schemas.microsoft.com/office/drawing/2014/main" id="{0D03721A-7D71-4B25-B0F7-7BADB63A2DC0}"/>
            </a:ext>
          </a:extLst>
        </xdr:cNvPr>
        <xdr:cNvPicPr>
          <a:picLocks noChangeAspect="1"/>
        </xdr:cNvPicPr>
      </xdr:nvPicPr>
      <xdr:blipFill>
        <a:blip xmlns:r="http://schemas.openxmlformats.org/officeDocument/2006/relationships" r:embed="rId15"/>
        <a:stretch>
          <a:fillRect/>
        </a:stretch>
      </xdr:blipFill>
      <xdr:spPr>
        <a:xfrm>
          <a:off x="125942" y="17911233"/>
          <a:ext cx="4542366" cy="2078854"/>
        </a:xfrm>
        <a:prstGeom prst="rect">
          <a:avLst/>
        </a:prstGeom>
      </xdr:spPr>
    </xdr:pic>
    <xdr:clientData/>
  </xdr:twoCellAnchor>
  <xdr:twoCellAnchor editAs="oneCell">
    <xdr:from>
      <xdr:col>16</xdr:col>
      <xdr:colOff>191558</xdr:colOff>
      <xdr:row>114</xdr:row>
      <xdr:rowOff>142961</xdr:rowOff>
    </xdr:from>
    <xdr:to>
      <xdr:col>23</xdr:col>
      <xdr:colOff>498474</xdr:colOff>
      <xdr:row>140</xdr:row>
      <xdr:rowOff>142705</xdr:rowOff>
    </xdr:to>
    <xdr:pic>
      <xdr:nvPicPr>
        <xdr:cNvPr id="17" name="Imagem 16">
          <a:extLst>
            <a:ext uri="{FF2B5EF4-FFF2-40B4-BE49-F238E27FC236}">
              <a16:creationId xmlns:a16="http://schemas.microsoft.com/office/drawing/2014/main" id="{C40C9D0D-6F1E-4F3F-8DB2-9E1FF2DC1CF3}"/>
            </a:ext>
          </a:extLst>
        </xdr:cNvPr>
        <xdr:cNvPicPr>
          <a:picLocks noChangeAspect="1"/>
        </xdr:cNvPicPr>
      </xdr:nvPicPr>
      <xdr:blipFill>
        <a:blip xmlns:r="http://schemas.openxmlformats.org/officeDocument/2006/relationships" r:embed="rId16"/>
        <a:stretch>
          <a:fillRect/>
        </a:stretch>
      </xdr:blipFill>
      <xdr:spPr>
        <a:xfrm>
          <a:off x="9440333" y="22583861"/>
          <a:ext cx="4574116" cy="4952744"/>
        </a:xfrm>
        <a:prstGeom prst="rect">
          <a:avLst/>
        </a:prstGeom>
      </xdr:spPr>
    </xdr:pic>
    <xdr:clientData/>
  </xdr:twoCellAnchor>
  <xdr:twoCellAnchor editAs="oneCell">
    <xdr:from>
      <xdr:col>1</xdr:col>
      <xdr:colOff>21168</xdr:colOff>
      <xdr:row>115</xdr:row>
      <xdr:rowOff>52916</xdr:rowOff>
    </xdr:from>
    <xdr:to>
      <xdr:col>8</xdr:col>
      <xdr:colOff>359834</xdr:colOff>
      <xdr:row>127</xdr:row>
      <xdr:rowOff>178275</xdr:rowOff>
    </xdr:to>
    <xdr:pic>
      <xdr:nvPicPr>
        <xdr:cNvPr id="18" name="Imagem 17">
          <a:extLst>
            <a:ext uri="{FF2B5EF4-FFF2-40B4-BE49-F238E27FC236}">
              <a16:creationId xmlns:a16="http://schemas.microsoft.com/office/drawing/2014/main" id="{8F302C5A-5C4D-472A-AD3C-615554F306AD}"/>
            </a:ext>
          </a:extLst>
        </xdr:cNvPr>
        <xdr:cNvPicPr>
          <a:picLocks noChangeAspect="1"/>
        </xdr:cNvPicPr>
      </xdr:nvPicPr>
      <xdr:blipFill>
        <a:blip xmlns:r="http://schemas.openxmlformats.org/officeDocument/2006/relationships" r:embed="rId17"/>
        <a:stretch>
          <a:fillRect/>
        </a:stretch>
      </xdr:blipFill>
      <xdr:spPr>
        <a:xfrm>
          <a:off x="125943" y="22684316"/>
          <a:ext cx="4605866" cy="2411359"/>
        </a:xfrm>
        <a:prstGeom prst="rect">
          <a:avLst/>
        </a:prstGeom>
      </xdr:spPr>
    </xdr:pic>
    <xdr:clientData/>
  </xdr:twoCellAnchor>
  <xdr:twoCellAnchor editAs="oneCell">
    <xdr:from>
      <xdr:col>8</xdr:col>
      <xdr:colOff>423333</xdr:colOff>
      <xdr:row>116</xdr:row>
      <xdr:rowOff>10583</xdr:rowOff>
    </xdr:from>
    <xdr:to>
      <xdr:col>16</xdr:col>
      <xdr:colOff>102090</xdr:colOff>
      <xdr:row>126</xdr:row>
      <xdr:rowOff>169333</xdr:rowOff>
    </xdr:to>
    <xdr:pic>
      <xdr:nvPicPr>
        <xdr:cNvPr id="19" name="Imagem 18">
          <a:extLst>
            <a:ext uri="{FF2B5EF4-FFF2-40B4-BE49-F238E27FC236}">
              <a16:creationId xmlns:a16="http://schemas.microsoft.com/office/drawing/2014/main" id="{0A1BFD7E-1FF3-4493-B5FA-F43E25B84561}"/>
            </a:ext>
          </a:extLst>
        </xdr:cNvPr>
        <xdr:cNvPicPr>
          <a:picLocks noChangeAspect="1"/>
        </xdr:cNvPicPr>
      </xdr:nvPicPr>
      <xdr:blipFill>
        <a:blip xmlns:r="http://schemas.openxmlformats.org/officeDocument/2006/relationships" r:embed="rId18"/>
        <a:stretch>
          <a:fillRect/>
        </a:stretch>
      </xdr:blipFill>
      <xdr:spPr>
        <a:xfrm>
          <a:off x="4795308" y="22832483"/>
          <a:ext cx="4555557" cy="2063750"/>
        </a:xfrm>
        <a:prstGeom prst="rect">
          <a:avLst/>
        </a:prstGeom>
      </xdr:spPr>
    </xdr:pic>
    <xdr:clientData/>
  </xdr:twoCellAnchor>
  <xdr:twoCellAnchor editAs="oneCell">
    <xdr:from>
      <xdr:col>8</xdr:col>
      <xdr:colOff>571500</xdr:colOff>
      <xdr:row>142</xdr:row>
      <xdr:rowOff>104776</xdr:rowOff>
    </xdr:from>
    <xdr:to>
      <xdr:col>16</xdr:col>
      <xdr:colOff>161925</xdr:colOff>
      <xdr:row>162</xdr:row>
      <xdr:rowOff>13832</xdr:rowOff>
    </xdr:to>
    <xdr:pic>
      <xdr:nvPicPr>
        <xdr:cNvPr id="20" name="Imagem 19">
          <a:extLst>
            <a:ext uri="{FF2B5EF4-FFF2-40B4-BE49-F238E27FC236}">
              <a16:creationId xmlns:a16="http://schemas.microsoft.com/office/drawing/2014/main" id="{625F9589-6E94-4990-876E-66421821890D}"/>
            </a:ext>
          </a:extLst>
        </xdr:cNvPr>
        <xdr:cNvPicPr>
          <a:picLocks noChangeAspect="1"/>
        </xdr:cNvPicPr>
      </xdr:nvPicPr>
      <xdr:blipFill>
        <a:blip xmlns:r="http://schemas.openxmlformats.org/officeDocument/2006/relationships" r:embed="rId19"/>
        <a:stretch>
          <a:fillRect/>
        </a:stretch>
      </xdr:blipFill>
      <xdr:spPr>
        <a:xfrm>
          <a:off x="4943475" y="27974926"/>
          <a:ext cx="4467225" cy="3719056"/>
        </a:xfrm>
        <a:prstGeom prst="rect">
          <a:avLst/>
        </a:prstGeom>
      </xdr:spPr>
    </xdr:pic>
    <xdr:clientData/>
  </xdr:twoCellAnchor>
  <xdr:twoCellAnchor editAs="oneCell">
    <xdr:from>
      <xdr:col>1</xdr:col>
      <xdr:colOff>123825</xdr:colOff>
      <xdr:row>142</xdr:row>
      <xdr:rowOff>95250</xdr:rowOff>
    </xdr:from>
    <xdr:to>
      <xdr:col>8</xdr:col>
      <xdr:colOff>438150</xdr:colOff>
      <xdr:row>153</xdr:row>
      <xdr:rowOff>75522</xdr:rowOff>
    </xdr:to>
    <xdr:pic>
      <xdr:nvPicPr>
        <xdr:cNvPr id="21" name="Imagem 20">
          <a:extLst>
            <a:ext uri="{FF2B5EF4-FFF2-40B4-BE49-F238E27FC236}">
              <a16:creationId xmlns:a16="http://schemas.microsoft.com/office/drawing/2014/main" id="{9610EF11-0AFC-4AF7-A756-918A197E2189}"/>
            </a:ext>
          </a:extLst>
        </xdr:cNvPr>
        <xdr:cNvPicPr>
          <a:picLocks noChangeAspect="1"/>
        </xdr:cNvPicPr>
      </xdr:nvPicPr>
      <xdr:blipFill>
        <a:blip xmlns:r="http://schemas.openxmlformats.org/officeDocument/2006/relationships" r:embed="rId20"/>
        <a:stretch>
          <a:fillRect/>
        </a:stretch>
      </xdr:blipFill>
      <xdr:spPr>
        <a:xfrm>
          <a:off x="228600" y="27965400"/>
          <a:ext cx="4581525" cy="2075772"/>
        </a:xfrm>
        <a:prstGeom prst="rect">
          <a:avLst/>
        </a:prstGeom>
      </xdr:spPr>
    </xdr:pic>
    <xdr:clientData/>
  </xdr:twoCellAnchor>
  <xdr:twoCellAnchor editAs="oneCell">
    <xdr:from>
      <xdr:col>16</xdr:col>
      <xdr:colOff>304800</xdr:colOff>
      <xdr:row>142</xdr:row>
      <xdr:rowOff>85725</xdr:rowOff>
    </xdr:from>
    <xdr:to>
      <xdr:col>23</xdr:col>
      <xdr:colOff>475154</xdr:colOff>
      <xdr:row>159</xdr:row>
      <xdr:rowOff>56912</xdr:rowOff>
    </xdr:to>
    <xdr:pic>
      <xdr:nvPicPr>
        <xdr:cNvPr id="22" name="Imagem 21">
          <a:extLst>
            <a:ext uri="{FF2B5EF4-FFF2-40B4-BE49-F238E27FC236}">
              <a16:creationId xmlns:a16="http://schemas.microsoft.com/office/drawing/2014/main" id="{4F35DC11-B45B-4662-B4A9-378B0BE7B751}"/>
            </a:ext>
          </a:extLst>
        </xdr:cNvPr>
        <xdr:cNvPicPr>
          <a:picLocks noChangeAspect="1"/>
        </xdr:cNvPicPr>
      </xdr:nvPicPr>
      <xdr:blipFill>
        <a:blip xmlns:r="http://schemas.openxmlformats.org/officeDocument/2006/relationships" r:embed="rId21"/>
        <a:stretch>
          <a:fillRect/>
        </a:stretch>
      </xdr:blipFill>
      <xdr:spPr>
        <a:xfrm>
          <a:off x="9553575" y="27955875"/>
          <a:ext cx="4437554" cy="3209687"/>
        </a:xfrm>
        <a:prstGeom prst="rect">
          <a:avLst/>
        </a:prstGeom>
      </xdr:spPr>
    </xdr:pic>
    <xdr:clientData/>
  </xdr:twoCellAnchor>
  <xdr:twoCellAnchor editAs="oneCell">
    <xdr:from>
      <xdr:col>9</xdr:col>
      <xdr:colOff>590550</xdr:colOff>
      <xdr:row>164</xdr:row>
      <xdr:rowOff>152400</xdr:rowOff>
    </xdr:from>
    <xdr:to>
      <xdr:col>17</xdr:col>
      <xdr:colOff>19050</xdr:colOff>
      <xdr:row>176</xdr:row>
      <xdr:rowOff>175543</xdr:rowOff>
    </xdr:to>
    <xdr:pic>
      <xdr:nvPicPr>
        <xdr:cNvPr id="23" name="Imagem 22">
          <a:extLst>
            <a:ext uri="{FF2B5EF4-FFF2-40B4-BE49-F238E27FC236}">
              <a16:creationId xmlns:a16="http://schemas.microsoft.com/office/drawing/2014/main" id="{F5CA0B81-17E7-413F-B116-38160782903C}"/>
            </a:ext>
          </a:extLst>
        </xdr:cNvPr>
        <xdr:cNvPicPr>
          <a:picLocks noChangeAspect="1"/>
        </xdr:cNvPicPr>
      </xdr:nvPicPr>
      <xdr:blipFill>
        <a:blip xmlns:r="http://schemas.openxmlformats.org/officeDocument/2006/relationships" r:embed="rId22"/>
        <a:stretch>
          <a:fillRect/>
        </a:stretch>
      </xdr:blipFill>
      <xdr:spPr>
        <a:xfrm>
          <a:off x="5572125" y="32308800"/>
          <a:ext cx="4305300" cy="2309143"/>
        </a:xfrm>
        <a:prstGeom prst="rect">
          <a:avLst/>
        </a:prstGeom>
      </xdr:spPr>
    </xdr:pic>
    <xdr:clientData/>
  </xdr:twoCellAnchor>
  <xdr:twoCellAnchor editAs="oneCell">
    <xdr:from>
      <xdr:col>1</xdr:col>
      <xdr:colOff>247651</xdr:colOff>
      <xdr:row>165</xdr:row>
      <xdr:rowOff>38100</xdr:rowOff>
    </xdr:from>
    <xdr:to>
      <xdr:col>9</xdr:col>
      <xdr:colOff>323851</xdr:colOff>
      <xdr:row>175</xdr:row>
      <xdr:rowOff>183449</xdr:rowOff>
    </xdr:to>
    <xdr:pic>
      <xdr:nvPicPr>
        <xdr:cNvPr id="24" name="Imagem 23">
          <a:extLst>
            <a:ext uri="{FF2B5EF4-FFF2-40B4-BE49-F238E27FC236}">
              <a16:creationId xmlns:a16="http://schemas.microsoft.com/office/drawing/2014/main" id="{9FF71DF0-2B11-4926-B66D-94F5492E7C7C}"/>
            </a:ext>
          </a:extLst>
        </xdr:cNvPr>
        <xdr:cNvPicPr>
          <a:picLocks noChangeAspect="1"/>
        </xdr:cNvPicPr>
      </xdr:nvPicPr>
      <xdr:blipFill>
        <a:blip xmlns:r="http://schemas.openxmlformats.org/officeDocument/2006/relationships" r:embed="rId23"/>
        <a:stretch>
          <a:fillRect/>
        </a:stretch>
      </xdr:blipFill>
      <xdr:spPr>
        <a:xfrm>
          <a:off x="352426" y="32385000"/>
          <a:ext cx="4953000" cy="2050349"/>
        </a:xfrm>
        <a:prstGeom prst="rect">
          <a:avLst/>
        </a:prstGeom>
      </xdr:spPr>
    </xdr:pic>
    <xdr:clientData/>
  </xdr:twoCellAnchor>
  <xdr:twoCellAnchor editAs="oneCell">
    <xdr:from>
      <xdr:col>9</xdr:col>
      <xdr:colOff>1</xdr:colOff>
      <xdr:row>180</xdr:row>
      <xdr:rowOff>123825</xdr:rowOff>
    </xdr:from>
    <xdr:to>
      <xdr:col>16</xdr:col>
      <xdr:colOff>86069</xdr:colOff>
      <xdr:row>198</xdr:row>
      <xdr:rowOff>54871</xdr:rowOff>
    </xdr:to>
    <xdr:pic>
      <xdr:nvPicPr>
        <xdr:cNvPr id="25" name="Imagem 24">
          <a:extLst>
            <a:ext uri="{FF2B5EF4-FFF2-40B4-BE49-F238E27FC236}">
              <a16:creationId xmlns:a16="http://schemas.microsoft.com/office/drawing/2014/main" id="{C1F4ECDE-4CD4-4CB2-B1FB-E89733B9B700}"/>
            </a:ext>
          </a:extLst>
        </xdr:cNvPr>
        <xdr:cNvPicPr>
          <a:picLocks noChangeAspect="1"/>
        </xdr:cNvPicPr>
      </xdr:nvPicPr>
      <xdr:blipFill>
        <a:blip xmlns:r="http://schemas.openxmlformats.org/officeDocument/2006/relationships" r:embed="rId24"/>
        <a:stretch>
          <a:fillRect/>
        </a:stretch>
      </xdr:blipFill>
      <xdr:spPr>
        <a:xfrm>
          <a:off x="4981576" y="35499675"/>
          <a:ext cx="4353268" cy="3360046"/>
        </a:xfrm>
        <a:prstGeom prst="rect">
          <a:avLst/>
        </a:prstGeom>
      </xdr:spPr>
    </xdr:pic>
    <xdr:clientData/>
  </xdr:twoCellAnchor>
  <xdr:twoCellAnchor editAs="oneCell">
    <xdr:from>
      <xdr:col>16</xdr:col>
      <xdr:colOff>266700</xdr:colOff>
      <xdr:row>180</xdr:row>
      <xdr:rowOff>133350</xdr:rowOff>
    </xdr:from>
    <xdr:to>
      <xdr:col>23</xdr:col>
      <xdr:colOff>285750</xdr:colOff>
      <xdr:row>196</xdr:row>
      <xdr:rowOff>78033</xdr:rowOff>
    </xdr:to>
    <xdr:pic>
      <xdr:nvPicPr>
        <xdr:cNvPr id="26" name="Imagem 25">
          <a:extLst>
            <a:ext uri="{FF2B5EF4-FFF2-40B4-BE49-F238E27FC236}">
              <a16:creationId xmlns:a16="http://schemas.microsoft.com/office/drawing/2014/main" id="{FA850108-3203-4B56-A2A2-F7C06E91B37C}"/>
            </a:ext>
          </a:extLst>
        </xdr:cNvPr>
        <xdr:cNvPicPr>
          <a:picLocks noChangeAspect="1"/>
        </xdr:cNvPicPr>
      </xdr:nvPicPr>
      <xdr:blipFill>
        <a:blip xmlns:r="http://schemas.openxmlformats.org/officeDocument/2006/relationships" r:embed="rId25"/>
        <a:stretch>
          <a:fillRect/>
        </a:stretch>
      </xdr:blipFill>
      <xdr:spPr>
        <a:xfrm>
          <a:off x="9515475" y="35509200"/>
          <a:ext cx="4286250" cy="2992683"/>
        </a:xfrm>
        <a:prstGeom prst="rect">
          <a:avLst/>
        </a:prstGeom>
      </xdr:spPr>
    </xdr:pic>
    <xdr:clientData/>
  </xdr:twoCellAnchor>
  <xdr:twoCellAnchor editAs="oneCell">
    <xdr:from>
      <xdr:col>1</xdr:col>
      <xdr:colOff>85725</xdr:colOff>
      <xdr:row>180</xdr:row>
      <xdr:rowOff>133350</xdr:rowOff>
    </xdr:from>
    <xdr:to>
      <xdr:col>8</xdr:col>
      <xdr:colOff>476159</xdr:colOff>
      <xdr:row>193</xdr:row>
      <xdr:rowOff>57149</xdr:rowOff>
    </xdr:to>
    <xdr:pic>
      <xdr:nvPicPr>
        <xdr:cNvPr id="27" name="Imagem 26">
          <a:extLst>
            <a:ext uri="{FF2B5EF4-FFF2-40B4-BE49-F238E27FC236}">
              <a16:creationId xmlns:a16="http://schemas.microsoft.com/office/drawing/2014/main" id="{3EFFAC5D-43CA-4D01-9833-777EA307AAD7}"/>
            </a:ext>
          </a:extLst>
        </xdr:cNvPr>
        <xdr:cNvPicPr>
          <a:picLocks noChangeAspect="1"/>
        </xdr:cNvPicPr>
      </xdr:nvPicPr>
      <xdr:blipFill>
        <a:blip xmlns:r="http://schemas.openxmlformats.org/officeDocument/2006/relationships" r:embed="rId26"/>
        <a:stretch>
          <a:fillRect/>
        </a:stretch>
      </xdr:blipFill>
      <xdr:spPr>
        <a:xfrm>
          <a:off x="190500" y="35509200"/>
          <a:ext cx="4657634" cy="2400299"/>
        </a:xfrm>
        <a:prstGeom prst="rect">
          <a:avLst/>
        </a:prstGeom>
      </xdr:spPr>
    </xdr:pic>
    <xdr:clientData/>
  </xdr:twoCellAnchor>
  <xdr:twoCellAnchor editAs="oneCell">
    <xdr:from>
      <xdr:col>15</xdr:col>
      <xdr:colOff>529585</xdr:colOff>
      <xdr:row>201</xdr:row>
      <xdr:rowOff>3608</xdr:rowOff>
    </xdr:from>
    <xdr:to>
      <xdr:col>23</xdr:col>
      <xdr:colOff>114301</xdr:colOff>
      <xdr:row>218</xdr:row>
      <xdr:rowOff>19050</xdr:rowOff>
    </xdr:to>
    <xdr:pic>
      <xdr:nvPicPr>
        <xdr:cNvPr id="28" name="Imagem 27">
          <a:extLst>
            <a:ext uri="{FF2B5EF4-FFF2-40B4-BE49-F238E27FC236}">
              <a16:creationId xmlns:a16="http://schemas.microsoft.com/office/drawing/2014/main" id="{A709E69E-79C0-44AD-8832-138D8D48D24F}"/>
            </a:ext>
          </a:extLst>
        </xdr:cNvPr>
        <xdr:cNvPicPr>
          <a:picLocks noChangeAspect="1"/>
        </xdr:cNvPicPr>
      </xdr:nvPicPr>
      <xdr:blipFill>
        <a:blip xmlns:r="http://schemas.openxmlformats.org/officeDocument/2006/relationships" r:embed="rId27"/>
        <a:stretch>
          <a:fillRect/>
        </a:stretch>
      </xdr:blipFill>
      <xdr:spPr>
        <a:xfrm>
          <a:off x="9168760" y="39475208"/>
          <a:ext cx="4461516" cy="3253942"/>
        </a:xfrm>
        <a:prstGeom prst="rect">
          <a:avLst/>
        </a:prstGeom>
      </xdr:spPr>
    </xdr:pic>
    <xdr:clientData/>
  </xdr:twoCellAnchor>
  <xdr:twoCellAnchor editAs="oneCell">
    <xdr:from>
      <xdr:col>8</xdr:col>
      <xdr:colOff>333375</xdr:colOff>
      <xdr:row>200</xdr:row>
      <xdr:rowOff>171450</xdr:rowOff>
    </xdr:from>
    <xdr:to>
      <xdr:col>15</xdr:col>
      <xdr:colOff>210369</xdr:colOff>
      <xdr:row>218</xdr:row>
      <xdr:rowOff>153337</xdr:rowOff>
    </xdr:to>
    <xdr:pic>
      <xdr:nvPicPr>
        <xdr:cNvPr id="29" name="Imagem 28">
          <a:extLst>
            <a:ext uri="{FF2B5EF4-FFF2-40B4-BE49-F238E27FC236}">
              <a16:creationId xmlns:a16="http://schemas.microsoft.com/office/drawing/2014/main" id="{A7BDCC82-6D09-4EDA-B96A-0F99C2488440}"/>
            </a:ext>
          </a:extLst>
        </xdr:cNvPr>
        <xdr:cNvPicPr>
          <a:picLocks noChangeAspect="1"/>
        </xdr:cNvPicPr>
      </xdr:nvPicPr>
      <xdr:blipFill>
        <a:blip xmlns:r="http://schemas.openxmlformats.org/officeDocument/2006/relationships" r:embed="rId28"/>
        <a:stretch>
          <a:fillRect/>
        </a:stretch>
      </xdr:blipFill>
      <xdr:spPr>
        <a:xfrm>
          <a:off x="4705350" y="39452550"/>
          <a:ext cx="4144194" cy="3410887"/>
        </a:xfrm>
        <a:prstGeom prst="rect">
          <a:avLst/>
        </a:prstGeom>
      </xdr:spPr>
    </xdr:pic>
    <xdr:clientData/>
  </xdr:twoCellAnchor>
  <xdr:twoCellAnchor editAs="oneCell">
    <xdr:from>
      <xdr:col>1</xdr:col>
      <xdr:colOff>219075</xdr:colOff>
      <xdr:row>200</xdr:row>
      <xdr:rowOff>180975</xdr:rowOff>
    </xdr:from>
    <xdr:to>
      <xdr:col>8</xdr:col>
      <xdr:colOff>19050</xdr:colOff>
      <xdr:row>218</xdr:row>
      <xdr:rowOff>43824</xdr:rowOff>
    </xdr:to>
    <xdr:pic>
      <xdr:nvPicPr>
        <xdr:cNvPr id="30" name="Imagem 29">
          <a:extLst>
            <a:ext uri="{FF2B5EF4-FFF2-40B4-BE49-F238E27FC236}">
              <a16:creationId xmlns:a16="http://schemas.microsoft.com/office/drawing/2014/main" id="{CDE37EF6-C26B-4274-AD1C-A634189177D8}"/>
            </a:ext>
          </a:extLst>
        </xdr:cNvPr>
        <xdr:cNvPicPr>
          <a:picLocks noChangeAspect="1"/>
        </xdr:cNvPicPr>
      </xdr:nvPicPr>
      <xdr:blipFill>
        <a:blip xmlns:r="http://schemas.openxmlformats.org/officeDocument/2006/relationships" r:embed="rId29"/>
        <a:stretch>
          <a:fillRect/>
        </a:stretch>
      </xdr:blipFill>
      <xdr:spPr>
        <a:xfrm>
          <a:off x="323850" y="39462075"/>
          <a:ext cx="4067175" cy="3291849"/>
        </a:xfrm>
        <a:prstGeom prst="rect">
          <a:avLst/>
        </a:prstGeom>
      </xdr:spPr>
    </xdr:pic>
    <xdr:clientData/>
  </xdr:twoCellAnchor>
  <xdr:twoCellAnchor editAs="oneCell">
    <xdr:from>
      <xdr:col>8</xdr:col>
      <xdr:colOff>295424</xdr:colOff>
      <xdr:row>221</xdr:row>
      <xdr:rowOff>125295</xdr:rowOff>
    </xdr:from>
    <xdr:to>
      <xdr:col>16</xdr:col>
      <xdr:colOff>314326</xdr:colOff>
      <xdr:row>235</xdr:row>
      <xdr:rowOff>57150</xdr:rowOff>
    </xdr:to>
    <xdr:pic>
      <xdr:nvPicPr>
        <xdr:cNvPr id="31" name="Imagem 30">
          <a:extLst>
            <a:ext uri="{FF2B5EF4-FFF2-40B4-BE49-F238E27FC236}">
              <a16:creationId xmlns:a16="http://schemas.microsoft.com/office/drawing/2014/main" id="{A2BAF2F0-9E96-4D52-9E33-ACF715A9EE28}"/>
            </a:ext>
          </a:extLst>
        </xdr:cNvPr>
        <xdr:cNvPicPr>
          <a:picLocks noChangeAspect="1"/>
        </xdr:cNvPicPr>
      </xdr:nvPicPr>
      <xdr:blipFill>
        <a:blip xmlns:r="http://schemas.openxmlformats.org/officeDocument/2006/relationships" r:embed="rId30"/>
        <a:stretch>
          <a:fillRect/>
        </a:stretch>
      </xdr:blipFill>
      <xdr:spPr>
        <a:xfrm>
          <a:off x="4667399" y="43502145"/>
          <a:ext cx="4895702" cy="2598855"/>
        </a:xfrm>
        <a:prstGeom prst="rect">
          <a:avLst/>
        </a:prstGeom>
      </xdr:spPr>
    </xdr:pic>
    <xdr:clientData/>
  </xdr:twoCellAnchor>
  <xdr:twoCellAnchor editAs="oneCell">
    <xdr:from>
      <xdr:col>16</xdr:col>
      <xdr:colOff>514351</xdr:colOff>
      <xdr:row>221</xdr:row>
      <xdr:rowOff>121639</xdr:rowOff>
    </xdr:from>
    <xdr:to>
      <xdr:col>23</xdr:col>
      <xdr:colOff>247651</xdr:colOff>
      <xdr:row>235</xdr:row>
      <xdr:rowOff>48156</xdr:rowOff>
    </xdr:to>
    <xdr:pic>
      <xdr:nvPicPr>
        <xdr:cNvPr id="32" name="Imagem 31">
          <a:extLst>
            <a:ext uri="{FF2B5EF4-FFF2-40B4-BE49-F238E27FC236}">
              <a16:creationId xmlns:a16="http://schemas.microsoft.com/office/drawing/2014/main" id="{AC135EDA-DC4C-42D0-821A-9E06C8382486}"/>
            </a:ext>
          </a:extLst>
        </xdr:cNvPr>
        <xdr:cNvPicPr>
          <a:picLocks noChangeAspect="1"/>
        </xdr:cNvPicPr>
      </xdr:nvPicPr>
      <xdr:blipFill>
        <a:blip xmlns:r="http://schemas.openxmlformats.org/officeDocument/2006/relationships" r:embed="rId31"/>
        <a:stretch>
          <a:fillRect/>
        </a:stretch>
      </xdr:blipFill>
      <xdr:spPr>
        <a:xfrm>
          <a:off x="9763126" y="43498489"/>
          <a:ext cx="4000500" cy="2593517"/>
        </a:xfrm>
        <a:prstGeom prst="rect">
          <a:avLst/>
        </a:prstGeom>
      </xdr:spPr>
    </xdr:pic>
    <xdr:clientData/>
  </xdr:twoCellAnchor>
  <xdr:twoCellAnchor editAs="oneCell">
    <xdr:from>
      <xdr:col>1</xdr:col>
      <xdr:colOff>66675</xdr:colOff>
      <xdr:row>221</xdr:row>
      <xdr:rowOff>133350</xdr:rowOff>
    </xdr:from>
    <xdr:to>
      <xdr:col>8</xdr:col>
      <xdr:colOff>162128</xdr:colOff>
      <xdr:row>232</xdr:row>
      <xdr:rowOff>28575</xdr:rowOff>
    </xdr:to>
    <xdr:pic>
      <xdr:nvPicPr>
        <xdr:cNvPr id="33" name="Imagem 32">
          <a:extLst>
            <a:ext uri="{FF2B5EF4-FFF2-40B4-BE49-F238E27FC236}">
              <a16:creationId xmlns:a16="http://schemas.microsoft.com/office/drawing/2014/main" id="{0535C30D-922A-4C5F-985C-DBFD4D3C0E71}"/>
            </a:ext>
          </a:extLst>
        </xdr:cNvPr>
        <xdr:cNvPicPr>
          <a:picLocks noChangeAspect="1"/>
        </xdr:cNvPicPr>
      </xdr:nvPicPr>
      <xdr:blipFill>
        <a:blip xmlns:r="http://schemas.openxmlformats.org/officeDocument/2006/relationships" r:embed="rId32"/>
        <a:stretch>
          <a:fillRect/>
        </a:stretch>
      </xdr:blipFill>
      <xdr:spPr>
        <a:xfrm>
          <a:off x="171450" y="43510200"/>
          <a:ext cx="4362653" cy="1990725"/>
        </a:xfrm>
        <a:prstGeom prst="rect">
          <a:avLst/>
        </a:prstGeom>
      </xdr:spPr>
    </xdr:pic>
    <xdr:clientData/>
  </xdr:twoCellAnchor>
  <xdr:twoCellAnchor editAs="oneCell">
    <xdr:from>
      <xdr:col>14</xdr:col>
      <xdr:colOff>585457</xdr:colOff>
      <xdr:row>238</xdr:row>
      <xdr:rowOff>154954</xdr:rowOff>
    </xdr:from>
    <xdr:to>
      <xdr:col>23</xdr:col>
      <xdr:colOff>466725</xdr:colOff>
      <xdr:row>252</xdr:row>
      <xdr:rowOff>19050</xdr:rowOff>
    </xdr:to>
    <xdr:pic>
      <xdr:nvPicPr>
        <xdr:cNvPr id="34" name="Imagem 33">
          <a:extLst>
            <a:ext uri="{FF2B5EF4-FFF2-40B4-BE49-F238E27FC236}">
              <a16:creationId xmlns:a16="http://schemas.microsoft.com/office/drawing/2014/main" id="{C1811C6A-5908-4C41-8D86-00ED2306EC80}"/>
            </a:ext>
          </a:extLst>
        </xdr:cNvPr>
        <xdr:cNvPicPr>
          <a:picLocks noChangeAspect="1"/>
        </xdr:cNvPicPr>
      </xdr:nvPicPr>
      <xdr:blipFill>
        <a:blip xmlns:r="http://schemas.openxmlformats.org/officeDocument/2006/relationships" r:embed="rId33"/>
        <a:stretch>
          <a:fillRect/>
        </a:stretch>
      </xdr:blipFill>
      <xdr:spPr>
        <a:xfrm>
          <a:off x="8615032" y="46865554"/>
          <a:ext cx="5367668" cy="2531096"/>
        </a:xfrm>
        <a:prstGeom prst="rect">
          <a:avLst/>
        </a:prstGeom>
      </xdr:spPr>
    </xdr:pic>
    <xdr:clientData/>
  </xdr:twoCellAnchor>
  <xdr:twoCellAnchor editAs="oneCell">
    <xdr:from>
      <xdr:col>1</xdr:col>
      <xdr:colOff>133350</xdr:colOff>
      <xdr:row>237</xdr:row>
      <xdr:rowOff>161925</xdr:rowOff>
    </xdr:from>
    <xdr:to>
      <xdr:col>6</xdr:col>
      <xdr:colOff>538837</xdr:colOff>
      <xdr:row>257</xdr:row>
      <xdr:rowOff>38981</xdr:rowOff>
    </xdr:to>
    <xdr:pic>
      <xdr:nvPicPr>
        <xdr:cNvPr id="35" name="Imagem 34">
          <a:extLst>
            <a:ext uri="{FF2B5EF4-FFF2-40B4-BE49-F238E27FC236}">
              <a16:creationId xmlns:a16="http://schemas.microsoft.com/office/drawing/2014/main" id="{D3D50F2C-647F-473D-A332-90DCD76E8256}"/>
            </a:ext>
          </a:extLst>
        </xdr:cNvPr>
        <xdr:cNvPicPr>
          <a:picLocks noChangeAspect="1"/>
        </xdr:cNvPicPr>
      </xdr:nvPicPr>
      <xdr:blipFill>
        <a:blip xmlns:r="http://schemas.openxmlformats.org/officeDocument/2006/relationships" r:embed="rId34"/>
        <a:stretch>
          <a:fillRect/>
        </a:stretch>
      </xdr:blipFill>
      <xdr:spPr>
        <a:xfrm>
          <a:off x="238125" y="46682025"/>
          <a:ext cx="3453487" cy="3687056"/>
        </a:xfrm>
        <a:prstGeom prst="rect">
          <a:avLst/>
        </a:prstGeom>
      </xdr:spPr>
    </xdr:pic>
    <xdr:clientData/>
  </xdr:twoCellAnchor>
  <xdr:twoCellAnchor editAs="oneCell">
    <xdr:from>
      <xdr:col>7</xdr:col>
      <xdr:colOff>57150</xdr:colOff>
      <xdr:row>238</xdr:row>
      <xdr:rowOff>28574</xdr:rowOff>
    </xdr:from>
    <xdr:to>
      <xdr:col>14</xdr:col>
      <xdr:colOff>483820</xdr:colOff>
      <xdr:row>253</xdr:row>
      <xdr:rowOff>114299</xdr:rowOff>
    </xdr:to>
    <xdr:pic>
      <xdr:nvPicPr>
        <xdr:cNvPr id="36" name="Imagem 35">
          <a:extLst>
            <a:ext uri="{FF2B5EF4-FFF2-40B4-BE49-F238E27FC236}">
              <a16:creationId xmlns:a16="http://schemas.microsoft.com/office/drawing/2014/main" id="{0FC056B4-83D2-460E-B1BE-45BE94B9F7D2}"/>
            </a:ext>
          </a:extLst>
        </xdr:cNvPr>
        <xdr:cNvPicPr>
          <a:picLocks noChangeAspect="1"/>
        </xdr:cNvPicPr>
      </xdr:nvPicPr>
      <xdr:blipFill>
        <a:blip xmlns:r="http://schemas.openxmlformats.org/officeDocument/2006/relationships" r:embed="rId35"/>
        <a:stretch>
          <a:fillRect/>
        </a:stretch>
      </xdr:blipFill>
      <xdr:spPr>
        <a:xfrm>
          <a:off x="3819525" y="46739174"/>
          <a:ext cx="4693870" cy="2943225"/>
        </a:xfrm>
        <a:prstGeom prst="rect">
          <a:avLst/>
        </a:prstGeom>
      </xdr:spPr>
    </xdr:pic>
    <xdr:clientData/>
  </xdr:twoCellAnchor>
  <xdr:twoCellAnchor editAs="oneCell">
    <xdr:from>
      <xdr:col>8</xdr:col>
      <xdr:colOff>19051</xdr:colOff>
      <xdr:row>261</xdr:row>
      <xdr:rowOff>104775</xdr:rowOff>
    </xdr:from>
    <xdr:to>
      <xdr:col>15</xdr:col>
      <xdr:colOff>501931</xdr:colOff>
      <xdr:row>275</xdr:row>
      <xdr:rowOff>47625</xdr:rowOff>
    </xdr:to>
    <xdr:pic>
      <xdr:nvPicPr>
        <xdr:cNvPr id="37" name="Imagem 36">
          <a:extLst>
            <a:ext uri="{FF2B5EF4-FFF2-40B4-BE49-F238E27FC236}">
              <a16:creationId xmlns:a16="http://schemas.microsoft.com/office/drawing/2014/main" id="{C1FE1921-A786-448C-A717-BDCDCBF3860F}"/>
            </a:ext>
          </a:extLst>
        </xdr:cNvPr>
        <xdr:cNvPicPr>
          <a:picLocks noChangeAspect="1"/>
        </xdr:cNvPicPr>
      </xdr:nvPicPr>
      <xdr:blipFill>
        <a:blip xmlns:r="http://schemas.openxmlformats.org/officeDocument/2006/relationships" r:embed="rId36"/>
        <a:stretch>
          <a:fillRect/>
        </a:stretch>
      </xdr:blipFill>
      <xdr:spPr>
        <a:xfrm>
          <a:off x="4391026" y="51368325"/>
          <a:ext cx="4750080" cy="2609850"/>
        </a:xfrm>
        <a:prstGeom prst="rect">
          <a:avLst/>
        </a:prstGeom>
      </xdr:spPr>
    </xdr:pic>
    <xdr:clientData/>
  </xdr:twoCellAnchor>
  <xdr:twoCellAnchor editAs="oneCell">
    <xdr:from>
      <xdr:col>1</xdr:col>
      <xdr:colOff>123825</xdr:colOff>
      <xdr:row>262</xdr:row>
      <xdr:rowOff>9526</xdr:rowOff>
    </xdr:from>
    <xdr:to>
      <xdr:col>7</xdr:col>
      <xdr:colOff>542925</xdr:colOff>
      <xdr:row>273</xdr:row>
      <xdr:rowOff>24938</xdr:rowOff>
    </xdr:to>
    <xdr:pic>
      <xdr:nvPicPr>
        <xdr:cNvPr id="38" name="Imagem 37">
          <a:extLst>
            <a:ext uri="{FF2B5EF4-FFF2-40B4-BE49-F238E27FC236}">
              <a16:creationId xmlns:a16="http://schemas.microsoft.com/office/drawing/2014/main" id="{80017633-1952-4E29-9A97-811639D4CEA1}"/>
            </a:ext>
          </a:extLst>
        </xdr:cNvPr>
        <xdr:cNvPicPr>
          <a:picLocks noChangeAspect="1"/>
        </xdr:cNvPicPr>
      </xdr:nvPicPr>
      <xdr:blipFill>
        <a:blip xmlns:r="http://schemas.openxmlformats.org/officeDocument/2006/relationships" r:embed="rId37"/>
        <a:stretch>
          <a:fillRect/>
        </a:stretch>
      </xdr:blipFill>
      <xdr:spPr>
        <a:xfrm>
          <a:off x="228600" y="51463576"/>
          <a:ext cx="4076700" cy="2110912"/>
        </a:xfrm>
        <a:prstGeom prst="rect">
          <a:avLst/>
        </a:prstGeom>
      </xdr:spPr>
    </xdr:pic>
    <xdr:clientData/>
  </xdr:twoCellAnchor>
  <xdr:twoCellAnchor editAs="oneCell">
    <xdr:from>
      <xdr:col>16</xdr:col>
      <xdr:colOff>85725</xdr:colOff>
      <xdr:row>261</xdr:row>
      <xdr:rowOff>85725</xdr:rowOff>
    </xdr:from>
    <xdr:to>
      <xdr:col>23</xdr:col>
      <xdr:colOff>325256</xdr:colOff>
      <xdr:row>275</xdr:row>
      <xdr:rowOff>38580</xdr:rowOff>
    </xdr:to>
    <xdr:pic>
      <xdr:nvPicPr>
        <xdr:cNvPr id="39" name="Imagem 38">
          <a:extLst>
            <a:ext uri="{FF2B5EF4-FFF2-40B4-BE49-F238E27FC236}">
              <a16:creationId xmlns:a16="http://schemas.microsoft.com/office/drawing/2014/main" id="{1E726CA9-9DE6-4A20-9691-8FA3FABCF1F7}"/>
            </a:ext>
          </a:extLst>
        </xdr:cNvPr>
        <xdr:cNvPicPr>
          <a:picLocks noChangeAspect="1"/>
        </xdr:cNvPicPr>
      </xdr:nvPicPr>
      <xdr:blipFill>
        <a:blip xmlns:r="http://schemas.openxmlformats.org/officeDocument/2006/relationships" r:embed="rId38"/>
        <a:stretch>
          <a:fillRect/>
        </a:stretch>
      </xdr:blipFill>
      <xdr:spPr>
        <a:xfrm>
          <a:off x="9334500" y="51349275"/>
          <a:ext cx="4506731" cy="2619855"/>
        </a:xfrm>
        <a:prstGeom prst="rect">
          <a:avLst/>
        </a:prstGeom>
      </xdr:spPr>
    </xdr:pic>
    <xdr:clientData/>
  </xdr:twoCellAnchor>
  <xdr:twoCellAnchor editAs="oneCell">
    <xdr:from>
      <xdr:col>8</xdr:col>
      <xdr:colOff>476368</xdr:colOff>
      <xdr:row>277</xdr:row>
      <xdr:rowOff>104775</xdr:rowOff>
    </xdr:from>
    <xdr:to>
      <xdr:col>16</xdr:col>
      <xdr:colOff>92046</xdr:colOff>
      <xdr:row>291</xdr:row>
      <xdr:rowOff>114300</xdr:rowOff>
    </xdr:to>
    <xdr:pic>
      <xdr:nvPicPr>
        <xdr:cNvPr id="40" name="Imagem 39">
          <a:extLst>
            <a:ext uri="{FF2B5EF4-FFF2-40B4-BE49-F238E27FC236}">
              <a16:creationId xmlns:a16="http://schemas.microsoft.com/office/drawing/2014/main" id="{B90D1B11-2BEC-4233-93F6-20FED0F8E94A}"/>
            </a:ext>
          </a:extLst>
        </xdr:cNvPr>
        <xdr:cNvPicPr>
          <a:picLocks noChangeAspect="1"/>
        </xdr:cNvPicPr>
      </xdr:nvPicPr>
      <xdr:blipFill>
        <a:blip xmlns:r="http://schemas.openxmlformats.org/officeDocument/2006/relationships" r:embed="rId39"/>
        <a:stretch>
          <a:fillRect/>
        </a:stretch>
      </xdr:blipFill>
      <xdr:spPr>
        <a:xfrm>
          <a:off x="4848343" y="54511575"/>
          <a:ext cx="4492478" cy="2676525"/>
        </a:xfrm>
        <a:prstGeom prst="rect">
          <a:avLst/>
        </a:prstGeom>
      </xdr:spPr>
    </xdr:pic>
    <xdr:clientData/>
  </xdr:twoCellAnchor>
  <xdr:twoCellAnchor editAs="oneCell">
    <xdr:from>
      <xdr:col>16</xdr:col>
      <xdr:colOff>190500</xdr:colOff>
      <xdr:row>277</xdr:row>
      <xdr:rowOff>85727</xdr:rowOff>
    </xdr:from>
    <xdr:to>
      <xdr:col>22</xdr:col>
      <xdr:colOff>542925</xdr:colOff>
      <xdr:row>293</xdr:row>
      <xdr:rowOff>67957</xdr:rowOff>
    </xdr:to>
    <xdr:pic>
      <xdr:nvPicPr>
        <xdr:cNvPr id="41" name="Imagem 40">
          <a:extLst>
            <a:ext uri="{FF2B5EF4-FFF2-40B4-BE49-F238E27FC236}">
              <a16:creationId xmlns:a16="http://schemas.microsoft.com/office/drawing/2014/main" id="{47CB2E0C-B208-4865-BC34-AA0E1C59827D}"/>
            </a:ext>
          </a:extLst>
        </xdr:cNvPr>
        <xdr:cNvPicPr>
          <a:picLocks noChangeAspect="1"/>
        </xdr:cNvPicPr>
      </xdr:nvPicPr>
      <xdr:blipFill>
        <a:blip xmlns:r="http://schemas.openxmlformats.org/officeDocument/2006/relationships" r:embed="rId40"/>
        <a:stretch>
          <a:fillRect/>
        </a:stretch>
      </xdr:blipFill>
      <xdr:spPr>
        <a:xfrm>
          <a:off x="9439275" y="54492527"/>
          <a:ext cx="4010025" cy="3030230"/>
        </a:xfrm>
        <a:prstGeom prst="rect">
          <a:avLst/>
        </a:prstGeom>
      </xdr:spPr>
    </xdr:pic>
    <xdr:clientData/>
  </xdr:twoCellAnchor>
  <xdr:twoCellAnchor editAs="oneCell">
    <xdr:from>
      <xdr:col>1</xdr:col>
      <xdr:colOff>104775</xdr:colOff>
      <xdr:row>277</xdr:row>
      <xdr:rowOff>104775</xdr:rowOff>
    </xdr:from>
    <xdr:to>
      <xdr:col>8</xdr:col>
      <xdr:colOff>343161</xdr:colOff>
      <xdr:row>287</xdr:row>
      <xdr:rowOff>57150</xdr:rowOff>
    </xdr:to>
    <xdr:pic>
      <xdr:nvPicPr>
        <xdr:cNvPr id="42" name="Imagem 41">
          <a:extLst>
            <a:ext uri="{FF2B5EF4-FFF2-40B4-BE49-F238E27FC236}">
              <a16:creationId xmlns:a16="http://schemas.microsoft.com/office/drawing/2014/main" id="{7EA640BF-54E6-4989-A73F-D184F2759B1B}"/>
            </a:ext>
          </a:extLst>
        </xdr:cNvPr>
        <xdr:cNvPicPr>
          <a:picLocks noChangeAspect="1"/>
        </xdr:cNvPicPr>
      </xdr:nvPicPr>
      <xdr:blipFill>
        <a:blip xmlns:r="http://schemas.openxmlformats.org/officeDocument/2006/relationships" r:embed="rId41"/>
        <a:stretch>
          <a:fillRect/>
        </a:stretch>
      </xdr:blipFill>
      <xdr:spPr>
        <a:xfrm>
          <a:off x="209550" y="54511575"/>
          <a:ext cx="4505586" cy="1857375"/>
        </a:xfrm>
        <a:prstGeom prst="rect">
          <a:avLst/>
        </a:prstGeom>
      </xdr:spPr>
    </xdr:pic>
    <xdr:clientData/>
  </xdr:twoCellAnchor>
  <xdr:twoCellAnchor editAs="oneCell">
    <xdr:from>
      <xdr:col>10</xdr:col>
      <xdr:colOff>409576</xdr:colOff>
      <xdr:row>295</xdr:row>
      <xdr:rowOff>85725</xdr:rowOff>
    </xdr:from>
    <xdr:to>
      <xdr:col>17</xdr:col>
      <xdr:colOff>200025</xdr:colOff>
      <xdr:row>306</xdr:row>
      <xdr:rowOff>150791</xdr:rowOff>
    </xdr:to>
    <xdr:pic>
      <xdr:nvPicPr>
        <xdr:cNvPr id="43" name="Imagem 42">
          <a:extLst>
            <a:ext uri="{FF2B5EF4-FFF2-40B4-BE49-F238E27FC236}">
              <a16:creationId xmlns:a16="http://schemas.microsoft.com/office/drawing/2014/main" id="{0C91214C-30F6-47D0-A7F5-CEB87C498FAB}"/>
            </a:ext>
          </a:extLst>
        </xdr:cNvPr>
        <xdr:cNvPicPr>
          <a:picLocks noChangeAspect="1"/>
        </xdr:cNvPicPr>
      </xdr:nvPicPr>
      <xdr:blipFill>
        <a:blip xmlns:r="http://schemas.openxmlformats.org/officeDocument/2006/relationships" r:embed="rId42"/>
        <a:stretch>
          <a:fillRect/>
        </a:stretch>
      </xdr:blipFill>
      <xdr:spPr>
        <a:xfrm>
          <a:off x="6000751" y="58016775"/>
          <a:ext cx="4057649" cy="2160566"/>
        </a:xfrm>
        <a:prstGeom prst="rect">
          <a:avLst/>
        </a:prstGeom>
      </xdr:spPr>
    </xdr:pic>
    <xdr:clientData/>
  </xdr:twoCellAnchor>
  <xdr:twoCellAnchor editAs="oneCell">
    <xdr:from>
      <xdr:col>2</xdr:col>
      <xdr:colOff>381000</xdr:colOff>
      <xdr:row>295</xdr:row>
      <xdr:rowOff>190499</xdr:rowOff>
    </xdr:from>
    <xdr:to>
      <xdr:col>10</xdr:col>
      <xdr:colOff>60883</xdr:colOff>
      <xdr:row>305</xdr:row>
      <xdr:rowOff>171788</xdr:rowOff>
    </xdr:to>
    <xdr:pic>
      <xdr:nvPicPr>
        <xdr:cNvPr id="44" name="Imagem 43">
          <a:extLst>
            <a:ext uri="{FF2B5EF4-FFF2-40B4-BE49-F238E27FC236}">
              <a16:creationId xmlns:a16="http://schemas.microsoft.com/office/drawing/2014/main" id="{FB6DD78B-9A4B-4BAE-A6BB-C51F5E1AB87D}"/>
            </a:ext>
          </a:extLst>
        </xdr:cNvPr>
        <xdr:cNvPicPr>
          <a:picLocks noChangeAspect="1"/>
        </xdr:cNvPicPr>
      </xdr:nvPicPr>
      <xdr:blipFill>
        <a:blip xmlns:r="http://schemas.openxmlformats.org/officeDocument/2006/relationships" r:embed="rId43"/>
        <a:stretch>
          <a:fillRect/>
        </a:stretch>
      </xdr:blipFill>
      <xdr:spPr>
        <a:xfrm>
          <a:off x="1095375" y="58121549"/>
          <a:ext cx="4556683" cy="1886289"/>
        </a:xfrm>
        <a:prstGeom prst="rect">
          <a:avLst/>
        </a:prstGeom>
      </xdr:spPr>
    </xdr:pic>
    <xdr:clientData/>
  </xdr:twoCellAnchor>
  <xdr:twoCellAnchor editAs="oneCell">
    <xdr:from>
      <xdr:col>1</xdr:col>
      <xdr:colOff>342900</xdr:colOff>
      <xdr:row>310</xdr:row>
      <xdr:rowOff>85725</xdr:rowOff>
    </xdr:from>
    <xdr:to>
      <xdr:col>8</xdr:col>
      <xdr:colOff>209550</xdr:colOff>
      <xdr:row>321</xdr:row>
      <xdr:rowOff>177553</xdr:rowOff>
    </xdr:to>
    <xdr:pic>
      <xdr:nvPicPr>
        <xdr:cNvPr id="45" name="Imagem 44">
          <a:extLst>
            <a:ext uri="{FF2B5EF4-FFF2-40B4-BE49-F238E27FC236}">
              <a16:creationId xmlns:a16="http://schemas.microsoft.com/office/drawing/2014/main" id="{F384C051-B87C-4B4F-B1A0-3A77E00B9420}"/>
            </a:ext>
          </a:extLst>
        </xdr:cNvPr>
        <xdr:cNvPicPr>
          <a:picLocks noChangeAspect="1"/>
        </xdr:cNvPicPr>
      </xdr:nvPicPr>
      <xdr:blipFill>
        <a:blip xmlns:r="http://schemas.openxmlformats.org/officeDocument/2006/relationships" r:embed="rId44"/>
        <a:stretch>
          <a:fillRect/>
        </a:stretch>
      </xdr:blipFill>
      <xdr:spPr>
        <a:xfrm>
          <a:off x="447675" y="60969525"/>
          <a:ext cx="4133850" cy="2187328"/>
        </a:xfrm>
        <a:prstGeom prst="rect">
          <a:avLst/>
        </a:prstGeom>
      </xdr:spPr>
    </xdr:pic>
    <xdr:clientData/>
  </xdr:twoCellAnchor>
  <xdr:twoCellAnchor editAs="oneCell">
    <xdr:from>
      <xdr:col>15</xdr:col>
      <xdr:colOff>542926</xdr:colOff>
      <xdr:row>310</xdr:row>
      <xdr:rowOff>19051</xdr:rowOff>
    </xdr:from>
    <xdr:to>
      <xdr:col>23</xdr:col>
      <xdr:colOff>114336</xdr:colOff>
      <xdr:row>320</xdr:row>
      <xdr:rowOff>114301</xdr:rowOff>
    </xdr:to>
    <xdr:pic>
      <xdr:nvPicPr>
        <xdr:cNvPr id="46" name="Imagem 45">
          <a:extLst>
            <a:ext uri="{FF2B5EF4-FFF2-40B4-BE49-F238E27FC236}">
              <a16:creationId xmlns:a16="http://schemas.microsoft.com/office/drawing/2014/main" id="{B76635F2-2FE0-4149-941B-BC1B22A78A4B}"/>
            </a:ext>
          </a:extLst>
        </xdr:cNvPr>
        <xdr:cNvPicPr>
          <a:picLocks noChangeAspect="1"/>
        </xdr:cNvPicPr>
      </xdr:nvPicPr>
      <xdr:blipFill>
        <a:blip xmlns:r="http://schemas.openxmlformats.org/officeDocument/2006/relationships" r:embed="rId45"/>
        <a:stretch>
          <a:fillRect/>
        </a:stretch>
      </xdr:blipFill>
      <xdr:spPr>
        <a:xfrm>
          <a:off x="9182101" y="60902851"/>
          <a:ext cx="4448210" cy="2000250"/>
        </a:xfrm>
        <a:prstGeom prst="rect">
          <a:avLst/>
        </a:prstGeom>
      </xdr:spPr>
    </xdr:pic>
    <xdr:clientData/>
  </xdr:twoCellAnchor>
  <xdr:twoCellAnchor editAs="oneCell">
    <xdr:from>
      <xdr:col>8</xdr:col>
      <xdr:colOff>561975</xdr:colOff>
      <xdr:row>309</xdr:row>
      <xdr:rowOff>104775</xdr:rowOff>
    </xdr:from>
    <xdr:to>
      <xdr:col>15</xdr:col>
      <xdr:colOff>219075</xdr:colOff>
      <xdr:row>331</xdr:row>
      <xdr:rowOff>117023</xdr:rowOff>
    </xdr:to>
    <xdr:pic>
      <xdr:nvPicPr>
        <xdr:cNvPr id="47" name="Imagem 46">
          <a:extLst>
            <a:ext uri="{FF2B5EF4-FFF2-40B4-BE49-F238E27FC236}">
              <a16:creationId xmlns:a16="http://schemas.microsoft.com/office/drawing/2014/main" id="{80D78652-5B93-4DED-80A2-CAB439F9F435}"/>
            </a:ext>
          </a:extLst>
        </xdr:cNvPr>
        <xdr:cNvPicPr>
          <a:picLocks noChangeAspect="1"/>
        </xdr:cNvPicPr>
      </xdr:nvPicPr>
      <xdr:blipFill>
        <a:blip xmlns:r="http://schemas.openxmlformats.org/officeDocument/2006/relationships" r:embed="rId46"/>
        <a:stretch>
          <a:fillRect/>
        </a:stretch>
      </xdr:blipFill>
      <xdr:spPr>
        <a:xfrm>
          <a:off x="4933950" y="60798075"/>
          <a:ext cx="3924300" cy="4203248"/>
        </a:xfrm>
        <a:prstGeom prst="rect">
          <a:avLst/>
        </a:prstGeom>
      </xdr:spPr>
    </xdr:pic>
    <xdr:clientData/>
  </xdr:twoCellAnchor>
  <xdr:twoCellAnchor editAs="oneCell">
    <xdr:from>
      <xdr:col>8</xdr:col>
      <xdr:colOff>485775</xdr:colOff>
      <xdr:row>335</xdr:row>
      <xdr:rowOff>114300</xdr:rowOff>
    </xdr:from>
    <xdr:to>
      <xdr:col>15</xdr:col>
      <xdr:colOff>519688</xdr:colOff>
      <xdr:row>351</xdr:row>
      <xdr:rowOff>182342</xdr:rowOff>
    </xdr:to>
    <xdr:pic>
      <xdr:nvPicPr>
        <xdr:cNvPr id="48" name="Imagem 47">
          <a:extLst>
            <a:ext uri="{FF2B5EF4-FFF2-40B4-BE49-F238E27FC236}">
              <a16:creationId xmlns:a16="http://schemas.microsoft.com/office/drawing/2014/main" id="{77B77DE4-AE90-4CB0-BA38-6C7320AA6AD3}"/>
            </a:ext>
          </a:extLst>
        </xdr:cNvPr>
        <xdr:cNvPicPr>
          <a:picLocks noChangeAspect="1"/>
        </xdr:cNvPicPr>
      </xdr:nvPicPr>
      <xdr:blipFill>
        <a:blip xmlns:r="http://schemas.openxmlformats.org/officeDocument/2006/relationships" r:embed="rId47"/>
        <a:stretch>
          <a:fillRect/>
        </a:stretch>
      </xdr:blipFill>
      <xdr:spPr>
        <a:xfrm>
          <a:off x="4857750" y="65932050"/>
          <a:ext cx="4301113" cy="3116042"/>
        </a:xfrm>
        <a:prstGeom prst="rect">
          <a:avLst/>
        </a:prstGeom>
      </xdr:spPr>
    </xdr:pic>
    <xdr:clientData/>
  </xdr:twoCellAnchor>
  <xdr:twoCellAnchor editAs="oneCell">
    <xdr:from>
      <xdr:col>16</xdr:col>
      <xdr:colOff>19050</xdr:colOff>
      <xdr:row>335</xdr:row>
      <xdr:rowOff>85726</xdr:rowOff>
    </xdr:from>
    <xdr:to>
      <xdr:col>22</xdr:col>
      <xdr:colOff>542925</xdr:colOff>
      <xdr:row>351</xdr:row>
      <xdr:rowOff>172144</xdr:rowOff>
    </xdr:to>
    <xdr:pic>
      <xdr:nvPicPr>
        <xdr:cNvPr id="49" name="Imagem 48">
          <a:extLst>
            <a:ext uri="{FF2B5EF4-FFF2-40B4-BE49-F238E27FC236}">
              <a16:creationId xmlns:a16="http://schemas.microsoft.com/office/drawing/2014/main" id="{D9681198-212D-481B-B8E2-E04A98BD4CF9}"/>
            </a:ext>
          </a:extLst>
        </xdr:cNvPr>
        <xdr:cNvPicPr>
          <a:picLocks noChangeAspect="1"/>
        </xdr:cNvPicPr>
      </xdr:nvPicPr>
      <xdr:blipFill>
        <a:blip xmlns:r="http://schemas.openxmlformats.org/officeDocument/2006/relationships" r:embed="rId48"/>
        <a:stretch>
          <a:fillRect/>
        </a:stretch>
      </xdr:blipFill>
      <xdr:spPr>
        <a:xfrm>
          <a:off x="9267825" y="65903476"/>
          <a:ext cx="4181475" cy="3134418"/>
        </a:xfrm>
        <a:prstGeom prst="rect">
          <a:avLst/>
        </a:prstGeom>
      </xdr:spPr>
    </xdr:pic>
    <xdr:clientData/>
  </xdr:twoCellAnchor>
  <xdr:twoCellAnchor editAs="oneCell">
    <xdr:from>
      <xdr:col>1</xdr:col>
      <xdr:colOff>161925</xdr:colOff>
      <xdr:row>335</xdr:row>
      <xdr:rowOff>104775</xdr:rowOff>
    </xdr:from>
    <xdr:to>
      <xdr:col>8</xdr:col>
      <xdr:colOff>393655</xdr:colOff>
      <xdr:row>346</xdr:row>
      <xdr:rowOff>47625</xdr:rowOff>
    </xdr:to>
    <xdr:pic>
      <xdr:nvPicPr>
        <xdr:cNvPr id="50" name="Imagem 49">
          <a:extLst>
            <a:ext uri="{FF2B5EF4-FFF2-40B4-BE49-F238E27FC236}">
              <a16:creationId xmlns:a16="http://schemas.microsoft.com/office/drawing/2014/main" id="{9E6E0351-9F2A-4E66-AB51-BD1BEB01ED8A}"/>
            </a:ext>
          </a:extLst>
        </xdr:cNvPr>
        <xdr:cNvPicPr>
          <a:picLocks noChangeAspect="1"/>
        </xdr:cNvPicPr>
      </xdr:nvPicPr>
      <xdr:blipFill>
        <a:blip xmlns:r="http://schemas.openxmlformats.org/officeDocument/2006/relationships" r:embed="rId49"/>
        <a:stretch>
          <a:fillRect/>
        </a:stretch>
      </xdr:blipFill>
      <xdr:spPr>
        <a:xfrm>
          <a:off x="266700" y="65922525"/>
          <a:ext cx="4498930" cy="2038350"/>
        </a:xfrm>
        <a:prstGeom prst="rect">
          <a:avLst/>
        </a:prstGeom>
      </xdr:spPr>
    </xdr:pic>
    <xdr:clientData/>
  </xdr:twoCellAnchor>
  <xdr:twoCellAnchor editAs="oneCell">
    <xdr:from>
      <xdr:col>1</xdr:col>
      <xdr:colOff>85725</xdr:colOff>
      <xdr:row>354</xdr:row>
      <xdr:rowOff>114301</xdr:rowOff>
    </xdr:from>
    <xdr:to>
      <xdr:col>9</xdr:col>
      <xdr:colOff>4652</xdr:colOff>
      <xdr:row>366</xdr:row>
      <xdr:rowOff>9525</xdr:rowOff>
    </xdr:to>
    <xdr:pic>
      <xdr:nvPicPr>
        <xdr:cNvPr id="51" name="Imagem 50">
          <a:extLst>
            <a:ext uri="{FF2B5EF4-FFF2-40B4-BE49-F238E27FC236}">
              <a16:creationId xmlns:a16="http://schemas.microsoft.com/office/drawing/2014/main" id="{C2F3D4E8-8316-4935-8F74-C17BAAC9FC58}"/>
            </a:ext>
          </a:extLst>
        </xdr:cNvPr>
        <xdr:cNvPicPr>
          <a:picLocks noChangeAspect="1"/>
        </xdr:cNvPicPr>
      </xdr:nvPicPr>
      <xdr:blipFill>
        <a:blip xmlns:r="http://schemas.openxmlformats.org/officeDocument/2006/relationships" r:embed="rId50"/>
        <a:stretch>
          <a:fillRect/>
        </a:stretch>
      </xdr:blipFill>
      <xdr:spPr>
        <a:xfrm>
          <a:off x="190500" y="69646801"/>
          <a:ext cx="4789377" cy="2181224"/>
        </a:xfrm>
        <a:prstGeom prst="rect">
          <a:avLst/>
        </a:prstGeom>
      </xdr:spPr>
    </xdr:pic>
    <xdr:clientData/>
  </xdr:twoCellAnchor>
  <xdr:twoCellAnchor editAs="oneCell">
    <xdr:from>
      <xdr:col>16</xdr:col>
      <xdr:colOff>333375</xdr:colOff>
      <xdr:row>354</xdr:row>
      <xdr:rowOff>111178</xdr:rowOff>
    </xdr:from>
    <xdr:to>
      <xdr:col>23</xdr:col>
      <xdr:colOff>381000</xdr:colOff>
      <xdr:row>367</xdr:row>
      <xdr:rowOff>144108</xdr:rowOff>
    </xdr:to>
    <xdr:pic>
      <xdr:nvPicPr>
        <xdr:cNvPr id="52" name="Imagem 51">
          <a:extLst>
            <a:ext uri="{FF2B5EF4-FFF2-40B4-BE49-F238E27FC236}">
              <a16:creationId xmlns:a16="http://schemas.microsoft.com/office/drawing/2014/main" id="{949E2E89-2CEB-42B4-A5EF-FD9A98BEFFC9}"/>
            </a:ext>
          </a:extLst>
        </xdr:cNvPr>
        <xdr:cNvPicPr>
          <a:picLocks noChangeAspect="1"/>
        </xdr:cNvPicPr>
      </xdr:nvPicPr>
      <xdr:blipFill>
        <a:blip xmlns:r="http://schemas.openxmlformats.org/officeDocument/2006/relationships" r:embed="rId51"/>
        <a:stretch>
          <a:fillRect/>
        </a:stretch>
      </xdr:blipFill>
      <xdr:spPr>
        <a:xfrm>
          <a:off x="9582150" y="69643678"/>
          <a:ext cx="4314825" cy="2509430"/>
        </a:xfrm>
        <a:prstGeom prst="rect">
          <a:avLst/>
        </a:prstGeom>
      </xdr:spPr>
    </xdr:pic>
    <xdr:clientData/>
  </xdr:twoCellAnchor>
  <xdr:twoCellAnchor editAs="oneCell">
    <xdr:from>
      <xdr:col>9</xdr:col>
      <xdr:colOff>285751</xdr:colOff>
      <xdr:row>354</xdr:row>
      <xdr:rowOff>123825</xdr:rowOff>
    </xdr:from>
    <xdr:to>
      <xdr:col>16</xdr:col>
      <xdr:colOff>19051</xdr:colOff>
      <xdr:row>371</xdr:row>
      <xdr:rowOff>153156</xdr:rowOff>
    </xdr:to>
    <xdr:pic>
      <xdr:nvPicPr>
        <xdr:cNvPr id="53" name="Imagem 52">
          <a:extLst>
            <a:ext uri="{FF2B5EF4-FFF2-40B4-BE49-F238E27FC236}">
              <a16:creationId xmlns:a16="http://schemas.microsoft.com/office/drawing/2014/main" id="{563AEEF1-A290-4115-8CFF-D5955DB5D2E4}"/>
            </a:ext>
          </a:extLst>
        </xdr:cNvPr>
        <xdr:cNvPicPr>
          <a:picLocks noChangeAspect="1"/>
        </xdr:cNvPicPr>
      </xdr:nvPicPr>
      <xdr:blipFill>
        <a:blip xmlns:r="http://schemas.openxmlformats.org/officeDocument/2006/relationships" r:embed="rId52"/>
        <a:stretch>
          <a:fillRect/>
        </a:stretch>
      </xdr:blipFill>
      <xdr:spPr>
        <a:xfrm>
          <a:off x="5267326" y="69656325"/>
          <a:ext cx="4000500" cy="3267831"/>
        </a:xfrm>
        <a:prstGeom prst="rect">
          <a:avLst/>
        </a:prstGeom>
      </xdr:spPr>
    </xdr:pic>
    <xdr:clientData/>
  </xdr:twoCellAnchor>
  <xdr:twoCellAnchor editAs="oneCell">
    <xdr:from>
      <xdr:col>1</xdr:col>
      <xdr:colOff>161925</xdr:colOff>
      <xdr:row>373</xdr:row>
      <xdr:rowOff>95251</xdr:rowOff>
    </xdr:from>
    <xdr:to>
      <xdr:col>7</xdr:col>
      <xdr:colOff>428625</xdr:colOff>
      <xdr:row>387</xdr:row>
      <xdr:rowOff>88901</xdr:rowOff>
    </xdr:to>
    <xdr:pic>
      <xdr:nvPicPr>
        <xdr:cNvPr id="54" name="Imagem 53">
          <a:extLst>
            <a:ext uri="{FF2B5EF4-FFF2-40B4-BE49-F238E27FC236}">
              <a16:creationId xmlns:a16="http://schemas.microsoft.com/office/drawing/2014/main" id="{7BD1565B-850F-47D7-B51B-A74953871854}"/>
            </a:ext>
          </a:extLst>
        </xdr:cNvPr>
        <xdr:cNvPicPr>
          <a:picLocks noChangeAspect="1"/>
        </xdr:cNvPicPr>
      </xdr:nvPicPr>
      <xdr:blipFill>
        <a:blip xmlns:r="http://schemas.openxmlformats.org/officeDocument/2006/relationships" r:embed="rId53"/>
        <a:stretch>
          <a:fillRect/>
        </a:stretch>
      </xdr:blipFill>
      <xdr:spPr>
        <a:xfrm>
          <a:off x="266700" y="73342501"/>
          <a:ext cx="3924300" cy="2660650"/>
        </a:xfrm>
        <a:prstGeom prst="rect">
          <a:avLst/>
        </a:prstGeom>
      </xdr:spPr>
    </xdr:pic>
    <xdr:clientData/>
  </xdr:twoCellAnchor>
  <xdr:twoCellAnchor editAs="oneCell">
    <xdr:from>
      <xdr:col>16</xdr:col>
      <xdr:colOff>105034</xdr:colOff>
      <xdr:row>373</xdr:row>
      <xdr:rowOff>45941</xdr:rowOff>
    </xdr:from>
    <xdr:to>
      <xdr:col>22</xdr:col>
      <xdr:colOff>523875</xdr:colOff>
      <xdr:row>387</xdr:row>
      <xdr:rowOff>78921</xdr:rowOff>
    </xdr:to>
    <xdr:pic>
      <xdr:nvPicPr>
        <xdr:cNvPr id="55" name="Imagem 54">
          <a:extLst>
            <a:ext uri="{FF2B5EF4-FFF2-40B4-BE49-F238E27FC236}">
              <a16:creationId xmlns:a16="http://schemas.microsoft.com/office/drawing/2014/main" id="{C67EEEED-01E9-4CBA-8930-505A4E3AA957}"/>
            </a:ext>
          </a:extLst>
        </xdr:cNvPr>
        <xdr:cNvPicPr>
          <a:picLocks noChangeAspect="1"/>
        </xdr:cNvPicPr>
      </xdr:nvPicPr>
      <xdr:blipFill>
        <a:blip xmlns:r="http://schemas.openxmlformats.org/officeDocument/2006/relationships" r:embed="rId54"/>
        <a:stretch>
          <a:fillRect/>
        </a:stretch>
      </xdr:blipFill>
      <xdr:spPr>
        <a:xfrm>
          <a:off x="9353809" y="73293191"/>
          <a:ext cx="4076441" cy="2699980"/>
        </a:xfrm>
        <a:prstGeom prst="rect">
          <a:avLst/>
        </a:prstGeom>
      </xdr:spPr>
    </xdr:pic>
    <xdr:clientData/>
  </xdr:twoCellAnchor>
  <xdr:twoCellAnchor editAs="oneCell">
    <xdr:from>
      <xdr:col>7</xdr:col>
      <xdr:colOff>495300</xdr:colOff>
      <xdr:row>374</xdr:row>
      <xdr:rowOff>171449</xdr:rowOff>
    </xdr:from>
    <xdr:to>
      <xdr:col>15</xdr:col>
      <xdr:colOff>331590</xdr:colOff>
      <xdr:row>385</xdr:row>
      <xdr:rowOff>9524</xdr:rowOff>
    </xdr:to>
    <xdr:pic>
      <xdr:nvPicPr>
        <xdr:cNvPr id="56" name="Imagem 55">
          <a:extLst>
            <a:ext uri="{FF2B5EF4-FFF2-40B4-BE49-F238E27FC236}">
              <a16:creationId xmlns:a16="http://schemas.microsoft.com/office/drawing/2014/main" id="{400C8AE1-2380-4A8D-BBB8-5716067A4010}"/>
            </a:ext>
          </a:extLst>
        </xdr:cNvPr>
        <xdr:cNvPicPr>
          <a:picLocks noChangeAspect="1"/>
        </xdr:cNvPicPr>
      </xdr:nvPicPr>
      <xdr:blipFill>
        <a:blip xmlns:r="http://schemas.openxmlformats.org/officeDocument/2006/relationships" r:embed="rId55"/>
        <a:stretch>
          <a:fillRect/>
        </a:stretch>
      </xdr:blipFill>
      <xdr:spPr>
        <a:xfrm>
          <a:off x="4257675" y="73609199"/>
          <a:ext cx="4713090" cy="1933575"/>
        </a:xfrm>
        <a:prstGeom prst="rect">
          <a:avLst/>
        </a:prstGeom>
      </xdr:spPr>
    </xdr:pic>
    <xdr:clientData/>
  </xdr:twoCellAnchor>
  <xdr:twoCellAnchor editAs="oneCell">
    <xdr:from>
      <xdr:col>1</xdr:col>
      <xdr:colOff>47625</xdr:colOff>
      <xdr:row>390</xdr:row>
      <xdr:rowOff>142875</xdr:rowOff>
    </xdr:from>
    <xdr:to>
      <xdr:col>7</xdr:col>
      <xdr:colOff>590550</xdr:colOff>
      <xdr:row>403</xdr:row>
      <xdr:rowOff>177190</xdr:rowOff>
    </xdr:to>
    <xdr:pic>
      <xdr:nvPicPr>
        <xdr:cNvPr id="57" name="Imagem 56">
          <a:extLst>
            <a:ext uri="{FF2B5EF4-FFF2-40B4-BE49-F238E27FC236}">
              <a16:creationId xmlns:a16="http://schemas.microsoft.com/office/drawing/2014/main" id="{0D3D4AF2-E9B6-4836-925C-674C18CD0C8B}"/>
            </a:ext>
          </a:extLst>
        </xdr:cNvPr>
        <xdr:cNvPicPr>
          <a:picLocks noChangeAspect="1"/>
        </xdr:cNvPicPr>
      </xdr:nvPicPr>
      <xdr:blipFill>
        <a:blip xmlns:r="http://schemas.openxmlformats.org/officeDocument/2006/relationships" r:embed="rId56"/>
        <a:stretch>
          <a:fillRect/>
        </a:stretch>
      </xdr:blipFill>
      <xdr:spPr>
        <a:xfrm>
          <a:off x="152400" y="76723875"/>
          <a:ext cx="4200525" cy="2510815"/>
        </a:xfrm>
        <a:prstGeom prst="rect">
          <a:avLst/>
        </a:prstGeom>
      </xdr:spPr>
    </xdr:pic>
    <xdr:clientData/>
  </xdr:twoCellAnchor>
  <xdr:twoCellAnchor editAs="oneCell">
    <xdr:from>
      <xdr:col>15</xdr:col>
      <xdr:colOff>590549</xdr:colOff>
      <xdr:row>390</xdr:row>
      <xdr:rowOff>85725</xdr:rowOff>
    </xdr:from>
    <xdr:to>
      <xdr:col>22</xdr:col>
      <xdr:colOff>561974</xdr:colOff>
      <xdr:row>408</xdr:row>
      <xdr:rowOff>129663</xdr:rowOff>
    </xdr:to>
    <xdr:pic>
      <xdr:nvPicPr>
        <xdr:cNvPr id="58" name="Imagem 57">
          <a:extLst>
            <a:ext uri="{FF2B5EF4-FFF2-40B4-BE49-F238E27FC236}">
              <a16:creationId xmlns:a16="http://schemas.microsoft.com/office/drawing/2014/main" id="{9BE6ADF8-2B23-4669-A6D7-D37A2FCF7DEA}"/>
            </a:ext>
          </a:extLst>
        </xdr:cNvPr>
        <xdr:cNvPicPr>
          <a:picLocks noChangeAspect="1"/>
        </xdr:cNvPicPr>
      </xdr:nvPicPr>
      <xdr:blipFill>
        <a:blip xmlns:r="http://schemas.openxmlformats.org/officeDocument/2006/relationships" r:embed="rId57"/>
        <a:stretch>
          <a:fillRect/>
        </a:stretch>
      </xdr:blipFill>
      <xdr:spPr>
        <a:xfrm>
          <a:off x="9229724" y="76666725"/>
          <a:ext cx="4238625" cy="3472938"/>
        </a:xfrm>
        <a:prstGeom prst="rect">
          <a:avLst/>
        </a:prstGeom>
      </xdr:spPr>
    </xdr:pic>
    <xdr:clientData/>
  </xdr:twoCellAnchor>
  <xdr:twoCellAnchor editAs="oneCell">
    <xdr:from>
      <xdr:col>8</xdr:col>
      <xdr:colOff>190500</xdr:colOff>
      <xdr:row>390</xdr:row>
      <xdr:rowOff>123825</xdr:rowOff>
    </xdr:from>
    <xdr:to>
      <xdr:col>15</xdr:col>
      <xdr:colOff>341924</xdr:colOff>
      <xdr:row>407</xdr:row>
      <xdr:rowOff>19050</xdr:rowOff>
    </xdr:to>
    <xdr:pic>
      <xdr:nvPicPr>
        <xdr:cNvPr id="59" name="Imagem 58">
          <a:extLst>
            <a:ext uri="{FF2B5EF4-FFF2-40B4-BE49-F238E27FC236}">
              <a16:creationId xmlns:a16="http://schemas.microsoft.com/office/drawing/2014/main" id="{62E61A69-88CE-4BF3-8F1D-CA5700C858F9}"/>
            </a:ext>
          </a:extLst>
        </xdr:cNvPr>
        <xdr:cNvPicPr>
          <a:picLocks noChangeAspect="1"/>
        </xdr:cNvPicPr>
      </xdr:nvPicPr>
      <xdr:blipFill>
        <a:blip xmlns:r="http://schemas.openxmlformats.org/officeDocument/2006/relationships" r:embed="rId58"/>
        <a:stretch>
          <a:fillRect/>
        </a:stretch>
      </xdr:blipFill>
      <xdr:spPr>
        <a:xfrm>
          <a:off x="4562475" y="76704825"/>
          <a:ext cx="4418624" cy="31337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8</xdr:col>
      <xdr:colOff>133350</xdr:colOff>
      <xdr:row>0</xdr:row>
      <xdr:rowOff>66675</xdr:rowOff>
    </xdr:from>
    <xdr:to>
      <xdr:col>9</xdr:col>
      <xdr:colOff>702310</xdr:colOff>
      <xdr:row>3</xdr:row>
      <xdr:rowOff>174625</xdr:rowOff>
    </xdr:to>
    <xdr:pic>
      <xdr:nvPicPr>
        <xdr:cNvPr id="2" name="ANTT">
          <a:extLst>
            <a:ext uri="{FF2B5EF4-FFF2-40B4-BE49-F238E27FC236}">
              <a16:creationId xmlns:a16="http://schemas.microsoft.com/office/drawing/2014/main" id="{12F61921-26EA-48BF-8C49-83A304DDBE7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296"/>
        <a:stretch/>
      </xdr:blipFill>
      <xdr:spPr>
        <a:xfrm>
          <a:off x="8582025" y="66675"/>
          <a:ext cx="1416685" cy="708025"/>
        </a:xfrm>
        <a:prstGeom prst="rect">
          <a:avLst/>
        </a:prstGeom>
      </xdr:spPr>
    </xdr:pic>
    <xdr:clientData/>
  </xdr:twoCellAnchor>
  <xdr:twoCellAnchor>
    <xdr:from>
      <xdr:col>8</xdr:col>
      <xdr:colOff>133350</xdr:colOff>
      <xdr:row>44</xdr:row>
      <xdr:rowOff>66675</xdr:rowOff>
    </xdr:from>
    <xdr:to>
      <xdr:col>9</xdr:col>
      <xdr:colOff>702310</xdr:colOff>
      <xdr:row>47</xdr:row>
      <xdr:rowOff>174625</xdr:rowOff>
    </xdr:to>
    <xdr:pic>
      <xdr:nvPicPr>
        <xdr:cNvPr id="3" name="ANTT">
          <a:extLst>
            <a:ext uri="{FF2B5EF4-FFF2-40B4-BE49-F238E27FC236}">
              <a16:creationId xmlns:a16="http://schemas.microsoft.com/office/drawing/2014/main" id="{A5C00D08-6D79-4104-98A6-9E9BC396CF3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296"/>
        <a:stretch/>
      </xdr:blipFill>
      <xdr:spPr>
        <a:xfrm>
          <a:off x="8582025" y="8639175"/>
          <a:ext cx="1416685" cy="698500"/>
        </a:xfrm>
        <a:prstGeom prst="rect">
          <a:avLst/>
        </a:prstGeom>
      </xdr:spPr>
    </xdr:pic>
    <xdr:clientData/>
  </xdr:twoCellAnchor>
  <xdr:twoCellAnchor>
    <xdr:from>
      <xdr:col>8</xdr:col>
      <xdr:colOff>133350</xdr:colOff>
      <xdr:row>86</xdr:row>
      <xdr:rowOff>66675</xdr:rowOff>
    </xdr:from>
    <xdr:to>
      <xdr:col>9</xdr:col>
      <xdr:colOff>702310</xdr:colOff>
      <xdr:row>89</xdr:row>
      <xdr:rowOff>174625</xdr:rowOff>
    </xdr:to>
    <xdr:pic>
      <xdr:nvPicPr>
        <xdr:cNvPr id="4" name="ANTT">
          <a:extLst>
            <a:ext uri="{FF2B5EF4-FFF2-40B4-BE49-F238E27FC236}">
              <a16:creationId xmlns:a16="http://schemas.microsoft.com/office/drawing/2014/main" id="{2A202A89-AE68-4739-B704-7F7F2A9C80A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296"/>
        <a:stretch/>
      </xdr:blipFill>
      <xdr:spPr>
        <a:xfrm>
          <a:off x="8582025" y="16687800"/>
          <a:ext cx="1416685" cy="698500"/>
        </a:xfrm>
        <a:prstGeom prst="rect">
          <a:avLst/>
        </a:prstGeom>
      </xdr:spPr>
    </xdr:pic>
    <xdr:clientData/>
  </xdr:twoCellAnchor>
  <xdr:twoCellAnchor>
    <xdr:from>
      <xdr:col>8</xdr:col>
      <xdr:colOff>133350</xdr:colOff>
      <xdr:row>129</xdr:row>
      <xdr:rowOff>66675</xdr:rowOff>
    </xdr:from>
    <xdr:to>
      <xdr:col>9</xdr:col>
      <xdr:colOff>702310</xdr:colOff>
      <xdr:row>132</xdr:row>
      <xdr:rowOff>174625</xdr:rowOff>
    </xdr:to>
    <xdr:pic>
      <xdr:nvPicPr>
        <xdr:cNvPr id="5" name="ANTT">
          <a:extLst>
            <a:ext uri="{FF2B5EF4-FFF2-40B4-BE49-F238E27FC236}">
              <a16:creationId xmlns:a16="http://schemas.microsoft.com/office/drawing/2014/main" id="{7673E9DC-B35C-4D14-B73E-CD26A4FFE6D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296"/>
        <a:stretch/>
      </xdr:blipFill>
      <xdr:spPr>
        <a:xfrm>
          <a:off x="8582025" y="24926925"/>
          <a:ext cx="1416685" cy="698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7</xdr:row>
      <xdr:rowOff>19050</xdr:rowOff>
    </xdr:from>
    <xdr:to>
      <xdr:col>9</xdr:col>
      <xdr:colOff>973169</xdr:colOff>
      <xdr:row>38</xdr:row>
      <xdr:rowOff>29648</xdr:rowOff>
    </xdr:to>
    <xdr:pic>
      <xdr:nvPicPr>
        <xdr:cNvPr id="2" name="Imagem 1">
          <a:extLst>
            <a:ext uri="{FF2B5EF4-FFF2-40B4-BE49-F238E27FC236}">
              <a16:creationId xmlns:a16="http://schemas.microsoft.com/office/drawing/2014/main" id="{B5CAE6B0-523A-4083-81F4-4926FF7BC159}"/>
            </a:ext>
          </a:extLst>
        </xdr:cNvPr>
        <xdr:cNvPicPr>
          <a:picLocks noChangeAspect="1"/>
        </xdr:cNvPicPr>
      </xdr:nvPicPr>
      <xdr:blipFill>
        <a:blip xmlns:r="http://schemas.openxmlformats.org/officeDocument/2006/relationships" r:embed="rId1"/>
        <a:stretch>
          <a:fillRect/>
        </a:stretch>
      </xdr:blipFill>
      <xdr:spPr>
        <a:xfrm>
          <a:off x="0" y="2447925"/>
          <a:ext cx="10879169" cy="591609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9</xdr:col>
      <xdr:colOff>439627</xdr:colOff>
      <xdr:row>44</xdr:row>
      <xdr:rowOff>20064</xdr:rowOff>
    </xdr:to>
    <xdr:pic>
      <xdr:nvPicPr>
        <xdr:cNvPr id="2" name="Imagem 1">
          <a:extLst>
            <a:ext uri="{FF2B5EF4-FFF2-40B4-BE49-F238E27FC236}">
              <a16:creationId xmlns:a16="http://schemas.microsoft.com/office/drawing/2014/main" id="{CF0DE8A4-553F-4EEE-817F-E7D1649D4DCC}"/>
            </a:ext>
          </a:extLst>
        </xdr:cNvPr>
        <xdr:cNvPicPr>
          <a:picLocks noChangeAspect="1"/>
        </xdr:cNvPicPr>
      </xdr:nvPicPr>
      <xdr:blipFill>
        <a:blip xmlns:r="http://schemas.openxmlformats.org/officeDocument/2006/relationships" r:embed="rId1"/>
        <a:stretch>
          <a:fillRect/>
        </a:stretch>
      </xdr:blipFill>
      <xdr:spPr>
        <a:xfrm>
          <a:off x="0" y="1571625"/>
          <a:ext cx="10583752" cy="72685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883E3772-5C73-492E-B399-B754FA24767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57895D7C-C4BA-471D-A554-EF2EAA9FEEB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6CFFB943-4787-4137-9157-D4707303DD8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A1BDD52D-0E45-4992-99B4-23B74D3A21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68864D31-5167-42C9-B36F-FA77F806FF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26DA347B-3C19-4E5A-969E-86FF68033F8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0EC5168B-153C-45B0-880B-529AE7DE3CD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95F6B37D-E781-4977-A0D5-0EB4C09F2DD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aaPrc/0000000/05-Out/AaaCns/FeG-Balance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aaPrc/0000000/05-Out/AaaCns/Ffb-Balance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Jura/DIR/AA%20TRefer&#234;ncia/Ano%202011/01-Jan-11/01%20-%20Assessoria%20Super.%20do%20Cear&#225;/01%20-%20Or&#231;amento%20Assessoria%20SR-%20Cear&#225;%20-%20Mar-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aaPrc/20120701%20a%2020120731/2012-07-05-120000-Sis/10.Sax/10.10.Bsc.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aaPrc/0000000/05-Out/AaaCns/Raz&#227;oAnal&#237;tico.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d.docs.live.net/31f2bc56bf9b5b9a/95%20Infra%20SA/Demanda/04%20FCA%20fil&#233;/Or&#231;amento/Or&#231;amento%20Referencial%20-%20FCA%20(Corinto-C.Formoso).xlsx" TargetMode="External"/><Relationship Id="rId1" Type="http://schemas.openxmlformats.org/officeDocument/2006/relationships/externalLinkPath" Target="/31f2bc56bf9b5b9a/95%20Infra%20SA/Demanda/04%20FCA%20fil&#233;/Or&#231;amento/Or&#231;amento%20Referencial%20-%20FCA%20(Corinto-C.Formoso).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d.docs.live.net/31f2bc56bf9b5b9a/95%20Infra%20SA/Demanda/04%20FCA/Or&#231;amento/Or&#231;amento%20Referencial/Or&#231;amento%20Referencial%20-%20FCA%20(Corinto-C.Formoso).xlsx" TargetMode="External"/><Relationship Id="rId1" Type="http://schemas.openxmlformats.org/officeDocument/2006/relationships/externalLinkPath" Target="Or&#231;amento%20Referencial%20-%20FCA%20(Corinto-C.Formo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cSntFeG"/>
      <sheetName val="200"/>
    </sheetNames>
    <sheetDataSet>
      <sheetData sheetId="0"/>
      <sheetData sheetId="1">
        <row r="1">
          <cell r="B1" t="str">
            <v>Chk</v>
          </cell>
        </row>
        <row r="2">
          <cell r="B2" t="str">
            <v>OK!!!</v>
          </cell>
        </row>
        <row r="3">
          <cell r="B3">
            <v>0</v>
          </cell>
        </row>
        <row r="4">
          <cell r="B4" t="str">
            <v>200 - BalFeG</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cSntFfb"/>
      <sheetName val="120"/>
      <sheetName val="Plan1"/>
      <sheetName val="Plan1 (2)"/>
      <sheetName val="010"/>
      <sheetName val="012"/>
      <sheetName val="015"/>
      <sheetName val="018"/>
      <sheetName val="019"/>
      <sheetName val="020"/>
      <sheetName val="30"/>
      <sheetName val="040"/>
      <sheetName val="050"/>
      <sheetName val="410"/>
      <sheetName val="420"/>
      <sheetName val="430"/>
      <sheetName val="440"/>
      <sheetName val="450"/>
      <sheetName val="460"/>
      <sheetName val="470"/>
      <sheetName val="602"/>
      <sheetName val="605"/>
      <sheetName val="610"/>
    </sheetNames>
    <sheetDataSet>
      <sheetData sheetId="0">
        <row r="21">
          <cell r="H21" t="str">
            <v>1.</v>
          </cell>
        </row>
      </sheetData>
      <sheetData sheetId="1">
        <row r="1">
          <cell r="B1" t="str">
            <v>Chk</v>
          </cell>
        </row>
        <row r="2">
          <cell r="B2" t="str">
            <v>ERR!!!</v>
          </cell>
        </row>
        <row r="3">
          <cell r="B3">
            <v>1</v>
          </cell>
        </row>
        <row r="4">
          <cell r="B4" t="str">
            <v>100 - BalFfb</v>
          </cell>
        </row>
      </sheetData>
      <sheetData sheetId="2"/>
      <sheetData sheetId="3"/>
      <sheetData sheetId="4">
        <row r="1">
          <cell r="B1" t="str">
            <v>Chk</v>
          </cell>
        </row>
        <row r="2">
          <cell r="B2" t="str">
            <v>OK!!!</v>
          </cell>
        </row>
        <row r="3">
          <cell r="B3">
            <v>0</v>
          </cell>
        </row>
      </sheetData>
      <sheetData sheetId="5">
        <row r="1">
          <cell r="B1" t="str">
            <v>Chk</v>
          </cell>
        </row>
        <row r="2">
          <cell r="B2" t="str">
            <v>OK!!!</v>
          </cell>
        </row>
        <row r="3">
          <cell r="B3">
            <v>0</v>
          </cell>
        </row>
        <row r="4">
          <cell r="B4" t="str">
            <v>012 - Cit</v>
          </cell>
        </row>
      </sheetData>
      <sheetData sheetId="6">
        <row r="2">
          <cell r="B2" t="str">
            <v>OK!!!</v>
          </cell>
        </row>
        <row r="3">
          <cell r="B3">
            <v>0</v>
          </cell>
        </row>
      </sheetData>
      <sheetData sheetId="7">
        <row r="1">
          <cell r="B1" t="str">
            <v>Chk</v>
          </cell>
        </row>
        <row r="2">
          <cell r="B2" t="str">
            <v>OK!!!</v>
          </cell>
        </row>
        <row r="3">
          <cell r="B3">
            <v>0</v>
          </cell>
        </row>
        <row r="4">
          <cell r="B4" t="str">
            <v>018 - VnoCnc</v>
          </cell>
        </row>
      </sheetData>
      <sheetData sheetId="8">
        <row r="1">
          <cell r="B1" t="str">
            <v>Chk</v>
          </cell>
        </row>
        <row r="2">
          <cell r="B2" t="str">
            <v>OK!!!</v>
          </cell>
        </row>
        <row r="3">
          <cell r="B3">
            <v>0</v>
          </cell>
        </row>
      </sheetData>
      <sheetData sheetId="9">
        <row r="1">
          <cell r="B1" t="str">
            <v>Chk</v>
          </cell>
        </row>
        <row r="2">
          <cell r="B2" t="str">
            <v>OK!!!</v>
          </cell>
        </row>
        <row r="3">
          <cell r="B3">
            <v>0</v>
          </cell>
        </row>
        <row r="4">
          <cell r="B4" t="str">
            <v>020 - CitCqeCnc</v>
          </cell>
        </row>
      </sheetData>
      <sheetData sheetId="10">
        <row r="1">
          <cell r="B1" t="str">
            <v>Chk</v>
          </cell>
        </row>
        <row r="2">
          <cell r="B2" t="str">
            <v>OK!!!</v>
          </cell>
        </row>
        <row r="3">
          <cell r="B3">
            <v>0</v>
          </cell>
        </row>
      </sheetData>
      <sheetData sheetId="11">
        <row r="1">
          <cell r="B1" t="str">
            <v>Chk</v>
          </cell>
        </row>
        <row r="2">
          <cell r="B2" t="str">
            <v>OK!!!</v>
          </cell>
        </row>
        <row r="3">
          <cell r="B3">
            <v>0</v>
          </cell>
        </row>
        <row r="4">
          <cell r="B4" t="str">
            <v>040-VsaCitCnc</v>
          </cell>
        </row>
      </sheetData>
      <sheetData sheetId="12">
        <row r="1">
          <cell r="B1" t="str">
            <v>Chk</v>
          </cell>
        </row>
        <row r="2">
          <cell r="B2" t="str">
            <v>OK!!!</v>
          </cell>
        </row>
        <row r="3">
          <cell r="B3">
            <v>0</v>
          </cell>
        </row>
        <row r="4">
          <cell r="B4" t="str">
            <v>050-VsaPsgCnc</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d.11-Orçamento"/>
      <sheetName val="Qd.11-Auxiliar"/>
      <sheetName val="Qd.12-Cron. Fís-Fin"/>
      <sheetName val="Qd.13-Sv Gráficos"/>
      <sheetName val="Passagens e Estadias"/>
      <sheetName val="Informatica"/>
      <sheetName val="Tab. Consultoria-Mar-11"/>
      <sheetName val="Qd.11-Vazio"/>
      <sheetName val="Qd.12-VAZIO"/>
      <sheetName val="Qd.13-Vazio"/>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o"/>
      <sheetName val="Rml"/>
      <sheetName val="Afz"/>
      <sheetName val="Cal"/>
      <sheetName val="RlzPln"/>
      <sheetName val="Snh"/>
      <sheetName val="Inc"/>
      <sheetName val="Abt"/>
      <sheetName val="CnvDtaItm"/>
      <sheetName val="Dta"/>
      <sheetName val="DtaTdn"/>
      <sheetName val="DtaChk"/>
      <sheetName val="DtaChkFrd"/>
      <sheetName val="IndEcn"/>
      <sheetName val="Frd"/>
      <sheetName val="FrdTdn"/>
      <sheetName val="FrdChk"/>
      <sheetName val="FrdChk (2)"/>
      <sheetName val="Old"/>
      <sheetName val="PdiExemplo"/>
      <sheetName val="10.10.Bsc"/>
      <sheetName val="Plan8"/>
    </sheetNames>
    <sheetDataSet>
      <sheetData sheetId="0"/>
      <sheetData sheetId="1"/>
      <sheetData sheetId="2"/>
      <sheetData sheetId="3"/>
      <sheetData sheetId="4"/>
      <sheetData sheetId="5"/>
      <sheetData sheetId="6"/>
      <sheetData sheetId="7"/>
      <sheetData sheetId="8"/>
      <sheetData sheetId="9">
        <row r="20">
          <cell r="AA20" t="str">
            <v>Aaa</v>
          </cell>
          <cell r="AB20" t="str">
            <v>Idt</v>
          </cell>
          <cell r="AC20" t="str">
            <v>Ano</v>
          </cell>
          <cell r="AD20" t="str">
            <v>Str</v>
          </cell>
          <cell r="AE20" t="str">
            <v>Qdr</v>
          </cell>
          <cell r="AF20" t="str">
            <v>Tri</v>
          </cell>
          <cell r="AG20" t="str">
            <v>AnoTriTx1</v>
          </cell>
          <cell r="AH20" t="str">
            <v>AnoTriTx2</v>
          </cell>
          <cell r="AI20" t="str">
            <v>Mes</v>
          </cell>
          <cell r="AJ20" t="str">
            <v>MesTx1</v>
          </cell>
        </row>
        <row r="21">
          <cell r="AA21" t="str">
            <v>Aaa</v>
          </cell>
          <cell r="AB21">
            <v>36526</v>
          </cell>
          <cell r="AC21">
            <v>2000</v>
          </cell>
          <cell r="AD21" t="str">
            <v>St1</v>
          </cell>
          <cell r="AE21" t="str">
            <v>Qd1</v>
          </cell>
          <cell r="AF21" t="str">
            <v>Tr1</v>
          </cell>
          <cell r="AG21" t="str">
            <v>Tr1-2000</v>
          </cell>
          <cell r="AH21" t="str">
            <v>2000-Tr1</v>
          </cell>
          <cell r="AI21">
            <v>1</v>
          </cell>
          <cell r="AJ21" t="str">
            <v>01</v>
          </cell>
        </row>
        <row r="22">
          <cell r="AA22" t="str">
            <v>Aaa</v>
          </cell>
          <cell r="AB22">
            <v>36527</v>
          </cell>
          <cell r="AC22">
            <v>2000</v>
          </cell>
          <cell r="AD22" t="str">
            <v>St1</v>
          </cell>
          <cell r="AE22" t="str">
            <v>Qd1</v>
          </cell>
          <cell r="AF22" t="str">
            <v>Tr1</v>
          </cell>
          <cell r="AG22" t="str">
            <v>Tr1-2000</v>
          </cell>
          <cell r="AH22" t="str">
            <v>2000-Tr1</v>
          </cell>
          <cell r="AI22">
            <v>1</v>
          </cell>
          <cell r="AJ22" t="str">
            <v>01</v>
          </cell>
        </row>
        <row r="23">
          <cell r="AA23" t="str">
            <v>Aaa</v>
          </cell>
          <cell r="AB23">
            <v>36528</v>
          </cell>
          <cell r="AC23">
            <v>2000</v>
          </cell>
          <cell r="AD23" t="str">
            <v>St1</v>
          </cell>
          <cell r="AE23" t="str">
            <v>Qd1</v>
          </cell>
          <cell r="AF23" t="str">
            <v>Tr1</v>
          </cell>
          <cell r="AG23" t="str">
            <v>Tr1-2000</v>
          </cell>
          <cell r="AH23" t="str">
            <v>2000-Tr1</v>
          </cell>
          <cell r="AI23">
            <v>1</v>
          </cell>
          <cell r="AJ23" t="str">
            <v>01</v>
          </cell>
        </row>
        <row r="24">
          <cell r="AA24" t="str">
            <v>Aaa</v>
          </cell>
          <cell r="AB24">
            <v>36529</v>
          </cell>
          <cell r="AC24">
            <v>2000</v>
          </cell>
          <cell r="AD24" t="str">
            <v>St1</v>
          </cell>
          <cell r="AE24" t="str">
            <v>Qd1</v>
          </cell>
          <cell r="AF24" t="str">
            <v>Tr1</v>
          </cell>
          <cell r="AG24" t="str">
            <v>Tr1-2000</v>
          </cell>
          <cell r="AH24" t="str">
            <v>2000-Tr1</v>
          </cell>
          <cell r="AI24">
            <v>1</v>
          </cell>
          <cell r="AJ24" t="str">
            <v>01</v>
          </cell>
        </row>
        <row r="25">
          <cell r="AA25" t="str">
            <v>Aaa</v>
          </cell>
          <cell r="AB25">
            <v>36530</v>
          </cell>
          <cell r="AC25">
            <v>2000</v>
          </cell>
          <cell r="AD25" t="str">
            <v>St1</v>
          </cell>
          <cell r="AE25" t="str">
            <v>Qd1</v>
          </cell>
          <cell r="AF25" t="str">
            <v>Tr1</v>
          </cell>
          <cell r="AG25" t="str">
            <v>Tr1-2000</v>
          </cell>
          <cell r="AH25" t="str">
            <v>2000-Tr1</v>
          </cell>
          <cell r="AI25">
            <v>1</v>
          </cell>
          <cell r="AJ25" t="str">
            <v>01</v>
          </cell>
        </row>
        <row r="26">
          <cell r="AA26" t="str">
            <v>Aaa</v>
          </cell>
          <cell r="AB26">
            <v>36531</v>
          </cell>
          <cell r="AC26">
            <v>2000</v>
          </cell>
          <cell r="AD26" t="str">
            <v>St1</v>
          </cell>
          <cell r="AE26" t="str">
            <v>Qd1</v>
          </cell>
          <cell r="AF26" t="str">
            <v>Tr1</v>
          </cell>
          <cell r="AG26" t="str">
            <v>Tr1-2000</v>
          </cell>
          <cell r="AH26" t="str">
            <v>2000-Tr1</v>
          </cell>
          <cell r="AI26">
            <v>1</v>
          </cell>
          <cell r="AJ26" t="str">
            <v>01</v>
          </cell>
        </row>
        <row r="27">
          <cell r="AA27" t="str">
            <v>Aaa</v>
          </cell>
          <cell r="AB27">
            <v>36532</v>
          </cell>
          <cell r="AC27">
            <v>2000</v>
          </cell>
          <cell r="AD27" t="str">
            <v>St1</v>
          </cell>
          <cell r="AE27" t="str">
            <v>Qd1</v>
          </cell>
          <cell r="AF27" t="str">
            <v>Tr1</v>
          </cell>
          <cell r="AG27" t="str">
            <v>Tr1-2000</v>
          </cell>
          <cell r="AH27" t="str">
            <v>2000-Tr1</v>
          </cell>
          <cell r="AI27">
            <v>1</v>
          </cell>
          <cell r="AJ27" t="str">
            <v>01</v>
          </cell>
        </row>
        <row r="28">
          <cell r="AA28" t="str">
            <v>Aaa</v>
          </cell>
          <cell r="AB28">
            <v>36533</v>
          </cell>
          <cell r="AC28">
            <v>2000</v>
          </cell>
          <cell r="AD28" t="str">
            <v>St1</v>
          </cell>
          <cell r="AE28" t="str">
            <v>Qd1</v>
          </cell>
          <cell r="AF28" t="str">
            <v>Tr1</v>
          </cell>
          <cell r="AG28" t="str">
            <v>Tr1-2000</v>
          </cell>
          <cell r="AH28" t="str">
            <v>2000-Tr1</v>
          </cell>
          <cell r="AI28">
            <v>1</v>
          </cell>
          <cell r="AJ28" t="str">
            <v>01</v>
          </cell>
        </row>
        <row r="29">
          <cell r="AA29" t="str">
            <v>Aaa</v>
          </cell>
          <cell r="AB29">
            <v>36534</v>
          </cell>
          <cell r="AC29">
            <v>2000</v>
          </cell>
          <cell r="AD29" t="str">
            <v>St1</v>
          </cell>
          <cell r="AE29" t="str">
            <v>Qd1</v>
          </cell>
          <cell r="AF29" t="str">
            <v>Tr1</v>
          </cell>
          <cell r="AG29" t="str">
            <v>Tr1-2000</v>
          </cell>
          <cell r="AH29" t="str">
            <v>2000-Tr1</v>
          </cell>
          <cell r="AI29">
            <v>1</v>
          </cell>
          <cell r="AJ29" t="str">
            <v>01</v>
          </cell>
        </row>
        <row r="30">
          <cell r="AA30" t="str">
            <v>Aaa</v>
          </cell>
          <cell r="AB30">
            <v>36535</v>
          </cell>
          <cell r="AC30">
            <v>2000</v>
          </cell>
          <cell r="AD30" t="str">
            <v>St1</v>
          </cell>
          <cell r="AE30" t="str">
            <v>Qd1</v>
          </cell>
          <cell r="AF30" t="str">
            <v>Tr1</v>
          </cell>
          <cell r="AG30" t="str">
            <v>Tr1-2000</v>
          </cell>
          <cell r="AH30" t="str">
            <v>2000-Tr1</v>
          </cell>
          <cell r="AI30">
            <v>1</v>
          </cell>
          <cell r="AJ30" t="str">
            <v>01</v>
          </cell>
        </row>
        <row r="31">
          <cell r="AA31" t="str">
            <v>Aaa</v>
          </cell>
          <cell r="AB31">
            <v>36536</v>
          </cell>
          <cell r="AC31">
            <v>2000</v>
          </cell>
          <cell r="AD31" t="str">
            <v>St1</v>
          </cell>
          <cell r="AE31" t="str">
            <v>Qd1</v>
          </cell>
          <cell r="AF31" t="str">
            <v>Tr1</v>
          </cell>
          <cell r="AG31" t="str">
            <v>Tr1-2000</v>
          </cell>
          <cell r="AH31" t="str">
            <v>2000-Tr1</v>
          </cell>
          <cell r="AI31">
            <v>1</v>
          </cell>
          <cell r="AJ31" t="str">
            <v>01</v>
          </cell>
        </row>
        <row r="32">
          <cell r="AA32" t="str">
            <v>Aaa</v>
          </cell>
          <cell r="AB32">
            <v>36537</v>
          </cell>
          <cell r="AC32">
            <v>2000</v>
          </cell>
          <cell r="AD32" t="str">
            <v>St1</v>
          </cell>
          <cell r="AE32" t="str">
            <v>Qd1</v>
          </cell>
          <cell r="AF32" t="str">
            <v>Tr1</v>
          </cell>
          <cell r="AG32" t="str">
            <v>Tr1-2000</v>
          </cell>
          <cell r="AH32" t="str">
            <v>2000-Tr1</v>
          </cell>
          <cell r="AI32">
            <v>1</v>
          </cell>
          <cell r="AJ32" t="str">
            <v>01</v>
          </cell>
        </row>
        <row r="33">
          <cell r="AA33" t="str">
            <v>Aaa</v>
          </cell>
          <cell r="AB33">
            <v>36538</v>
          </cell>
          <cell r="AC33">
            <v>2000</v>
          </cell>
          <cell r="AD33" t="str">
            <v>St1</v>
          </cell>
          <cell r="AE33" t="str">
            <v>Qd1</v>
          </cell>
          <cell r="AF33" t="str">
            <v>Tr1</v>
          </cell>
          <cell r="AG33" t="str">
            <v>Tr1-2000</v>
          </cell>
          <cell r="AH33" t="str">
            <v>2000-Tr1</v>
          </cell>
          <cell r="AI33">
            <v>1</v>
          </cell>
          <cell r="AJ33" t="str">
            <v>01</v>
          </cell>
        </row>
        <row r="34">
          <cell r="AA34" t="str">
            <v>Aaa</v>
          </cell>
          <cell r="AB34">
            <v>36539</v>
          </cell>
          <cell r="AC34">
            <v>2000</v>
          </cell>
          <cell r="AD34" t="str">
            <v>St1</v>
          </cell>
          <cell r="AE34" t="str">
            <v>Qd1</v>
          </cell>
          <cell r="AF34" t="str">
            <v>Tr1</v>
          </cell>
          <cell r="AG34" t="str">
            <v>Tr1-2000</v>
          </cell>
          <cell r="AH34" t="str">
            <v>2000-Tr1</v>
          </cell>
          <cell r="AI34">
            <v>1</v>
          </cell>
          <cell r="AJ34" t="str">
            <v>01</v>
          </cell>
        </row>
        <row r="35">
          <cell r="AA35" t="str">
            <v>Aaa</v>
          </cell>
          <cell r="AB35">
            <v>36540</v>
          </cell>
          <cell r="AC35">
            <v>2000</v>
          </cell>
          <cell r="AD35" t="str">
            <v>St1</v>
          </cell>
          <cell r="AE35" t="str">
            <v>Qd1</v>
          </cell>
          <cell r="AF35" t="str">
            <v>Tr1</v>
          </cell>
          <cell r="AG35" t="str">
            <v>Tr1-2000</v>
          </cell>
          <cell r="AH35" t="str">
            <v>2000-Tr1</v>
          </cell>
          <cell r="AI35">
            <v>1</v>
          </cell>
          <cell r="AJ35" t="str">
            <v>01</v>
          </cell>
        </row>
        <row r="36">
          <cell r="AA36" t="str">
            <v>Aaa</v>
          </cell>
          <cell r="AB36">
            <v>36541</v>
          </cell>
          <cell r="AC36">
            <v>2000</v>
          </cell>
          <cell r="AD36" t="str">
            <v>St1</v>
          </cell>
          <cell r="AE36" t="str">
            <v>Qd1</v>
          </cell>
          <cell r="AF36" t="str">
            <v>Tr1</v>
          </cell>
          <cell r="AG36" t="str">
            <v>Tr1-2000</v>
          </cell>
          <cell r="AH36" t="str">
            <v>2000-Tr1</v>
          </cell>
          <cell r="AI36">
            <v>1</v>
          </cell>
          <cell r="AJ36" t="str">
            <v>01</v>
          </cell>
        </row>
        <row r="37">
          <cell r="AA37" t="str">
            <v>Aaa</v>
          </cell>
          <cell r="AB37">
            <v>36542</v>
          </cell>
          <cell r="AC37">
            <v>2000</v>
          </cell>
          <cell r="AD37" t="str">
            <v>St1</v>
          </cell>
          <cell r="AE37" t="str">
            <v>Qd1</v>
          </cell>
          <cell r="AF37" t="str">
            <v>Tr1</v>
          </cell>
          <cell r="AG37" t="str">
            <v>Tr1-2000</v>
          </cell>
          <cell r="AH37" t="str">
            <v>2000-Tr1</v>
          </cell>
          <cell r="AI37">
            <v>1</v>
          </cell>
          <cell r="AJ37" t="str">
            <v>01</v>
          </cell>
        </row>
        <row r="38">
          <cell r="AA38" t="str">
            <v>Aaa</v>
          </cell>
          <cell r="AB38">
            <v>36543</v>
          </cell>
          <cell r="AC38">
            <v>2000</v>
          </cell>
          <cell r="AD38" t="str">
            <v>St1</v>
          </cell>
          <cell r="AE38" t="str">
            <v>Qd1</v>
          </cell>
          <cell r="AF38" t="str">
            <v>Tr1</v>
          </cell>
          <cell r="AG38" t="str">
            <v>Tr1-2000</v>
          </cell>
          <cell r="AH38" t="str">
            <v>2000-Tr1</v>
          </cell>
          <cell r="AI38">
            <v>1</v>
          </cell>
          <cell r="AJ38" t="str">
            <v>01</v>
          </cell>
        </row>
        <row r="39">
          <cell r="AA39" t="str">
            <v>Aaa</v>
          </cell>
          <cell r="AB39">
            <v>36544</v>
          </cell>
          <cell r="AC39">
            <v>2000</v>
          </cell>
          <cell r="AD39" t="str">
            <v>St1</v>
          </cell>
          <cell r="AE39" t="str">
            <v>Qd1</v>
          </cell>
          <cell r="AF39" t="str">
            <v>Tr1</v>
          </cell>
          <cell r="AG39" t="str">
            <v>Tr1-2000</v>
          </cell>
          <cell r="AH39" t="str">
            <v>2000-Tr1</v>
          </cell>
          <cell r="AI39">
            <v>1</v>
          </cell>
          <cell r="AJ39" t="str">
            <v>01</v>
          </cell>
        </row>
        <row r="40">
          <cell r="AA40" t="str">
            <v>Aaa</v>
          </cell>
          <cell r="AB40">
            <v>36545</v>
          </cell>
          <cell r="AC40">
            <v>2000</v>
          </cell>
          <cell r="AD40" t="str">
            <v>St1</v>
          </cell>
          <cell r="AE40" t="str">
            <v>Qd1</v>
          </cell>
          <cell r="AF40" t="str">
            <v>Tr1</v>
          </cell>
          <cell r="AG40" t="str">
            <v>Tr1-2000</v>
          </cell>
          <cell r="AH40" t="str">
            <v>2000-Tr1</v>
          </cell>
          <cell r="AI40">
            <v>1</v>
          </cell>
          <cell r="AJ40" t="str">
            <v>01</v>
          </cell>
        </row>
        <row r="41">
          <cell r="AA41" t="str">
            <v>Aaa</v>
          </cell>
          <cell r="AB41">
            <v>36546</v>
          </cell>
          <cell r="AC41">
            <v>2000</v>
          </cell>
          <cell r="AD41" t="str">
            <v>St1</v>
          </cell>
          <cell r="AE41" t="str">
            <v>Qd1</v>
          </cell>
          <cell r="AF41" t="str">
            <v>Tr1</v>
          </cell>
          <cell r="AG41" t="str">
            <v>Tr1-2000</v>
          </cell>
          <cell r="AH41" t="str">
            <v>2000-Tr1</v>
          </cell>
          <cell r="AI41">
            <v>1</v>
          </cell>
          <cell r="AJ41" t="str">
            <v>01</v>
          </cell>
        </row>
        <row r="42">
          <cell r="AA42" t="str">
            <v>Aaa</v>
          </cell>
          <cell r="AB42">
            <v>36547</v>
          </cell>
          <cell r="AC42">
            <v>2000</v>
          </cell>
          <cell r="AD42" t="str">
            <v>St1</v>
          </cell>
          <cell r="AE42" t="str">
            <v>Qd1</v>
          </cell>
          <cell r="AF42" t="str">
            <v>Tr1</v>
          </cell>
          <cell r="AG42" t="str">
            <v>Tr1-2000</v>
          </cell>
          <cell r="AH42" t="str">
            <v>2000-Tr1</v>
          </cell>
          <cell r="AI42">
            <v>1</v>
          </cell>
          <cell r="AJ42" t="str">
            <v>01</v>
          </cell>
        </row>
        <row r="43">
          <cell r="AA43" t="str">
            <v>Aaa</v>
          </cell>
          <cell r="AB43">
            <v>36548</v>
          </cell>
          <cell r="AC43">
            <v>2000</v>
          </cell>
          <cell r="AD43" t="str">
            <v>St1</v>
          </cell>
          <cell r="AE43" t="str">
            <v>Qd1</v>
          </cell>
          <cell r="AF43" t="str">
            <v>Tr1</v>
          </cell>
          <cell r="AG43" t="str">
            <v>Tr1-2000</v>
          </cell>
          <cell r="AH43" t="str">
            <v>2000-Tr1</v>
          </cell>
          <cell r="AI43">
            <v>1</v>
          </cell>
          <cell r="AJ43" t="str">
            <v>01</v>
          </cell>
        </row>
        <row r="44">
          <cell r="AA44" t="str">
            <v>Aaa</v>
          </cell>
          <cell r="AB44">
            <v>36549</v>
          </cell>
          <cell r="AC44">
            <v>2000</v>
          </cell>
          <cell r="AD44" t="str">
            <v>St1</v>
          </cell>
          <cell r="AE44" t="str">
            <v>Qd1</v>
          </cell>
          <cell r="AF44" t="str">
            <v>Tr1</v>
          </cell>
          <cell r="AG44" t="str">
            <v>Tr1-2000</v>
          </cell>
          <cell r="AH44" t="str">
            <v>2000-Tr1</v>
          </cell>
          <cell r="AI44">
            <v>1</v>
          </cell>
          <cell r="AJ44" t="str">
            <v>01</v>
          </cell>
        </row>
        <row r="45">
          <cell r="AA45" t="str">
            <v>Aaa</v>
          </cell>
          <cell r="AB45">
            <v>36550</v>
          </cell>
          <cell r="AC45">
            <v>2000</v>
          </cell>
          <cell r="AD45" t="str">
            <v>St1</v>
          </cell>
          <cell r="AE45" t="str">
            <v>Qd1</v>
          </cell>
          <cell r="AF45" t="str">
            <v>Tr1</v>
          </cell>
          <cell r="AG45" t="str">
            <v>Tr1-2000</v>
          </cell>
          <cell r="AH45" t="str">
            <v>2000-Tr1</v>
          </cell>
          <cell r="AI45">
            <v>1</v>
          </cell>
          <cell r="AJ45" t="str">
            <v>01</v>
          </cell>
        </row>
        <row r="46">
          <cell r="AA46" t="str">
            <v>Aaa</v>
          </cell>
          <cell r="AB46">
            <v>36551</v>
          </cell>
          <cell r="AC46">
            <v>2000</v>
          </cell>
          <cell r="AD46" t="str">
            <v>St1</v>
          </cell>
          <cell r="AE46" t="str">
            <v>Qd1</v>
          </cell>
          <cell r="AF46" t="str">
            <v>Tr1</v>
          </cell>
          <cell r="AG46" t="str">
            <v>Tr1-2000</v>
          </cell>
          <cell r="AH46" t="str">
            <v>2000-Tr1</v>
          </cell>
          <cell r="AI46">
            <v>1</v>
          </cell>
          <cell r="AJ46" t="str">
            <v>01</v>
          </cell>
        </row>
        <row r="47">
          <cell r="AA47" t="str">
            <v>Aaa</v>
          </cell>
          <cell r="AB47">
            <v>36552</v>
          </cell>
          <cell r="AC47">
            <v>2000</v>
          </cell>
          <cell r="AD47" t="str">
            <v>St1</v>
          </cell>
          <cell r="AE47" t="str">
            <v>Qd1</v>
          </cell>
          <cell r="AF47" t="str">
            <v>Tr1</v>
          </cell>
          <cell r="AG47" t="str">
            <v>Tr1-2000</v>
          </cell>
          <cell r="AH47" t="str">
            <v>2000-Tr1</v>
          </cell>
          <cell r="AI47">
            <v>1</v>
          </cell>
          <cell r="AJ47" t="str">
            <v>01</v>
          </cell>
        </row>
        <row r="48">
          <cell r="AA48" t="str">
            <v>Aaa</v>
          </cell>
          <cell r="AB48">
            <v>36553</v>
          </cell>
          <cell r="AC48">
            <v>2000</v>
          </cell>
          <cell r="AD48" t="str">
            <v>St1</v>
          </cell>
          <cell r="AE48" t="str">
            <v>Qd1</v>
          </cell>
          <cell r="AF48" t="str">
            <v>Tr1</v>
          </cell>
          <cell r="AG48" t="str">
            <v>Tr1-2000</v>
          </cell>
          <cell r="AH48" t="str">
            <v>2000-Tr1</v>
          </cell>
          <cell r="AI48">
            <v>1</v>
          </cell>
          <cell r="AJ48" t="str">
            <v>01</v>
          </cell>
        </row>
        <row r="49">
          <cell r="AA49" t="str">
            <v>Aaa</v>
          </cell>
          <cell r="AB49">
            <v>36554</v>
          </cell>
          <cell r="AC49">
            <v>2000</v>
          </cell>
          <cell r="AD49" t="str">
            <v>St1</v>
          </cell>
          <cell r="AE49" t="str">
            <v>Qd1</v>
          </cell>
          <cell r="AF49" t="str">
            <v>Tr1</v>
          </cell>
          <cell r="AG49" t="str">
            <v>Tr1-2000</v>
          </cell>
          <cell r="AH49" t="str">
            <v>2000-Tr1</v>
          </cell>
          <cell r="AI49">
            <v>1</v>
          </cell>
          <cell r="AJ49" t="str">
            <v>01</v>
          </cell>
        </row>
        <row r="50">
          <cell r="AA50" t="str">
            <v>Aaa</v>
          </cell>
          <cell r="AB50">
            <v>36555</v>
          </cell>
          <cell r="AC50">
            <v>2000</v>
          </cell>
          <cell r="AD50" t="str">
            <v>St1</v>
          </cell>
          <cell r="AE50" t="str">
            <v>Qd1</v>
          </cell>
          <cell r="AF50" t="str">
            <v>Tr1</v>
          </cell>
          <cell r="AG50" t="str">
            <v>Tr1-2000</v>
          </cell>
          <cell r="AH50" t="str">
            <v>2000-Tr1</v>
          </cell>
          <cell r="AI50">
            <v>1</v>
          </cell>
          <cell r="AJ50" t="str">
            <v>01</v>
          </cell>
        </row>
        <row r="51">
          <cell r="AA51" t="str">
            <v>Aaa</v>
          </cell>
          <cell r="AB51">
            <v>36556</v>
          </cell>
          <cell r="AC51">
            <v>2000</v>
          </cell>
          <cell r="AD51" t="str">
            <v>St1</v>
          </cell>
          <cell r="AE51" t="str">
            <v>Qd1</v>
          </cell>
          <cell r="AF51" t="str">
            <v>Tr1</v>
          </cell>
          <cell r="AG51" t="str">
            <v>Tr1-2000</v>
          </cell>
          <cell r="AH51" t="str">
            <v>2000-Tr1</v>
          </cell>
          <cell r="AI51">
            <v>1</v>
          </cell>
          <cell r="AJ51" t="str">
            <v>01</v>
          </cell>
        </row>
        <row r="52">
          <cell r="AA52" t="str">
            <v>Aaa</v>
          </cell>
          <cell r="AB52">
            <v>36557</v>
          </cell>
          <cell r="AC52">
            <v>2000</v>
          </cell>
          <cell r="AD52" t="str">
            <v>St1</v>
          </cell>
          <cell r="AE52" t="str">
            <v>Qd1</v>
          </cell>
          <cell r="AF52" t="str">
            <v>Tr1</v>
          </cell>
          <cell r="AG52" t="str">
            <v>Tr1-2000</v>
          </cell>
          <cell r="AH52" t="str">
            <v>2000-Tr1</v>
          </cell>
          <cell r="AI52">
            <v>2</v>
          </cell>
          <cell r="AJ52" t="str">
            <v>02</v>
          </cell>
        </row>
        <row r="53">
          <cell r="AA53" t="str">
            <v>Aaa</v>
          </cell>
          <cell r="AB53">
            <v>36558</v>
          </cell>
          <cell r="AC53">
            <v>2000</v>
          </cell>
          <cell r="AD53" t="str">
            <v>St1</v>
          </cell>
          <cell r="AE53" t="str">
            <v>Qd1</v>
          </cell>
          <cell r="AF53" t="str">
            <v>Tr1</v>
          </cell>
          <cell r="AG53" t="str">
            <v>Tr1-2000</v>
          </cell>
          <cell r="AH53" t="str">
            <v>2000-Tr1</v>
          </cell>
          <cell r="AI53">
            <v>2</v>
          </cell>
          <cell r="AJ53" t="str">
            <v>02</v>
          </cell>
        </row>
        <row r="54">
          <cell r="AA54" t="str">
            <v>Aaa</v>
          </cell>
          <cell r="AB54">
            <v>36559</v>
          </cell>
          <cell r="AC54">
            <v>2000</v>
          </cell>
          <cell r="AD54" t="str">
            <v>St1</v>
          </cell>
          <cell r="AE54" t="str">
            <v>Qd1</v>
          </cell>
          <cell r="AF54" t="str">
            <v>Tr1</v>
          </cell>
          <cell r="AG54" t="str">
            <v>Tr1-2000</v>
          </cell>
          <cell r="AH54" t="str">
            <v>2000-Tr1</v>
          </cell>
          <cell r="AI54">
            <v>2</v>
          </cell>
          <cell r="AJ54" t="str">
            <v>02</v>
          </cell>
        </row>
        <row r="55">
          <cell r="AA55" t="str">
            <v>Aaa</v>
          </cell>
          <cell r="AB55">
            <v>36560</v>
          </cell>
          <cell r="AC55">
            <v>2000</v>
          </cell>
          <cell r="AD55" t="str">
            <v>St1</v>
          </cell>
          <cell r="AE55" t="str">
            <v>Qd1</v>
          </cell>
          <cell r="AF55" t="str">
            <v>Tr1</v>
          </cell>
          <cell r="AG55" t="str">
            <v>Tr1-2000</v>
          </cell>
          <cell r="AH55" t="str">
            <v>2000-Tr1</v>
          </cell>
          <cell r="AI55">
            <v>2</v>
          </cell>
          <cell r="AJ55" t="str">
            <v>02</v>
          </cell>
        </row>
        <row r="56">
          <cell r="AA56" t="str">
            <v>Aaa</v>
          </cell>
          <cell r="AB56">
            <v>36561</v>
          </cell>
          <cell r="AC56">
            <v>2000</v>
          </cell>
          <cell r="AD56" t="str">
            <v>St1</v>
          </cell>
          <cell r="AE56" t="str">
            <v>Qd1</v>
          </cell>
          <cell r="AF56" t="str">
            <v>Tr1</v>
          </cell>
          <cell r="AG56" t="str">
            <v>Tr1-2000</v>
          </cell>
          <cell r="AH56" t="str">
            <v>2000-Tr1</v>
          </cell>
          <cell r="AI56">
            <v>2</v>
          </cell>
          <cell r="AJ56" t="str">
            <v>02</v>
          </cell>
        </row>
        <row r="57">
          <cell r="AA57" t="str">
            <v>Aaa</v>
          </cell>
          <cell r="AB57">
            <v>36562</v>
          </cell>
          <cell r="AC57">
            <v>2000</v>
          </cell>
          <cell r="AD57" t="str">
            <v>St1</v>
          </cell>
          <cell r="AE57" t="str">
            <v>Qd1</v>
          </cell>
          <cell r="AF57" t="str">
            <v>Tr1</v>
          </cell>
          <cell r="AG57" t="str">
            <v>Tr1-2000</v>
          </cell>
          <cell r="AH57" t="str">
            <v>2000-Tr1</v>
          </cell>
          <cell r="AI57">
            <v>2</v>
          </cell>
          <cell r="AJ57" t="str">
            <v>02</v>
          </cell>
        </row>
        <row r="58">
          <cell r="AA58" t="str">
            <v>Aaa</v>
          </cell>
          <cell r="AB58">
            <v>36563</v>
          </cell>
          <cell r="AC58">
            <v>2000</v>
          </cell>
          <cell r="AD58" t="str">
            <v>St1</v>
          </cell>
          <cell r="AE58" t="str">
            <v>Qd1</v>
          </cell>
          <cell r="AF58" t="str">
            <v>Tr1</v>
          </cell>
          <cell r="AG58" t="str">
            <v>Tr1-2000</v>
          </cell>
          <cell r="AH58" t="str">
            <v>2000-Tr1</v>
          </cell>
          <cell r="AI58">
            <v>2</v>
          </cell>
          <cell r="AJ58" t="str">
            <v>02</v>
          </cell>
        </row>
        <row r="59">
          <cell r="AA59" t="str">
            <v>Aaa</v>
          </cell>
          <cell r="AB59">
            <v>36564</v>
          </cell>
          <cell r="AC59">
            <v>2000</v>
          </cell>
          <cell r="AD59" t="str">
            <v>St1</v>
          </cell>
          <cell r="AE59" t="str">
            <v>Qd1</v>
          </cell>
          <cell r="AF59" t="str">
            <v>Tr1</v>
          </cell>
          <cell r="AG59" t="str">
            <v>Tr1-2000</v>
          </cell>
          <cell r="AH59" t="str">
            <v>2000-Tr1</v>
          </cell>
          <cell r="AI59">
            <v>2</v>
          </cell>
          <cell r="AJ59" t="str">
            <v>02</v>
          </cell>
        </row>
        <row r="60">
          <cell r="AA60" t="str">
            <v>Aaa</v>
          </cell>
          <cell r="AB60">
            <v>36565</v>
          </cell>
          <cell r="AC60">
            <v>2000</v>
          </cell>
          <cell r="AD60" t="str">
            <v>St1</v>
          </cell>
          <cell r="AE60" t="str">
            <v>Qd1</v>
          </cell>
          <cell r="AF60" t="str">
            <v>Tr1</v>
          </cell>
          <cell r="AG60" t="str">
            <v>Tr1-2000</v>
          </cell>
          <cell r="AH60" t="str">
            <v>2000-Tr1</v>
          </cell>
          <cell r="AI60">
            <v>2</v>
          </cell>
          <cell r="AJ60" t="str">
            <v>02</v>
          </cell>
        </row>
        <row r="61">
          <cell r="AA61" t="str">
            <v>Aaa</v>
          </cell>
          <cell r="AB61">
            <v>36566</v>
          </cell>
          <cell r="AC61">
            <v>2000</v>
          </cell>
          <cell r="AD61" t="str">
            <v>St1</v>
          </cell>
          <cell r="AE61" t="str">
            <v>Qd1</v>
          </cell>
          <cell r="AF61" t="str">
            <v>Tr1</v>
          </cell>
          <cell r="AG61" t="str">
            <v>Tr1-2000</v>
          </cell>
          <cell r="AH61" t="str">
            <v>2000-Tr1</v>
          </cell>
          <cell r="AI61">
            <v>2</v>
          </cell>
          <cell r="AJ61" t="str">
            <v>02</v>
          </cell>
        </row>
        <row r="62">
          <cell r="AA62" t="str">
            <v>Aaa</v>
          </cell>
          <cell r="AB62">
            <v>36567</v>
          </cell>
          <cell r="AC62">
            <v>2000</v>
          </cell>
          <cell r="AD62" t="str">
            <v>St1</v>
          </cell>
          <cell r="AE62" t="str">
            <v>Qd1</v>
          </cell>
          <cell r="AF62" t="str">
            <v>Tr1</v>
          </cell>
          <cell r="AG62" t="str">
            <v>Tr1-2000</v>
          </cell>
          <cell r="AH62" t="str">
            <v>2000-Tr1</v>
          </cell>
          <cell r="AI62">
            <v>2</v>
          </cell>
          <cell r="AJ62" t="str">
            <v>02</v>
          </cell>
        </row>
        <row r="63">
          <cell r="AA63" t="str">
            <v>Aaa</v>
          </cell>
          <cell r="AB63">
            <v>36568</v>
          </cell>
          <cell r="AC63">
            <v>2000</v>
          </cell>
          <cell r="AD63" t="str">
            <v>St1</v>
          </cell>
          <cell r="AE63" t="str">
            <v>Qd1</v>
          </cell>
          <cell r="AF63" t="str">
            <v>Tr1</v>
          </cell>
          <cell r="AG63" t="str">
            <v>Tr1-2000</v>
          </cell>
          <cell r="AH63" t="str">
            <v>2000-Tr1</v>
          </cell>
          <cell r="AI63">
            <v>2</v>
          </cell>
          <cell r="AJ63" t="str">
            <v>02</v>
          </cell>
        </row>
        <row r="64">
          <cell r="AA64" t="str">
            <v>Aaa</v>
          </cell>
          <cell r="AB64">
            <v>36569</v>
          </cell>
          <cell r="AC64">
            <v>2000</v>
          </cell>
          <cell r="AD64" t="str">
            <v>St1</v>
          </cell>
          <cell r="AE64" t="str">
            <v>Qd1</v>
          </cell>
          <cell r="AF64" t="str">
            <v>Tr1</v>
          </cell>
          <cell r="AG64" t="str">
            <v>Tr1-2000</v>
          </cell>
          <cell r="AH64" t="str">
            <v>2000-Tr1</v>
          </cell>
          <cell r="AI64">
            <v>2</v>
          </cell>
          <cell r="AJ64" t="str">
            <v>02</v>
          </cell>
        </row>
        <row r="65">
          <cell r="AA65" t="str">
            <v>Aaa</v>
          </cell>
          <cell r="AB65">
            <v>36570</v>
          </cell>
          <cell r="AC65">
            <v>2000</v>
          </cell>
          <cell r="AD65" t="str">
            <v>St1</v>
          </cell>
          <cell r="AE65" t="str">
            <v>Qd1</v>
          </cell>
          <cell r="AF65" t="str">
            <v>Tr1</v>
          </cell>
          <cell r="AG65" t="str">
            <v>Tr1-2000</v>
          </cell>
          <cell r="AH65" t="str">
            <v>2000-Tr1</v>
          </cell>
          <cell r="AI65">
            <v>2</v>
          </cell>
          <cell r="AJ65" t="str">
            <v>02</v>
          </cell>
        </row>
        <row r="66">
          <cell r="AA66" t="str">
            <v>Aaa</v>
          </cell>
          <cell r="AB66">
            <v>36571</v>
          </cell>
          <cell r="AC66">
            <v>2000</v>
          </cell>
          <cell r="AD66" t="str">
            <v>St1</v>
          </cell>
          <cell r="AE66" t="str">
            <v>Qd1</v>
          </cell>
          <cell r="AF66" t="str">
            <v>Tr1</v>
          </cell>
          <cell r="AG66" t="str">
            <v>Tr1-2000</v>
          </cell>
          <cell r="AH66" t="str">
            <v>2000-Tr1</v>
          </cell>
          <cell r="AI66">
            <v>2</v>
          </cell>
          <cell r="AJ66" t="str">
            <v>02</v>
          </cell>
        </row>
        <row r="67">
          <cell r="AA67" t="str">
            <v>Aaa</v>
          </cell>
          <cell r="AB67">
            <v>36572</v>
          </cell>
          <cell r="AC67">
            <v>2000</v>
          </cell>
          <cell r="AD67" t="str">
            <v>St1</v>
          </cell>
          <cell r="AE67" t="str">
            <v>Qd1</v>
          </cell>
          <cell r="AF67" t="str">
            <v>Tr1</v>
          </cell>
          <cell r="AG67" t="str">
            <v>Tr1-2000</v>
          </cell>
          <cell r="AH67" t="str">
            <v>2000-Tr1</v>
          </cell>
          <cell r="AI67">
            <v>2</v>
          </cell>
          <cell r="AJ67" t="str">
            <v>02</v>
          </cell>
        </row>
        <row r="68">
          <cell r="AA68" t="str">
            <v>Aaa</v>
          </cell>
          <cell r="AB68">
            <v>36573</v>
          </cell>
          <cell r="AC68">
            <v>2000</v>
          </cell>
          <cell r="AD68" t="str">
            <v>St1</v>
          </cell>
          <cell r="AE68" t="str">
            <v>Qd1</v>
          </cell>
          <cell r="AF68" t="str">
            <v>Tr1</v>
          </cell>
          <cell r="AG68" t="str">
            <v>Tr1-2000</v>
          </cell>
          <cell r="AH68" t="str">
            <v>2000-Tr1</v>
          </cell>
          <cell r="AI68">
            <v>2</v>
          </cell>
          <cell r="AJ68" t="str">
            <v>02</v>
          </cell>
        </row>
        <row r="69">
          <cell r="AA69" t="str">
            <v>Aaa</v>
          </cell>
          <cell r="AB69">
            <v>36574</v>
          </cell>
          <cell r="AC69">
            <v>2000</v>
          </cell>
          <cell r="AD69" t="str">
            <v>St1</v>
          </cell>
          <cell r="AE69" t="str">
            <v>Qd1</v>
          </cell>
          <cell r="AF69" t="str">
            <v>Tr1</v>
          </cell>
          <cell r="AG69" t="str">
            <v>Tr1-2000</v>
          </cell>
          <cell r="AH69" t="str">
            <v>2000-Tr1</v>
          </cell>
          <cell r="AI69">
            <v>2</v>
          </cell>
          <cell r="AJ69" t="str">
            <v>02</v>
          </cell>
        </row>
        <row r="70">
          <cell r="AA70" t="str">
            <v>Aaa</v>
          </cell>
          <cell r="AB70">
            <v>36575</v>
          </cell>
          <cell r="AC70">
            <v>2000</v>
          </cell>
          <cell r="AD70" t="str">
            <v>St1</v>
          </cell>
          <cell r="AE70" t="str">
            <v>Qd1</v>
          </cell>
          <cell r="AF70" t="str">
            <v>Tr1</v>
          </cell>
          <cell r="AG70" t="str">
            <v>Tr1-2000</v>
          </cell>
          <cell r="AH70" t="str">
            <v>2000-Tr1</v>
          </cell>
          <cell r="AI70">
            <v>2</v>
          </cell>
          <cell r="AJ70" t="str">
            <v>02</v>
          </cell>
        </row>
        <row r="71">
          <cell r="AA71" t="str">
            <v>Aaa</v>
          </cell>
          <cell r="AB71">
            <v>36576</v>
          </cell>
          <cell r="AC71">
            <v>2000</v>
          </cell>
          <cell r="AD71" t="str">
            <v>St1</v>
          </cell>
          <cell r="AE71" t="str">
            <v>Qd1</v>
          </cell>
          <cell r="AF71" t="str">
            <v>Tr1</v>
          </cell>
          <cell r="AG71" t="str">
            <v>Tr1-2000</v>
          </cell>
          <cell r="AH71" t="str">
            <v>2000-Tr1</v>
          </cell>
          <cell r="AI71">
            <v>2</v>
          </cell>
          <cell r="AJ71" t="str">
            <v>02</v>
          </cell>
        </row>
        <row r="72">
          <cell r="AA72" t="str">
            <v>Aaa</v>
          </cell>
          <cell r="AB72">
            <v>36577</v>
          </cell>
          <cell r="AC72">
            <v>2000</v>
          </cell>
          <cell r="AD72" t="str">
            <v>St1</v>
          </cell>
          <cell r="AE72" t="str">
            <v>Qd1</v>
          </cell>
          <cell r="AF72" t="str">
            <v>Tr1</v>
          </cell>
          <cell r="AG72" t="str">
            <v>Tr1-2000</v>
          </cell>
          <cell r="AH72" t="str">
            <v>2000-Tr1</v>
          </cell>
          <cell r="AI72">
            <v>2</v>
          </cell>
          <cell r="AJ72" t="str">
            <v>02</v>
          </cell>
        </row>
        <row r="73">
          <cell r="AA73" t="str">
            <v>Aaa</v>
          </cell>
          <cell r="AB73">
            <v>36578</v>
          </cell>
          <cell r="AC73">
            <v>2000</v>
          </cell>
          <cell r="AD73" t="str">
            <v>St1</v>
          </cell>
          <cell r="AE73" t="str">
            <v>Qd1</v>
          </cell>
          <cell r="AF73" t="str">
            <v>Tr1</v>
          </cell>
          <cell r="AG73" t="str">
            <v>Tr1-2000</v>
          </cell>
          <cell r="AH73" t="str">
            <v>2000-Tr1</v>
          </cell>
          <cell r="AI73">
            <v>2</v>
          </cell>
          <cell r="AJ73" t="str">
            <v>02</v>
          </cell>
        </row>
        <row r="74">
          <cell r="AA74" t="str">
            <v>Aaa</v>
          </cell>
          <cell r="AB74">
            <v>36579</v>
          </cell>
          <cell r="AC74">
            <v>2000</v>
          </cell>
          <cell r="AD74" t="str">
            <v>St1</v>
          </cell>
          <cell r="AE74" t="str">
            <v>Qd1</v>
          </cell>
          <cell r="AF74" t="str">
            <v>Tr1</v>
          </cell>
          <cell r="AG74" t="str">
            <v>Tr1-2000</v>
          </cell>
          <cell r="AH74" t="str">
            <v>2000-Tr1</v>
          </cell>
          <cell r="AI74">
            <v>2</v>
          </cell>
          <cell r="AJ74" t="str">
            <v>02</v>
          </cell>
        </row>
        <row r="75">
          <cell r="AA75" t="str">
            <v>Aaa</v>
          </cell>
          <cell r="AB75">
            <v>36580</v>
          </cell>
          <cell r="AC75">
            <v>2000</v>
          </cell>
          <cell r="AD75" t="str">
            <v>St1</v>
          </cell>
          <cell r="AE75" t="str">
            <v>Qd1</v>
          </cell>
          <cell r="AF75" t="str">
            <v>Tr1</v>
          </cell>
          <cell r="AG75" t="str">
            <v>Tr1-2000</v>
          </cell>
          <cell r="AH75" t="str">
            <v>2000-Tr1</v>
          </cell>
          <cell r="AI75">
            <v>2</v>
          </cell>
          <cell r="AJ75" t="str">
            <v>02</v>
          </cell>
        </row>
        <row r="76">
          <cell r="AA76" t="str">
            <v>Aaa</v>
          </cell>
          <cell r="AB76">
            <v>36581</v>
          </cell>
          <cell r="AC76">
            <v>2000</v>
          </cell>
          <cell r="AD76" t="str">
            <v>St1</v>
          </cell>
          <cell r="AE76" t="str">
            <v>Qd1</v>
          </cell>
          <cell r="AF76" t="str">
            <v>Tr1</v>
          </cell>
          <cell r="AG76" t="str">
            <v>Tr1-2000</v>
          </cell>
          <cell r="AH76" t="str">
            <v>2000-Tr1</v>
          </cell>
          <cell r="AI76">
            <v>2</v>
          </cell>
          <cell r="AJ76" t="str">
            <v>02</v>
          </cell>
        </row>
        <row r="77">
          <cell r="AA77" t="str">
            <v>Aaa</v>
          </cell>
          <cell r="AB77">
            <v>36582</v>
          </cell>
          <cell r="AC77">
            <v>2000</v>
          </cell>
          <cell r="AD77" t="str">
            <v>St1</v>
          </cell>
          <cell r="AE77" t="str">
            <v>Qd1</v>
          </cell>
          <cell r="AF77" t="str">
            <v>Tr1</v>
          </cell>
          <cell r="AG77" t="str">
            <v>Tr1-2000</v>
          </cell>
          <cell r="AH77" t="str">
            <v>2000-Tr1</v>
          </cell>
          <cell r="AI77">
            <v>2</v>
          </cell>
          <cell r="AJ77" t="str">
            <v>02</v>
          </cell>
        </row>
        <row r="78">
          <cell r="AA78" t="str">
            <v>Aaa</v>
          </cell>
          <cell r="AB78">
            <v>36583</v>
          </cell>
          <cell r="AC78">
            <v>2000</v>
          </cell>
          <cell r="AD78" t="str">
            <v>St1</v>
          </cell>
          <cell r="AE78" t="str">
            <v>Qd1</v>
          </cell>
          <cell r="AF78" t="str">
            <v>Tr1</v>
          </cell>
          <cell r="AG78" t="str">
            <v>Tr1-2000</v>
          </cell>
          <cell r="AH78" t="str">
            <v>2000-Tr1</v>
          </cell>
          <cell r="AI78">
            <v>2</v>
          </cell>
          <cell r="AJ78" t="str">
            <v>02</v>
          </cell>
        </row>
        <row r="79">
          <cell r="AA79" t="str">
            <v>Aaa</v>
          </cell>
          <cell r="AB79">
            <v>36584</v>
          </cell>
          <cell r="AC79">
            <v>2000</v>
          </cell>
          <cell r="AD79" t="str">
            <v>St1</v>
          </cell>
          <cell r="AE79" t="str">
            <v>Qd1</v>
          </cell>
          <cell r="AF79" t="str">
            <v>Tr1</v>
          </cell>
          <cell r="AG79" t="str">
            <v>Tr1-2000</v>
          </cell>
          <cell r="AH79" t="str">
            <v>2000-Tr1</v>
          </cell>
          <cell r="AI79">
            <v>2</v>
          </cell>
          <cell r="AJ79" t="str">
            <v>02</v>
          </cell>
        </row>
        <row r="80">
          <cell r="AA80" t="str">
            <v>Aaa</v>
          </cell>
          <cell r="AB80">
            <v>36585</v>
          </cell>
          <cell r="AC80">
            <v>2000</v>
          </cell>
          <cell r="AD80" t="str">
            <v>St1</v>
          </cell>
          <cell r="AE80" t="str">
            <v>Qd1</v>
          </cell>
          <cell r="AF80" t="str">
            <v>Tr1</v>
          </cell>
          <cell r="AG80" t="str">
            <v>Tr1-2000</v>
          </cell>
          <cell r="AH80" t="str">
            <v>2000-Tr1</v>
          </cell>
          <cell r="AI80">
            <v>2</v>
          </cell>
          <cell r="AJ80" t="str">
            <v>02</v>
          </cell>
        </row>
        <row r="81">
          <cell r="AA81" t="str">
            <v>Aaa</v>
          </cell>
          <cell r="AB81">
            <v>36586</v>
          </cell>
          <cell r="AC81">
            <v>2000</v>
          </cell>
          <cell r="AD81" t="str">
            <v>St1</v>
          </cell>
          <cell r="AE81" t="str">
            <v>Qd1</v>
          </cell>
          <cell r="AF81" t="str">
            <v>Tr1</v>
          </cell>
          <cell r="AG81" t="str">
            <v>Tr1-2000</v>
          </cell>
          <cell r="AH81" t="str">
            <v>2000-Tr1</v>
          </cell>
          <cell r="AI81">
            <v>3</v>
          </cell>
          <cell r="AJ81" t="str">
            <v>03</v>
          </cell>
        </row>
        <row r="82">
          <cell r="AA82" t="str">
            <v>Aaa</v>
          </cell>
          <cell r="AB82">
            <v>36587</v>
          </cell>
          <cell r="AC82">
            <v>2000</v>
          </cell>
          <cell r="AD82" t="str">
            <v>St1</v>
          </cell>
          <cell r="AE82" t="str">
            <v>Qd1</v>
          </cell>
          <cell r="AF82" t="str">
            <v>Tr1</v>
          </cell>
          <cell r="AG82" t="str">
            <v>Tr1-2000</v>
          </cell>
          <cell r="AH82" t="str">
            <v>2000-Tr1</v>
          </cell>
          <cell r="AI82">
            <v>3</v>
          </cell>
          <cell r="AJ82" t="str">
            <v>03</v>
          </cell>
        </row>
        <row r="83">
          <cell r="AA83" t="str">
            <v>Aaa</v>
          </cell>
          <cell r="AB83">
            <v>36588</v>
          </cell>
          <cell r="AC83">
            <v>2000</v>
          </cell>
          <cell r="AD83" t="str">
            <v>St1</v>
          </cell>
          <cell r="AE83" t="str">
            <v>Qd1</v>
          </cell>
          <cell r="AF83" t="str">
            <v>Tr1</v>
          </cell>
          <cell r="AG83" t="str">
            <v>Tr1-2000</v>
          </cell>
          <cell r="AH83" t="str">
            <v>2000-Tr1</v>
          </cell>
          <cell r="AI83">
            <v>3</v>
          </cell>
          <cell r="AJ83" t="str">
            <v>03</v>
          </cell>
        </row>
        <row r="84">
          <cell r="AA84" t="str">
            <v>Aaa</v>
          </cell>
          <cell r="AB84">
            <v>36589</v>
          </cell>
          <cell r="AC84">
            <v>2000</v>
          </cell>
          <cell r="AD84" t="str">
            <v>St1</v>
          </cell>
          <cell r="AE84" t="str">
            <v>Qd1</v>
          </cell>
          <cell r="AF84" t="str">
            <v>Tr1</v>
          </cell>
          <cell r="AG84" t="str">
            <v>Tr1-2000</v>
          </cell>
          <cell r="AH84" t="str">
            <v>2000-Tr1</v>
          </cell>
          <cell r="AI84">
            <v>3</v>
          </cell>
          <cell r="AJ84" t="str">
            <v>03</v>
          </cell>
        </row>
        <row r="85">
          <cell r="AA85" t="str">
            <v>Aaa</v>
          </cell>
          <cell r="AB85">
            <v>36590</v>
          </cell>
          <cell r="AC85">
            <v>2000</v>
          </cell>
          <cell r="AD85" t="str">
            <v>St1</v>
          </cell>
          <cell r="AE85" t="str">
            <v>Qd1</v>
          </cell>
          <cell r="AF85" t="str">
            <v>Tr1</v>
          </cell>
          <cell r="AG85" t="str">
            <v>Tr1-2000</v>
          </cell>
          <cell r="AH85" t="str">
            <v>2000-Tr1</v>
          </cell>
          <cell r="AI85">
            <v>3</v>
          </cell>
          <cell r="AJ85" t="str">
            <v>03</v>
          </cell>
        </row>
        <row r="86">
          <cell r="AA86" t="str">
            <v>Aaa</v>
          </cell>
          <cell r="AB86">
            <v>36591</v>
          </cell>
          <cell r="AC86">
            <v>2000</v>
          </cell>
          <cell r="AD86" t="str">
            <v>St1</v>
          </cell>
          <cell r="AE86" t="str">
            <v>Qd1</v>
          </cell>
          <cell r="AF86" t="str">
            <v>Tr1</v>
          </cell>
          <cell r="AG86" t="str">
            <v>Tr1-2000</v>
          </cell>
          <cell r="AH86" t="str">
            <v>2000-Tr1</v>
          </cell>
          <cell r="AI86">
            <v>3</v>
          </cell>
          <cell r="AJ86" t="str">
            <v>03</v>
          </cell>
        </row>
        <row r="87">
          <cell r="AA87" t="str">
            <v>Aaa</v>
          </cell>
          <cell r="AB87">
            <v>36592</v>
          </cell>
          <cell r="AC87">
            <v>2000</v>
          </cell>
          <cell r="AD87" t="str">
            <v>St1</v>
          </cell>
          <cell r="AE87" t="str">
            <v>Qd1</v>
          </cell>
          <cell r="AF87" t="str">
            <v>Tr1</v>
          </cell>
          <cell r="AG87" t="str">
            <v>Tr1-2000</v>
          </cell>
          <cell r="AH87" t="str">
            <v>2000-Tr1</v>
          </cell>
          <cell r="AI87">
            <v>3</v>
          </cell>
          <cell r="AJ87" t="str">
            <v>03</v>
          </cell>
        </row>
        <row r="88">
          <cell r="AA88" t="str">
            <v>Aaa</v>
          </cell>
          <cell r="AB88">
            <v>36593</v>
          </cell>
          <cell r="AC88">
            <v>2000</v>
          </cell>
          <cell r="AD88" t="str">
            <v>St1</v>
          </cell>
          <cell r="AE88" t="str">
            <v>Qd1</v>
          </cell>
          <cell r="AF88" t="str">
            <v>Tr1</v>
          </cell>
          <cell r="AG88" t="str">
            <v>Tr1-2000</v>
          </cell>
          <cell r="AH88" t="str">
            <v>2000-Tr1</v>
          </cell>
          <cell r="AI88">
            <v>3</v>
          </cell>
          <cell r="AJ88" t="str">
            <v>03</v>
          </cell>
        </row>
        <row r="89">
          <cell r="AA89" t="str">
            <v>Aaa</v>
          </cell>
          <cell r="AB89">
            <v>36594</v>
          </cell>
          <cell r="AC89">
            <v>2000</v>
          </cell>
          <cell r="AD89" t="str">
            <v>St1</v>
          </cell>
          <cell r="AE89" t="str">
            <v>Qd1</v>
          </cell>
          <cell r="AF89" t="str">
            <v>Tr1</v>
          </cell>
          <cell r="AG89" t="str">
            <v>Tr1-2000</v>
          </cell>
          <cell r="AH89" t="str">
            <v>2000-Tr1</v>
          </cell>
          <cell r="AI89">
            <v>3</v>
          </cell>
          <cell r="AJ89" t="str">
            <v>03</v>
          </cell>
        </row>
        <row r="90">
          <cell r="AA90" t="str">
            <v>Aaa</v>
          </cell>
          <cell r="AB90">
            <v>36595</v>
          </cell>
          <cell r="AC90">
            <v>2000</v>
          </cell>
          <cell r="AD90" t="str">
            <v>St1</v>
          </cell>
          <cell r="AE90" t="str">
            <v>Qd1</v>
          </cell>
          <cell r="AF90" t="str">
            <v>Tr1</v>
          </cell>
          <cell r="AG90" t="str">
            <v>Tr1-2000</v>
          </cell>
          <cell r="AH90" t="str">
            <v>2000-Tr1</v>
          </cell>
          <cell r="AI90">
            <v>3</v>
          </cell>
          <cell r="AJ90" t="str">
            <v>03</v>
          </cell>
        </row>
        <row r="91">
          <cell r="AA91" t="str">
            <v>Aaa</v>
          </cell>
          <cell r="AB91">
            <v>36596</v>
          </cell>
          <cell r="AC91">
            <v>2000</v>
          </cell>
          <cell r="AD91" t="str">
            <v>St1</v>
          </cell>
          <cell r="AE91" t="str">
            <v>Qd1</v>
          </cell>
          <cell r="AF91" t="str">
            <v>Tr1</v>
          </cell>
          <cell r="AG91" t="str">
            <v>Tr1-2000</v>
          </cell>
          <cell r="AH91" t="str">
            <v>2000-Tr1</v>
          </cell>
          <cell r="AI91">
            <v>3</v>
          </cell>
          <cell r="AJ91" t="str">
            <v>03</v>
          </cell>
        </row>
        <row r="92">
          <cell r="AA92" t="str">
            <v>Aaa</v>
          </cell>
          <cell r="AB92">
            <v>36597</v>
          </cell>
          <cell r="AC92">
            <v>2000</v>
          </cell>
          <cell r="AD92" t="str">
            <v>St1</v>
          </cell>
          <cell r="AE92" t="str">
            <v>Qd1</v>
          </cell>
          <cell r="AF92" t="str">
            <v>Tr1</v>
          </cell>
          <cell r="AG92" t="str">
            <v>Tr1-2000</v>
          </cell>
          <cell r="AH92" t="str">
            <v>2000-Tr1</v>
          </cell>
          <cell r="AI92">
            <v>3</v>
          </cell>
          <cell r="AJ92" t="str">
            <v>03</v>
          </cell>
        </row>
        <row r="93">
          <cell r="AA93" t="str">
            <v>Aaa</v>
          </cell>
          <cell r="AB93">
            <v>36598</v>
          </cell>
          <cell r="AC93">
            <v>2000</v>
          </cell>
          <cell r="AD93" t="str">
            <v>St1</v>
          </cell>
          <cell r="AE93" t="str">
            <v>Qd1</v>
          </cell>
          <cell r="AF93" t="str">
            <v>Tr1</v>
          </cell>
          <cell r="AG93" t="str">
            <v>Tr1-2000</v>
          </cell>
          <cell r="AH93" t="str">
            <v>2000-Tr1</v>
          </cell>
          <cell r="AI93">
            <v>3</v>
          </cell>
          <cell r="AJ93" t="str">
            <v>03</v>
          </cell>
        </row>
        <row r="94">
          <cell r="AA94" t="str">
            <v>Aaa</v>
          </cell>
          <cell r="AB94">
            <v>36599</v>
          </cell>
          <cell r="AC94">
            <v>2000</v>
          </cell>
          <cell r="AD94" t="str">
            <v>St1</v>
          </cell>
          <cell r="AE94" t="str">
            <v>Qd1</v>
          </cell>
          <cell r="AF94" t="str">
            <v>Tr1</v>
          </cell>
          <cell r="AG94" t="str">
            <v>Tr1-2000</v>
          </cell>
          <cell r="AH94" t="str">
            <v>2000-Tr1</v>
          </cell>
          <cell r="AI94">
            <v>3</v>
          </cell>
          <cell r="AJ94" t="str">
            <v>03</v>
          </cell>
        </row>
        <row r="95">
          <cell r="AA95" t="str">
            <v>Aaa</v>
          </cell>
          <cell r="AB95">
            <v>36600</v>
          </cell>
          <cell r="AC95">
            <v>2000</v>
          </cell>
          <cell r="AD95" t="str">
            <v>St1</v>
          </cell>
          <cell r="AE95" t="str">
            <v>Qd1</v>
          </cell>
          <cell r="AF95" t="str">
            <v>Tr1</v>
          </cell>
          <cell r="AG95" t="str">
            <v>Tr1-2000</v>
          </cell>
          <cell r="AH95" t="str">
            <v>2000-Tr1</v>
          </cell>
          <cell r="AI95">
            <v>3</v>
          </cell>
          <cell r="AJ95" t="str">
            <v>03</v>
          </cell>
        </row>
        <row r="96">
          <cell r="AA96" t="str">
            <v>Aaa</v>
          </cell>
          <cell r="AB96">
            <v>36601</v>
          </cell>
          <cell r="AC96">
            <v>2000</v>
          </cell>
          <cell r="AD96" t="str">
            <v>St1</v>
          </cell>
          <cell r="AE96" t="str">
            <v>Qd1</v>
          </cell>
          <cell r="AF96" t="str">
            <v>Tr1</v>
          </cell>
          <cell r="AG96" t="str">
            <v>Tr1-2000</v>
          </cell>
          <cell r="AH96" t="str">
            <v>2000-Tr1</v>
          </cell>
          <cell r="AI96">
            <v>3</v>
          </cell>
          <cell r="AJ96" t="str">
            <v>03</v>
          </cell>
        </row>
        <row r="97">
          <cell r="AA97" t="str">
            <v>Aaa</v>
          </cell>
          <cell r="AB97">
            <v>36602</v>
          </cell>
          <cell r="AC97">
            <v>2000</v>
          </cell>
          <cell r="AD97" t="str">
            <v>St1</v>
          </cell>
          <cell r="AE97" t="str">
            <v>Qd1</v>
          </cell>
          <cell r="AF97" t="str">
            <v>Tr1</v>
          </cell>
          <cell r="AG97" t="str">
            <v>Tr1-2000</v>
          </cell>
          <cell r="AH97" t="str">
            <v>2000-Tr1</v>
          </cell>
          <cell r="AI97">
            <v>3</v>
          </cell>
          <cell r="AJ97" t="str">
            <v>03</v>
          </cell>
        </row>
        <row r="98">
          <cell r="AA98" t="str">
            <v>Aaa</v>
          </cell>
          <cell r="AB98">
            <v>36603</v>
          </cell>
          <cell r="AC98">
            <v>2000</v>
          </cell>
          <cell r="AD98" t="str">
            <v>St1</v>
          </cell>
          <cell r="AE98" t="str">
            <v>Qd1</v>
          </cell>
          <cell r="AF98" t="str">
            <v>Tr1</v>
          </cell>
          <cell r="AG98" t="str">
            <v>Tr1-2000</v>
          </cell>
          <cell r="AH98" t="str">
            <v>2000-Tr1</v>
          </cell>
          <cell r="AI98">
            <v>3</v>
          </cell>
          <cell r="AJ98" t="str">
            <v>03</v>
          </cell>
        </row>
        <row r="99">
          <cell r="AA99" t="str">
            <v>Aaa</v>
          </cell>
          <cell r="AB99">
            <v>36604</v>
          </cell>
          <cell r="AC99">
            <v>2000</v>
          </cell>
          <cell r="AD99" t="str">
            <v>St1</v>
          </cell>
          <cell r="AE99" t="str">
            <v>Qd1</v>
          </cell>
          <cell r="AF99" t="str">
            <v>Tr1</v>
          </cell>
          <cell r="AG99" t="str">
            <v>Tr1-2000</v>
          </cell>
          <cell r="AH99" t="str">
            <v>2000-Tr1</v>
          </cell>
          <cell r="AI99">
            <v>3</v>
          </cell>
          <cell r="AJ99" t="str">
            <v>03</v>
          </cell>
        </row>
        <row r="100">
          <cell r="AA100" t="str">
            <v>Aaa</v>
          </cell>
          <cell r="AB100">
            <v>36605</v>
          </cell>
          <cell r="AC100">
            <v>2000</v>
          </cell>
          <cell r="AD100" t="str">
            <v>St1</v>
          </cell>
          <cell r="AE100" t="str">
            <v>Qd1</v>
          </cell>
          <cell r="AF100" t="str">
            <v>Tr1</v>
          </cell>
          <cell r="AG100" t="str">
            <v>Tr1-2000</v>
          </cell>
          <cell r="AH100" t="str">
            <v>2000-Tr1</v>
          </cell>
          <cell r="AI100">
            <v>3</v>
          </cell>
          <cell r="AJ100" t="str">
            <v>03</v>
          </cell>
        </row>
        <row r="101">
          <cell r="AA101" t="str">
            <v>Aaa</v>
          </cell>
          <cell r="AB101">
            <v>36606</v>
          </cell>
          <cell r="AC101">
            <v>2000</v>
          </cell>
          <cell r="AD101" t="str">
            <v>St1</v>
          </cell>
          <cell r="AE101" t="str">
            <v>Qd1</v>
          </cell>
          <cell r="AF101" t="str">
            <v>Tr1</v>
          </cell>
          <cell r="AG101" t="str">
            <v>Tr1-2000</v>
          </cell>
          <cell r="AH101" t="str">
            <v>2000-Tr1</v>
          </cell>
          <cell r="AI101">
            <v>3</v>
          </cell>
          <cell r="AJ101" t="str">
            <v>03</v>
          </cell>
        </row>
        <row r="102">
          <cell r="AA102" t="str">
            <v>Aaa</v>
          </cell>
          <cell r="AB102">
            <v>36607</v>
          </cell>
          <cell r="AC102">
            <v>2000</v>
          </cell>
          <cell r="AD102" t="str">
            <v>St1</v>
          </cell>
          <cell r="AE102" t="str">
            <v>Qd1</v>
          </cell>
          <cell r="AF102" t="str">
            <v>Tr1</v>
          </cell>
          <cell r="AG102" t="str">
            <v>Tr1-2000</v>
          </cell>
          <cell r="AH102" t="str">
            <v>2000-Tr1</v>
          </cell>
          <cell r="AI102">
            <v>3</v>
          </cell>
          <cell r="AJ102" t="str">
            <v>03</v>
          </cell>
        </row>
        <row r="103">
          <cell r="AA103" t="str">
            <v>Aaa</v>
          </cell>
          <cell r="AB103">
            <v>36608</v>
          </cell>
          <cell r="AC103">
            <v>2000</v>
          </cell>
          <cell r="AD103" t="str">
            <v>St1</v>
          </cell>
          <cell r="AE103" t="str">
            <v>Qd1</v>
          </cell>
          <cell r="AF103" t="str">
            <v>Tr1</v>
          </cell>
          <cell r="AG103" t="str">
            <v>Tr1-2000</v>
          </cell>
          <cell r="AH103" t="str">
            <v>2000-Tr1</v>
          </cell>
          <cell r="AI103">
            <v>3</v>
          </cell>
          <cell r="AJ103" t="str">
            <v>03</v>
          </cell>
        </row>
        <row r="104">
          <cell r="AA104" t="str">
            <v>Aaa</v>
          </cell>
          <cell r="AB104">
            <v>36609</v>
          </cell>
          <cell r="AC104">
            <v>2000</v>
          </cell>
          <cell r="AD104" t="str">
            <v>St1</v>
          </cell>
          <cell r="AE104" t="str">
            <v>Qd1</v>
          </cell>
          <cell r="AF104" t="str">
            <v>Tr1</v>
          </cell>
          <cell r="AG104" t="str">
            <v>Tr1-2000</v>
          </cell>
          <cell r="AH104" t="str">
            <v>2000-Tr1</v>
          </cell>
          <cell r="AI104">
            <v>3</v>
          </cell>
          <cell r="AJ104" t="str">
            <v>03</v>
          </cell>
        </row>
        <row r="105">
          <cell r="AA105" t="str">
            <v>Aaa</v>
          </cell>
          <cell r="AB105">
            <v>36610</v>
          </cell>
          <cell r="AC105">
            <v>2000</v>
          </cell>
          <cell r="AD105" t="str">
            <v>St1</v>
          </cell>
          <cell r="AE105" t="str">
            <v>Qd1</v>
          </cell>
          <cell r="AF105" t="str">
            <v>Tr1</v>
          </cell>
          <cell r="AG105" t="str">
            <v>Tr1-2000</v>
          </cell>
          <cell r="AH105" t="str">
            <v>2000-Tr1</v>
          </cell>
          <cell r="AI105">
            <v>3</v>
          </cell>
          <cell r="AJ105" t="str">
            <v>03</v>
          </cell>
        </row>
        <row r="106">
          <cell r="AA106" t="str">
            <v>Aaa</v>
          </cell>
          <cell r="AB106">
            <v>36611</v>
          </cell>
          <cell r="AC106">
            <v>2000</v>
          </cell>
          <cell r="AD106" t="str">
            <v>St1</v>
          </cell>
          <cell r="AE106" t="str">
            <v>Qd1</v>
          </cell>
          <cell r="AF106" t="str">
            <v>Tr1</v>
          </cell>
          <cell r="AG106" t="str">
            <v>Tr1-2000</v>
          </cell>
          <cell r="AH106" t="str">
            <v>2000-Tr1</v>
          </cell>
          <cell r="AI106">
            <v>3</v>
          </cell>
          <cell r="AJ106" t="str">
            <v>03</v>
          </cell>
        </row>
        <row r="107">
          <cell r="AA107" t="str">
            <v>Aaa</v>
          </cell>
          <cell r="AB107">
            <v>36612</v>
          </cell>
          <cell r="AC107">
            <v>2000</v>
          </cell>
          <cell r="AD107" t="str">
            <v>St1</v>
          </cell>
          <cell r="AE107" t="str">
            <v>Qd1</v>
          </cell>
          <cell r="AF107" t="str">
            <v>Tr1</v>
          </cell>
          <cell r="AG107" t="str">
            <v>Tr1-2000</v>
          </cell>
          <cell r="AH107" t="str">
            <v>2000-Tr1</v>
          </cell>
          <cell r="AI107">
            <v>3</v>
          </cell>
          <cell r="AJ107" t="str">
            <v>03</v>
          </cell>
        </row>
        <row r="108">
          <cell r="AA108" t="str">
            <v>Aaa</v>
          </cell>
          <cell r="AB108">
            <v>36613</v>
          </cell>
          <cell r="AC108">
            <v>2000</v>
          </cell>
          <cell r="AD108" t="str">
            <v>St1</v>
          </cell>
          <cell r="AE108" t="str">
            <v>Qd1</v>
          </cell>
          <cell r="AF108" t="str">
            <v>Tr1</v>
          </cell>
          <cell r="AG108" t="str">
            <v>Tr1-2000</v>
          </cell>
          <cell r="AH108" t="str">
            <v>2000-Tr1</v>
          </cell>
          <cell r="AI108">
            <v>3</v>
          </cell>
          <cell r="AJ108" t="str">
            <v>03</v>
          </cell>
        </row>
        <row r="109">
          <cell r="AA109" t="str">
            <v>Aaa</v>
          </cell>
          <cell r="AB109">
            <v>36614</v>
          </cell>
          <cell r="AC109">
            <v>2000</v>
          </cell>
          <cell r="AD109" t="str">
            <v>St1</v>
          </cell>
          <cell r="AE109" t="str">
            <v>Qd1</v>
          </cell>
          <cell r="AF109" t="str">
            <v>Tr1</v>
          </cell>
          <cell r="AG109" t="str">
            <v>Tr1-2000</v>
          </cell>
          <cell r="AH109" t="str">
            <v>2000-Tr1</v>
          </cell>
          <cell r="AI109">
            <v>3</v>
          </cell>
          <cell r="AJ109" t="str">
            <v>03</v>
          </cell>
        </row>
        <row r="110">
          <cell r="AA110" t="str">
            <v>Aaa</v>
          </cell>
          <cell r="AB110">
            <v>36615</v>
          </cell>
          <cell r="AC110">
            <v>2000</v>
          </cell>
          <cell r="AD110" t="str">
            <v>St1</v>
          </cell>
          <cell r="AE110" t="str">
            <v>Qd1</v>
          </cell>
          <cell r="AF110" t="str">
            <v>Tr1</v>
          </cell>
          <cell r="AG110" t="str">
            <v>Tr1-2000</v>
          </cell>
          <cell r="AH110" t="str">
            <v>2000-Tr1</v>
          </cell>
          <cell r="AI110">
            <v>3</v>
          </cell>
          <cell r="AJ110" t="str">
            <v>03</v>
          </cell>
        </row>
        <row r="111">
          <cell r="AA111" t="str">
            <v>Aaa</v>
          </cell>
          <cell r="AB111">
            <v>36616</v>
          </cell>
          <cell r="AC111">
            <v>2000</v>
          </cell>
          <cell r="AD111" t="str">
            <v>St1</v>
          </cell>
          <cell r="AE111" t="str">
            <v>Qd1</v>
          </cell>
          <cell r="AF111" t="str">
            <v>Tr1</v>
          </cell>
          <cell r="AG111" t="str">
            <v>Tr1-2000</v>
          </cell>
          <cell r="AH111" t="str">
            <v>2000-Tr1</v>
          </cell>
          <cell r="AI111">
            <v>3</v>
          </cell>
          <cell r="AJ111" t="str">
            <v>03</v>
          </cell>
        </row>
        <row r="112">
          <cell r="AA112" t="str">
            <v>Aaa</v>
          </cell>
          <cell r="AB112">
            <v>36617</v>
          </cell>
          <cell r="AC112">
            <v>2000</v>
          </cell>
          <cell r="AD112" t="str">
            <v>St1</v>
          </cell>
          <cell r="AE112" t="str">
            <v>Qd1</v>
          </cell>
          <cell r="AF112" t="str">
            <v>Tr2</v>
          </cell>
          <cell r="AG112" t="str">
            <v>Tr2-2000</v>
          </cell>
          <cell r="AH112" t="str">
            <v>2000-Tr2</v>
          </cell>
          <cell r="AI112">
            <v>4</v>
          </cell>
          <cell r="AJ112" t="str">
            <v>04</v>
          </cell>
        </row>
        <row r="113">
          <cell r="AA113" t="str">
            <v>Aaa</v>
          </cell>
          <cell r="AB113">
            <v>36618</v>
          </cell>
          <cell r="AC113">
            <v>2000</v>
          </cell>
          <cell r="AD113" t="str">
            <v>St1</v>
          </cell>
          <cell r="AE113" t="str">
            <v>Qd1</v>
          </cell>
          <cell r="AF113" t="str">
            <v>Tr2</v>
          </cell>
          <cell r="AG113" t="str">
            <v>Tr2-2000</v>
          </cell>
          <cell r="AH113" t="str">
            <v>2000-Tr2</v>
          </cell>
          <cell r="AI113">
            <v>4</v>
          </cell>
          <cell r="AJ113" t="str">
            <v>04</v>
          </cell>
        </row>
        <row r="114">
          <cell r="AA114" t="str">
            <v>Aaa</v>
          </cell>
          <cell r="AB114">
            <v>36619</v>
          </cell>
          <cell r="AC114">
            <v>2000</v>
          </cell>
          <cell r="AD114" t="str">
            <v>St1</v>
          </cell>
          <cell r="AE114" t="str">
            <v>Qd1</v>
          </cell>
          <cell r="AF114" t="str">
            <v>Tr2</v>
          </cell>
          <cell r="AG114" t="str">
            <v>Tr2-2000</v>
          </cell>
          <cell r="AH114" t="str">
            <v>2000-Tr2</v>
          </cell>
          <cell r="AI114">
            <v>4</v>
          </cell>
          <cell r="AJ114" t="str">
            <v>04</v>
          </cell>
        </row>
        <row r="115">
          <cell r="AA115" t="str">
            <v>Aaa</v>
          </cell>
          <cell r="AB115">
            <v>36620</v>
          </cell>
          <cell r="AC115">
            <v>2000</v>
          </cell>
          <cell r="AD115" t="str">
            <v>St1</v>
          </cell>
          <cell r="AE115" t="str">
            <v>Qd1</v>
          </cell>
          <cell r="AF115" t="str">
            <v>Tr2</v>
          </cell>
          <cell r="AG115" t="str">
            <v>Tr2-2000</v>
          </cell>
          <cell r="AH115" t="str">
            <v>2000-Tr2</v>
          </cell>
          <cell r="AI115">
            <v>4</v>
          </cell>
          <cell r="AJ115" t="str">
            <v>04</v>
          </cell>
        </row>
        <row r="116">
          <cell r="AA116" t="str">
            <v>Aaa</v>
          </cell>
          <cell r="AB116">
            <v>36621</v>
          </cell>
          <cell r="AC116">
            <v>2000</v>
          </cell>
          <cell r="AD116" t="str">
            <v>St1</v>
          </cell>
          <cell r="AE116" t="str">
            <v>Qd1</v>
          </cell>
          <cell r="AF116" t="str">
            <v>Tr2</v>
          </cell>
          <cell r="AG116" t="str">
            <v>Tr2-2000</v>
          </cell>
          <cell r="AH116" t="str">
            <v>2000-Tr2</v>
          </cell>
          <cell r="AI116">
            <v>4</v>
          </cell>
          <cell r="AJ116" t="str">
            <v>04</v>
          </cell>
        </row>
        <row r="117">
          <cell r="AA117" t="str">
            <v>Aaa</v>
          </cell>
          <cell r="AB117">
            <v>36622</v>
          </cell>
          <cell r="AC117">
            <v>2000</v>
          </cell>
          <cell r="AD117" t="str">
            <v>St1</v>
          </cell>
          <cell r="AE117" t="str">
            <v>Qd1</v>
          </cell>
          <cell r="AF117" t="str">
            <v>Tr2</v>
          </cell>
          <cell r="AG117" t="str">
            <v>Tr2-2000</v>
          </cell>
          <cell r="AH117" t="str">
            <v>2000-Tr2</v>
          </cell>
          <cell r="AI117">
            <v>4</v>
          </cell>
          <cell r="AJ117" t="str">
            <v>04</v>
          </cell>
        </row>
        <row r="118">
          <cell r="AA118" t="str">
            <v>Aaa</v>
          </cell>
          <cell r="AB118">
            <v>36623</v>
          </cell>
          <cell r="AC118">
            <v>2000</v>
          </cell>
          <cell r="AD118" t="str">
            <v>St1</v>
          </cell>
          <cell r="AE118" t="str">
            <v>Qd1</v>
          </cell>
          <cell r="AF118" t="str">
            <v>Tr2</v>
          </cell>
          <cell r="AG118" t="str">
            <v>Tr2-2000</v>
          </cell>
          <cell r="AH118" t="str">
            <v>2000-Tr2</v>
          </cell>
          <cell r="AI118">
            <v>4</v>
          </cell>
          <cell r="AJ118" t="str">
            <v>04</v>
          </cell>
        </row>
        <row r="119">
          <cell r="AA119" t="str">
            <v>Aaa</v>
          </cell>
          <cell r="AB119">
            <v>36624</v>
          </cell>
          <cell r="AC119">
            <v>2000</v>
          </cell>
          <cell r="AD119" t="str">
            <v>St1</v>
          </cell>
          <cell r="AE119" t="str">
            <v>Qd1</v>
          </cell>
          <cell r="AF119" t="str">
            <v>Tr2</v>
          </cell>
          <cell r="AG119" t="str">
            <v>Tr2-2000</v>
          </cell>
          <cell r="AH119" t="str">
            <v>2000-Tr2</v>
          </cell>
          <cell r="AI119">
            <v>4</v>
          </cell>
          <cell r="AJ119" t="str">
            <v>04</v>
          </cell>
        </row>
        <row r="120">
          <cell r="AA120" t="str">
            <v>Aaa</v>
          </cell>
          <cell r="AB120">
            <v>36625</v>
          </cell>
          <cell r="AC120">
            <v>2000</v>
          </cell>
          <cell r="AD120" t="str">
            <v>St1</v>
          </cell>
          <cell r="AE120" t="str">
            <v>Qd1</v>
          </cell>
          <cell r="AF120" t="str">
            <v>Tr2</v>
          </cell>
          <cell r="AG120" t="str">
            <v>Tr2-2000</v>
          </cell>
          <cell r="AH120" t="str">
            <v>2000-Tr2</v>
          </cell>
          <cell r="AI120">
            <v>4</v>
          </cell>
          <cell r="AJ120" t="str">
            <v>04</v>
          </cell>
        </row>
        <row r="121">
          <cell r="AA121" t="str">
            <v>Aaa</v>
          </cell>
          <cell r="AB121">
            <v>36626</v>
          </cell>
          <cell r="AC121">
            <v>2000</v>
          </cell>
          <cell r="AD121" t="str">
            <v>St1</v>
          </cell>
          <cell r="AE121" t="str">
            <v>Qd1</v>
          </cell>
          <cell r="AF121" t="str">
            <v>Tr2</v>
          </cell>
          <cell r="AG121" t="str">
            <v>Tr2-2000</v>
          </cell>
          <cell r="AH121" t="str">
            <v>2000-Tr2</v>
          </cell>
          <cell r="AI121">
            <v>4</v>
          </cell>
          <cell r="AJ121" t="str">
            <v>04</v>
          </cell>
        </row>
        <row r="122">
          <cell r="AA122" t="str">
            <v>Aaa</v>
          </cell>
          <cell r="AB122">
            <v>36627</v>
          </cell>
          <cell r="AC122">
            <v>2000</v>
          </cell>
          <cell r="AD122" t="str">
            <v>St1</v>
          </cell>
          <cell r="AE122" t="str">
            <v>Qd1</v>
          </cell>
          <cell r="AF122" t="str">
            <v>Tr2</v>
          </cell>
          <cell r="AG122" t="str">
            <v>Tr2-2000</v>
          </cell>
          <cell r="AH122" t="str">
            <v>2000-Tr2</v>
          </cell>
          <cell r="AI122">
            <v>4</v>
          </cell>
          <cell r="AJ122" t="str">
            <v>04</v>
          </cell>
        </row>
        <row r="123">
          <cell r="AA123" t="str">
            <v>Aaa</v>
          </cell>
          <cell r="AB123">
            <v>36628</v>
          </cell>
          <cell r="AC123">
            <v>2000</v>
          </cell>
          <cell r="AD123" t="str">
            <v>St1</v>
          </cell>
          <cell r="AE123" t="str">
            <v>Qd1</v>
          </cell>
          <cell r="AF123" t="str">
            <v>Tr2</v>
          </cell>
          <cell r="AG123" t="str">
            <v>Tr2-2000</v>
          </cell>
          <cell r="AH123" t="str">
            <v>2000-Tr2</v>
          </cell>
          <cell r="AI123">
            <v>4</v>
          </cell>
          <cell r="AJ123" t="str">
            <v>04</v>
          </cell>
        </row>
        <row r="124">
          <cell r="AA124" t="str">
            <v>Aaa</v>
          </cell>
          <cell r="AB124">
            <v>36629</v>
          </cell>
          <cell r="AC124">
            <v>2000</v>
          </cell>
          <cell r="AD124" t="str">
            <v>St1</v>
          </cell>
          <cell r="AE124" t="str">
            <v>Qd1</v>
          </cell>
          <cell r="AF124" t="str">
            <v>Tr2</v>
          </cell>
          <cell r="AG124" t="str">
            <v>Tr2-2000</v>
          </cell>
          <cell r="AH124" t="str">
            <v>2000-Tr2</v>
          </cell>
          <cell r="AI124">
            <v>4</v>
          </cell>
          <cell r="AJ124" t="str">
            <v>04</v>
          </cell>
        </row>
        <row r="125">
          <cell r="AA125" t="str">
            <v>Aaa</v>
          </cell>
          <cell r="AB125">
            <v>36630</v>
          </cell>
          <cell r="AC125">
            <v>2000</v>
          </cell>
          <cell r="AD125" t="str">
            <v>St1</v>
          </cell>
          <cell r="AE125" t="str">
            <v>Qd1</v>
          </cell>
          <cell r="AF125" t="str">
            <v>Tr2</v>
          </cell>
          <cell r="AG125" t="str">
            <v>Tr2-2000</v>
          </cell>
          <cell r="AH125" t="str">
            <v>2000-Tr2</v>
          </cell>
          <cell r="AI125">
            <v>4</v>
          </cell>
          <cell r="AJ125" t="str">
            <v>04</v>
          </cell>
        </row>
        <row r="126">
          <cell r="AA126" t="str">
            <v>Aaa</v>
          </cell>
          <cell r="AB126">
            <v>36631</v>
          </cell>
          <cell r="AC126">
            <v>2000</v>
          </cell>
          <cell r="AD126" t="str">
            <v>St1</v>
          </cell>
          <cell r="AE126" t="str">
            <v>Qd1</v>
          </cell>
          <cell r="AF126" t="str">
            <v>Tr2</v>
          </cell>
          <cell r="AG126" t="str">
            <v>Tr2-2000</v>
          </cell>
          <cell r="AH126" t="str">
            <v>2000-Tr2</v>
          </cell>
          <cell r="AI126">
            <v>4</v>
          </cell>
          <cell r="AJ126" t="str">
            <v>04</v>
          </cell>
        </row>
        <row r="127">
          <cell r="AA127" t="str">
            <v>Aaa</v>
          </cell>
          <cell r="AB127">
            <v>36632</v>
          </cell>
          <cell r="AC127">
            <v>2000</v>
          </cell>
          <cell r="AD127" t="str">
            <v>St1</v>
          </cell>
          <cell r="AE127" t="str">
            <v>Qd1</v>
          </cell>
          <cell r="AF127" t="str">
            <v>Tr2</v>
          </cell>
          <cell r="AG127" t="str">
            <v>Tr2-2000</v>
          </cell>
          <cell r="AH127" t="str">
            <v>2000-Tr2</v>
          </cell>
          <cell r="AI127">
            <v>4</v>
          </cell>
          <cell r="AJ127" t="str">
            <v>04</v>
          </cell>
        </row>
        <row r="128">
          <cell r="AA128" t="str">
            <v>Aaa</v>
          </cell>
          <cell r="AB128">
            <v>36633</v>
          </cell>
          <cell r="AC128">
            <v>2000</v>
          </cell>
          <cell r="AD128" t="str">
            <v>St1</v>
          </cell>
          <cell r="AE128" t="str">
            <v>Qd1</v>
          </cell>
          <cell r="AF128" t="str">
            <v>Tr2</v>
          </cell>
          <cell r="AG128" t="str">
            <v>Tr2-2000</v>
          </cell>
          <cell r="AH128" t="str">
            <v>2000-Tr2</v>
          </cell>
          <cell r="AI128">
            <v>4</v>
          </cell>
          <cell r="AJ128" t="str">
            <v>04</v>
          </cell>
        </row>
        <row r="129">
          <cell r="AA129" t="str">
            <v>Aaa</v>
          </cell>
          <cell r="AB129">
            <v>36634</v>
          </cell>
          <cell r="AC129">
            <v>2000</v>
          </cell>
          <cell r="AD129" t="str">
            <v>St1</v>
          </cell>
          <cell r="AE129" t="str">
            <v>Qd1</v>
          </cell>
          <cell r="AF129" t="str">
            <v>Tr2</v>
          </cell>
          <cell r="AG129" t="str">
            <v>Tr2-2000</v>
          </cell>
          <cell r="AH129" t="str">
            <v>2000-Tr2</v>
          </cell>
          <cell r="AI129">
            <v>4</v>
          </cell>
          <cell r="AJ129" t="str">
            <v>04</v>
          </cell>
        </row>
        <row r="130">
          <cell r="AA130" t="str">
            <v>Aaa</v>
          </cell>
          <cell r="AB130">
            <v>36635</v>
          </cell>
          <cell r="AC130">
            <v>2000</v>
          </cell>
          <cell r="AD130" t="str">
            <v>St1</v>
          </cell>
          <cell r="AE130" t="str">
            <v>Qd1</v>
          </cell>
          <cell r="AF130" t="str">
            <v>Tr2</v>
          </cell>
          <cell r="AG130" t="str">
            <v>Tr2-2000</v>
          </cell>
          <cell r="AH130" t="str">
            <v>2000-Tr2</v>
          </cell>
          <cell r="AI130">
            <v>4</v>
          </cell>
          <cell r="AJ130" t="str">
            <v>04</v>
          </cell>
        </row>
        <row r="131">
          <cell r="AA131" t="str">
            <v>Aaa</v>
          </cell>
          <cell r="AB131">
            <v>36636</v>
          </cell>
          <cell r="AC131">
            <v>2000</v>
          </cell>
          <cell r="AD131" t="str">
            <v>St1</v>
          </cell>
          <cell r="AE131" t="str">
            <v>Qd1</v>
          </cell>
          <cell r="AF131" t="str">
            <v>Tr2</v>
          </cell>
          <cell r="AG131" t="str">
            <v>Tr2-2000</v>
          </cell>
          <cell r="AH131" t="str">
            <v>2000-Tr2</v>
          </cell>
          <cell r="AI131">
            <v>4</v>
          </cell>
          <cell r="AJ131" t="str">
            <v>04</v>
          </cell>
        </row>
        <row r="132">
          <cell r="AA132" t="str">
            <v>Aaa</v>
          </cell>
          <cell r="AB132">
            <v>36637</v>
          </cell>
          <cell r="AC132">
            <v>2000</v>
          </cell>
          <cell r="AD132" t="str">
            <v>St1</v>
          </cell>
          <cell r="AE132" t="str">
            <v>Qd1</v>
          </cell>
          <cell r="AF132" t="str">
            <v>Tr2</v>
          </cell>
          <cell r="AG132" t="str">
            <v>Tr2-2000</v>
          </cell>
          <cell r="AH132" t="str">
            <v>2000-Tr2</v>
          </cell>
          <cell r="AI132">
            <v>4</v>
          </cell>
          <cell r="AJ132" t="str">
            <v>04</v>
          </cell>
        </row>
        <row r="133">
          <cell r="AA133" t="str">
            <v>Aaa</v>
          </cell>
          <cell r="AB133">
            <v>36638</v>
          </cell>
          <cell r="AC133">
            <v>2000</v>
          </cell>
          <cell r="AD133" t="str">
            <v>St1</v>
          </cell>
          <cell r="AE133" t="str">
            <v>Qd1</v>
          </cell>
          <cell r="AF133" t="str">
            <v>Tr2</v>
          </cell>
          <cell r="AG133" t="str">
            <v>Tr2-2000</v>
          </cell>
          <cell r="AH133" t="str">
            <v>2000-Tr2</v>
          </cell>
          <cell r="AI133">
            <v>4</v>
          </cell>
          <cell r="AJ133" t="str">
            <v>04</v>
          </cell>
        </row>
        <row r="134">
          <cell r="AA134" t="str">
            <v>Aaa</v>
          </cell>
          <cell r="AB134">
            <v>36639</v>
          </cell>
          <cell r="AC134">
            <v>2000</v>
          </cell>
          <cell r="AD134" t="str">
            <v>St1</v>
          </cell>
          <cell r="AE134" t="str">
            <v>Qd1</v>
          </cell>
          <cell r="AF134" t="str">
            <v>Tr2</v>
          </cell>
          <cell r="AG134" t="str">
            <v>Tr2-2000</v>
          </cell>
          <cell r="AH134" t="str">
            <v>2000-Tr2</v>
          </cell>
          <cell r="AI134">
            <v>4</v>
          </cell>
          <cell r="AJ134" t="str">
            <v>04</v>
          </cell>
        </row>
        <row r="135">
          <cell r="AA135" t="str">
            <v>Aaa</v>
          </cell>
          <cell r="AB135">
            <v>36640</v>
          </cell>
          <cell r="AC135">
            <v>2000</v>
          </cell>
          <cell r="AD135" t="str">
            <v>St1</v>
          </cell>
          <cell r="AE135" t="str">
            <v>Qd1</v>
          </cell>
          <cell r="AF135" t="str">
            <v>Tr2</v>
          </cell>
          <cell r="AG135" t="str">
            <v>Tr2-2000</v>
          </cell>
          <cell r="AH135" t="str">
            <v>2000-Tr2</v>
          </cell>
          <cell r="AI135">
            <v>4</v>
          </cell>
          <cell r="AJ135" t="str">
            <v>04</v>
          </cell>
        </row>
        <row r="136">
          <cell r="AA136" t="str">
            <v>Aaa</v>
          </cell>
          <cell r="AB136">
            <v>36641</v>
          </cell>
          <cell r="AC136">
            <v>2000</v>
          </cell>
          <cell r="AD136" t="str">
            <v>St1</v>
          </cell>
          <cell r="AE136" t="str">
            <v>Qd1</v>
          </cell>
          <cell r="AF136" t="str">
            <v>Tr2</v>
          </cell>
          <cell r="AG136" t="str">
            <v>Tr2-2000</v>
          </cell>
          <cell r="AH136" t="str">
            <v>2000-Tr2</v>
          </cell>
          <cell r="AI136">
            <v>4</v>
          </cell>
          <cell r="AJ136" t="str">
            <v>04</v>
          </cell>
        </row>
        <row r="137">
          <cell r="AA137" t="str">
            <v>Aaa</v>
          </cell>
          <cell r="AB137">
            <v>36642</v>
          </cell>
          <cell r="AC137">
            <v>2000</v>
          </cell>
          <cell r="AD137" t="str">
            <v>St1</v>
          </cell>
          <cell r="AE137" t="str">
            <v>Qd1</v>
          </cell>
          <cell r="AF137" t="str">
            <v>Tr2</v>
          </cell>
          <cell r="AG137" t="str">
            <v>Tr2-2000</v>
          </cell>
          <cell r="AH137" t="str">
            <v>2000-Tr2</v>
          </cell>
          <cell r="AI137">
            <v>4</v>
          </cell>
          <cell r="AJ137" t="str">
            <v>04</v>
          </cell>
        </row>
        <row r="138">
          <cell r="AA138" t="str">
            <v>Aaa</v>
          </cell>
          <cell r="AB138">
            <v>36643</v>
          </cell>
          <cell r="AC138">
            <v>2000</v>
          </cell>
          <cell r="AD138" t="str">
            <v>St1</v>
          </cell>
          <cell r="AE138" t="str">
            <v>Qd1</v>
          </cell>
          <cell r="AF138" t="str">
            <v>Tr2</v>
          </cell>
          <cell r="AG138" t="str">
            <v>Tr2-2000</v>
          </cell>
          <cell r="AH138" t="str">
            <v>2000-Tr2</v>
          </cell>
          <cell r="AI138">
            <v>4</v>
          </cell>
          <cell r="AJ138" t="str">
            <v>04</v>
          </cell>
        </row>
        <row r="139">
          <cell r="AA139" t="str">
            <v>Aaa</v>
          </cell>
          <cell r="AB139">
            <v>36644</v>
          </cell>
          <cell r="AC139">
            <v>2000</v>
          </cell>
          <cell r="AD139" t="str">
            <v>St1</v>
          </cell>
          <cell r="AE139" t="str">
            <v>Qd1</v>
          </cell>
          <cell r="AF139" t="str">
            <v>Tr2</v>
          </cell>
          <cell r="AG139" t="str">
            <v>Tr2-2000</v>
          </cell>
          <cell r="AH139" t="str">
            <v>2000-Tr2</v>
          </cell>
          <cell r="AI139">
            <v>4</v>
          </cell>
          <cell r="AJ139" t="str">
            <v>04</v>
          </cell>
        </row>
        <row r="140">
          <cell r="AA140" t="str">
            <v>Aaa</v>
          </cell>
          <cell r="AB140">
            <v>36645</v>
          </cell>
          <cell r="AC140">
            <v>2000</v>
          </cell>
          <cell r="AD140" t="str">
            <v>St1</v>
          </cell>
          <cell r="AE140" t="str">
            <v>Qd1</v>
          </cell>
          <cell r="AF140" t="str">
            <v>Tr2</v>
          </cell>
          <cell r="AG140" t="str">
            <v>Tr2-2000</v>
          </cell>
          <cell r="AH140" t="str">
            <v>2000-Tr2</v>
          </cell>
          <cell r="AI140">
            <v>4</v>
          </cell>
          <cell r="AJ140" t="str">
            <v>04</v>
          </cell>
        </row>
        <row r="141">
          <cell r="AA141" t="str">
            <v>Aaa</v>
          </cell>
          <cell r="AB141">
            <v>36646</v>
          </cell>
          <cell r="AC141">
            <v>2000</v>
          </cell>
          <cell r="AD141" t="str">
            <v>St1</v>
          </cell>
          <cell r="AE141" t="str">
            <v>Qd1</v>
          </cell>
          <cell r="AF141" t="str">
            <v>Tr2</v>
          </cell>
          <cell r="AG141" t="str">
            <v>Tr2-2000</v>
          </cell>
          <cell r="AH141" t="str">
            <v>2000-Tr2</v>
          </cell>
          <cell r="AI141">
            <v>4</v>
          </cell>
          <cell r="AJ141" t="str">
            <v>04</v>
          </cell>
        </row>
        <row r="142">
          <cell r="AA142" t="str">
            <v>Aaa</v>
          </cell>
          <cell r="AB142">
            <v>36647</v>
          </cell>
          <cell r="AC142">
            <v>2000</v>
          </cell>
          <cell r="AD142" t="str">
            <v>St1</v>
          </cell>
          <cell r="AE142" t="str">
            <v>Qd2</v>
          </cell>
          <cell r="AF142" t="str">
            <v>Tr2</v>
          </cell>
          <cell r="AG142" t="str">
            <v>Tr2-2000</v>
          </cell>
          <cell r="AH142" t="str">
            <v>2000-Tr2</v>
          </cell>
          <cell r="AI142">
            <v>5</v>
          </cell>
          <cell r="AJ142" t="str">
            <v>05</v>
          </cell>
        </row>
        <row r="143">
          <cell r="AA143" t="str">
            <v>Aaa</v>
          </cell>
          <cell r="AB143">
            <v>36648</v>
          </cell>
          <cell r="AC143">
            <v>2000</v>
          </cell>
          <cell r="AD143" t="str">
            <v>St1</v>
          </cell>
          <cell r="AE143" t="str">
            <v>Qd2</v>
          </cell>
          <cell r="AF143" t="str">
            <v>Tr2</v>
          </cell>
          <cell r="AG143" t="str">
            <v>Tr2-2000</v>
          </cell>
          <cell r="AH143" t="str">
            <v>2000-Tr2</v>
          </cell>
          <cell r="AI143">
            <v>5</v>
          </cell>
          <cell r="AJ143" t="str">
            <v>05</v>
          </cell>
        </row>
        <row r="144">
          <cell r="AA144" t="str">
            <v>Aaa</v>
          </cell>
          <cell r="AB144">
            <v>36649</v>
          </cell>
          <cell r="AC144">
            <v>2000</v>
          </cell>
          <cell r="AD144" t="str">
            <v>St1</v>
          </cell>
          <cell r="AE144" t="str">
            <v>Qd2</v>
          </cell>
          <cell r="AF144" t="str">
            <v>Tr2</v>
          </cell>
          <cell r="AG144" t="str">
            <v>Tr2-2000</v>
          </cell>
          <cell r="AH144" t="str">
            <v>2000-Tr2</v>
          </cell>
          <cell r="AI144">
            <v>5</v>
          </cell>
          <cell r="AJ144" t="str">
            <v>05</v>
          </cell>
        </row>
        <row r="145">
          <cell r="AA145" t="str">
            <v>Aaa</v>
          </cell>
          <cell r="AB145">
            <v>36650</v>
          </cell>
          <cell r="AC145">
            <v>2000</v>
          </cell>
          <cell r="AD145" t="str">
            <v>St1</v>
          </cell>
          <cell r="AE145" t="str">
            <v>Qd2</v>
          </cell>
          <cell r="AF145" t="str">
            <v>Tr2</v>
          </cell>
          <cell r="AG145" t="str">
            <v>Tr2-2000</v>
          </cell>
          <cell r="AH145" t="str">
            <v>2000-Tr2</v>
          </cell>
          <cell r="AI145">
            <v>5</v>
          </cell>
          <cell r="AJ145" t="str">
            <v>05</v>
          </cell>
        </row>
        <row r="146">
          <cell r="AA146" t="str">
            <v>Aaa</v>
          </cell>
          <cell r="AB146">
            <v>36651</v>
          </cell>
          <cell r="AC146">
            <v>2000</v>
          </cell>
          <cell r="AD146" t="str">
            <v>St1</v>
          </cell>
          <cell r="AE146" t="str">
            <v>Qd2</v>
          </cell>
          <cell r="AF146" t="str">
            <v>Tr2</v>
          </cell>
          <cell r="AG146" t="str">
            <v>Tr2-2000</v>
          </cell>
          <cell r="AH146" t="str">
            <v>2000-Tr2</v>
          </cell>
          <cell r="AI146">
            <v>5</v>
          </cell>
          <cell r="AJ146" t="str">
            <v>05</v>
          </cell>
        </row>
        <row r="147">
          <cell r="AA147" t="str">
            <v>Aaa</v>
          </cell>
          <cell r="AB147">
            <v>36652</v>
          </cell>
          <cell r="AC147">
            <v>2000</v>
          </cell>
          <cell r="AD147" t="str">
            <v>St1</v>
          </cell>
          <cell r="AE147" t="str">
            <v>Qd2</v>
          </cell>
          <cell r="AF147" t="str">
            <v>Tr2</v>
          </cell>
          <cell r="AG147" t="str">
            <v>Tr2-2000</v>
          </cell>
          <cell r="AH147" t="str">
            <v>2000-Tr2</v>
          </cell>
          <cell r="AI147">
            <v>5</v>
          </cell>
          <cell r="AJ147" t="str">
            <v>05</v>
          </cell>
        </row>
        <row r="148">
          <cell r="AA148" t="str">
            <v>Aaa</v>
          </cell>
          <cell r="AB148">
            <v>36653</v>
          </cell>
          <cell r="AC148">
            <v>2000</v>
          </cell>
          <cell r="AD148" t="str">
            <v>St1</v>
          </cell>
          <cell r="AE148" t="str">
            <v>Qd2</v>
          </cell>
          <cell r="AF148" t="str">
            <v>Tr2</v>
          </cell>
          <cell r="AG148" t="str">
            <v>Tr2-2000</v>
          </cell>
          <cell r="AH148" t="str">
            <v>2000-Tr2</v>
          </cell>
          <cell r="AI148">
            <v>5</v>
          </cell>
          <cell r="AJ148" t="str">
            <v>05</v>
          </cell>
        </row>
        <row r="149">
          <cell r="AA149" t="str">
            <v>Aaa</v>
          </cell>
          <cell r="AB149">
            <v>36654</v>
          </cell>
          <cell r="AC149">
            <v>2000</v>
          </cell>
          <cell r="AD149" t="str">
            <v>St1</v>
          </cell>
          <cell r="AE149" t="str">
            <v>Qd2</v>
          </cell>
          <cell r="AF149" t="str">
            <v>Tr2</v>
          </cell>
          <cell r="AG149" t="str">
            <v>Tr2-2000</v>
          </cell>
          <cell r="AH149" t="str">
            <v>2000-Tr2</v>
          </cell>
          <cell r="AI149">
            <v>5</v>
          </cell>
          <cell r="AJ149" t="str">
            <v>05</v>
          </cell>
        </row>
        <row r="150">
          <cell r="AA150" t="str">
            <v>Aaa</v>
          </cell>
          <cell r="AB150">
            <v>36655</v>
          </cell>
          <cell r="AC150">
            <v>2000</v>
          </cell>
          <cell r="AD150" t="str">
            <v>St1</v>
          </cell>
          <cell r="AE150" t="str">
            <v>Qd2</v>
          </cell>
          <cell r="AF150" t="str">
            <v>Tr2</v>
          </cell>
          <cell r="AG150" t="str">
            <v>Tr2-2000</v>
          </cell>
          <cell r="AH150" t="str">
            <v>2000-Tr2</v>
          </cell>
          <cell r="AI150">
            <v>5</v>
          </cell>
          <cell r="AJ150" t="str">
            <v>05</v>
          </cell>
        </row>
        <row r="151">
          <cell r="AA151" t="str">
            <v>Aaa</v>
          </cell>
          <cell r="AB151">
            <v>36656</v>
          </cell>
          <cell r="AC151">
            <v>2000</v>
          </cell>
          <cell r="AD151" t="str">
            <v>St1</v>
          </cell>
          <cell r="AE151" t="str">
            <v>Qd2</v>
          </cell>
          <cell r="AF151" t="str">
            <v>Tr2</v>
          </cell>
          <cell r="AG151" t="str">
            <v>Tr2-2000</v>
          </cell>
          <cell r="AH151" t="str">
            <v>2000-Tr2</v>
          </cell>
          <cell r="AI151">
            <v>5</v>
          </cell>
          <cell r="AJ151" t="str">
            <v>05</v>
          </cell>
        </row>
        <row r="152">
          <cell r="AA152" t="str">
            <v>Aaa</v>
          </cell>
          <cell r="AB152">
            <v>36657</v>
          </cell>
          <cell r="AC152">
            <v>2000</v>
          </cell>
          <cell r="AD152" t="str">
            <v>St1</v>
          </cell>
          <cell r="AE152" t="str">
            <v>Qd2</v>
          </cell>
          <cell r="AF152" t="str">
            <v>Tr2</v>
          </cell>
          <cell r="AG152" t="str">
            <v>Tr2-2000</v>
          </cell>
          <cell r="AH152" t="str">
            <v>2000-Tr2</v>
          </cell>
          <cell r="AI152">
            <v>5</v>
          </cell>
          <cell r="AJ152" t="str">
            <v>05</v>
          </cell>
        </row>
        <row r="153">
          <cell r="AA153" t="str">
            <v>Aaa</v>
          </cell>
          <cell r="AB153">
            <v>36658</v>
          </cell>
          <cell r="AC153">
            <v>2000</v>
          </cell>
          <cell r="AD153" t="str">
            <v>St1</v>
          </cell>
          <cell r="AE153" t="str">
            <v>Qd2</v>
          </cell>
          <cell r="AF153" t="str">
            <v>Tr2</v>
          </cell>
          <cell r="AG153" t="str">
            <v>Tr2-2000</v>
          </cell>
          <cell r="AH153" t="str">
            <v>2000-Tr2</v>
          </cell>
          <cell r="AI153">
            <v>5</v>
          </cell>
          <cell r="AJ153" t="str">
            <v>05</v>
          </cell>
        </row>
        <row r="154">
          <cell r="AA154" t="str">
            <v>Aaa</v>
          </cell>
          <cell r="AB154">
            <v>36659</v>
          </cell>
          <cell r="AC154">
            <v>2000</v>
          </cell>
          <cell r="AD154" t="str">
            <v>St1</v>
          </cell>
          <cell r="AE154" t="str">
            <v>Qd2</v>
          </cell>
          <cell r="AF154" t="str">
            <v>Tr2</v>
          </cell>
          <cell r="AG154" t="str">
            <v>Tr2-2000</v>
          </cell>
          <cell r="AH154" t="str">
            <v>2000-Tr2</v>
          </cell>
          <cell r="AI154">
            <v>5</v>
          </cell>
          <cell r="AJ154" t="str">
            <v>05</v>
          </cell>
        </row>
        <row r="155">
          <cell r="AA155" t="str">
            <v>Aaa</v>
          </cell>
          <cell r="AB155">
            <v>36660</v>
          </cell>
          <cell r="AC155">
            <v>2000</v>
          </cell>
          <cell r="AD155" t="str">
            <v>St1</v>
          </cell>
          <cell r="AE155" t="str">
            <v>Qd2</v>
          </cell>
          <cell r="AF155" t="str">
            <v>Tr2</v>
          </cell>
          <cell r="AG155" t="str">
            <v>Tr2-2000</v>
          </cell>
          <cell r="AH155" t="str">
            <v>2000-Tr2</v>
          </cell>
          <cell r="AI155">
            <v>5</v>
          </cell>
          <cell r="AJ155" t="str">
            <v>05</v>
          </cell>
        </row>
        <row r="156">
          <cell r="AA156" t="str">
            <v>Aaa</v>
          </cell>
          <cell r="AB156">
            <v>36661</v>
          </cell>
          <cell r="AC156">
            <v>2000</v>
          </cell>
          <cell r="AD156" t="str">
            <v>St1</v>
          </cell>
          <cell r="AE156" t="str">
            <v>Qd2</v>
          </cell>
          <cell r="AF156" t="str">
            <v>Tr2</v>
          </cell>
          <cell r="AG156" t="str">
            <v>Tr2-2000</v>
          </cell>
          <cell r="AH156" t="str">
            <v>2000-Tr2</v>
          </cell>
          <cell r="AI156">
            <v>5</v>
          </cell>
          <cell r="AJ156" t="str">
            <v>05</v>
          </cell>
        </row>
        <row r="157">
          <cell r="AA157" t="str">
            <v>Aaa</v>
          </cell>
          <cell r="AB157">
            <v>36662</v>
          </cell>
          <cell r="AC157">
            <v>2000</v>
          </cell>
          <cell r="AD157" t="str">
            <v>St1</v>
          </cell>
          <cell r="AE157" t="str">
            <v>Qd2</v>
          </cell>
          <cell r="AF157" t="str">
            <v>Tr2</v>
          </cell>
          <cell r="AG157" t="str">
            <v>Tr2-2000</v>
          </cell>
          <cell r="AH157" t="str">
            <v>2000-Tr2</v>
          </cell>
          <cell r="AI157">
            <v>5</v>
          </cell>
          <cell r="AJ157" t="str">
            <v>05</v>
          </cell>
        </row>
        <row r="158">
          <cell r="AA158" t="str">
            <v>Aaa</v>
          </cell>
          <cell r="AB158">
            <v>36663</v>
          </cell>
          <cell r="AC158">
            <v>2000</v>
          </cell>
          <cell r="AD158" t="str">
            <v>St1</v>
          </cell>
          <cell r="AE158" t="str">
            <v>Qd2</v>
          </cell>
          <cell r="AF158" t="str">
            <v>Tr2</v>
          </cell>
          <cell r="AG158" t="str">
            <v>Tr2-2000</v>
          </cell>
          <cell r="AH158" t="str">
            <v>2000-Tr2</v>
          </cell>
          <cell r="AI158">
            <v>5</v>
          </cell>
          <cell r="AJ158" t="str">
            <v>05</v>
          </cell>
        </row>
        <row r="159">
          <cell r="AA159" t="str">
            <v>Aaa</v>
          </cell>
          <cell r="AB159">
            <v>36664</v>
          </cell>
          <cell r="AC159">
            <v>2000</v>
          </cell>
          <cell r="AD159" t="str">
            <v>St1</v>
          </cell>
          <cell r="AE159" t="str">
            <v>Qd2</v>
          </cell>
          <cell r="AF159" t="str">
            <v>Tr2</v>
          </cell>
          <cell r="AG159" t="str">
            <v>Tr2-2000</v>
          </cell>
          <cell r="AH159" t="str">
            <v>2000-Tr2</v>
          </cell>
          <cell r="AI159">
            <v>5</v>
          </cell>
          <cell r="AJ159" t="str">
            <v>05</v>
          </cell>
        </row>
        <row r="160">
          <cell r="AA160" t="str">
            <v>Aaa</v>
          </cell>
          <cell r="AB160">
            <v>36665</v>
          </cell>
          <cell r="AC160">
            <v>2000</v>
          </cell>
          <cell r="AD160" t="str">
            <v>St1</v>
          </cell>
          <cell r="AE160" t="str">
            <v>Qd2</v>
          </cell>
          <cell r="AF160" t="str">
            <v>Tr2</v>
          </cell>
          <cell r="AG160" t="str">
            <v>Tr2-2000</v>
          </cell>
          <cell r="AH160" t="str">
            <v>2000-Tr2</v>
          </cell>
          <cell r="AI160">
            <v>5</v>
          </cell>
          <cell r="AJ160" t="str">
            <v>05</v>
          </cell>
        </row>
        <row r="161">
          <cell r="AA161" t="str">
            <v>Aaa</v>
          </cell>
          <cell r="AB161">
            <v>36666</v>
          </cell>
          <cell r="AC161">
            <v>2000</v>
          </cell>
          <cell r="AD161" t="str">
            <v>St1</v>
          </cell>
          <cell r="AE161" t="str">
            <v>Qd2</v>
          </cell>
          <cell r="AF161" t="str">
            <v>Tr2</v>
          </cell>
          <cell r="AG161" t="str">
            <v>Tr2-2000</v>
          </cell>
          <cell r="AH161" t="str">
            <v>2000-Tr2</v>
          </cell>
          <cell r="AI161">
            <v>5</v>
          </cell>
          <cell r="AJ161" t="str">
            <v>05</v>
          </cell>
        </row>
        <row r="162">
          <cell r="AA162" t="str">
            <v>Aaa</v>
          </cell>
          <cell r="AB162">
            <v>36667</v>
          </cell>
          <cell r="AC162">
            <v>2000</v>
          </cell>
          <cell r="AD162" t="str">
            <v>St1</v>
          </cell>
          <cell r="AE162" t="str">
            <v>Qd2</v>
          </cell>
          <cell r="AF162" t="str">
            <v>Tr2</v>
          </cell>
          <cell r="AG162" t="str">
            <v>Tr2-2000</v>
          </cell>
          <cell r="AH162" t="str">
            <v>2000-Tr2</v>
          </cell>
          <cell r="AI162">
            <v>5</v>
          </cell>
          <cell r="AJ162" t="str">
            <v>05</v>
          </cell>
        </row>
        <row r="163">
          <cell r="AA163" t="str">
            <v>Aaa</v>
          </cell>
          <cell r="AB163">
            <v>36668</v>
          </cell>
          <cell r="AC163">
            <v>2000</v>
          </cell>
          <cell r="AD163" t="str">
            <v>St1</v>
          </cell>
          <cell r="AE163" t="str">
            <v>Qd2</v>
          </cell>
          <cell r="AF163" t="str">
            <v>Tr2</v>
          </cell>
          <cell r="AG163" t="str">
            <v>Tr2-2000</v>
          </cell>
          <cell r="AH163" t="str">
            <v>2000-Tr2</v>
          </cell>
          <cell r="AI163">
            <v>5</v>
          </cell>
          <cell r="AJ163" t="str">
            <v>05</v>
          </cell>
        </row>
        <row r="164">
          <cell r="AA164" t="str">
            <v>Aaa</v>
          </cell>
          <cell r="AB164">
            <v>36669</v>
          </cell>
          <cell r="AC164">
            <v>2000</v>
          </cell>
          <cell r="AD164" t="str">
            <v>St1</v>
          </cell>
          <cell r="AE164" t="str">
            <v>Qd2</v>
          </cell>
          <cell r="AF164" t="str">
            <v>Tr2</v>
          </cell>
          <cell r="AG164" t="str">
            <v>Tr2-2000</v>
          </cell>
          <cell r="AH164" t="str">
            <v>2000-Tr2</v>
          </cell>
          <cell r="AI164">
            <v>5</v>
          </cell>
          <cell r="AJ164" t="str">
            <v>05</v>
          </cell>
        </row>
        <row r="165">
          <cell r="AA165" t="str">
            <v>Aaa</v>
          </cell>
          <cell r="AB165">
            <v>36670</v>
          </cell>
          <cell r="AC165">
            <v>2000</v>
          </cell>
          <cell r="AD165" t="str">
            <v>St1</v>
          </cell>
          <cell r="AE165" t="str">
            <v>Qd2</v>
          </cell>
          <cell r="AF165" t="str">
            <v>Tr2</v>
          </cell>
          <cell r="AG165" t="str">
            <v>Tr2-2000</v>
          </cell>
          <cell r="AH165" t="str">
            <v>2000-Tr2</v>
          </cell>
          <cell r="AI165">
            <v>5</v>
          </cell>
          <cell r="AJ165" t="str">
            <v>05</v>
          </cell>
        </row>
        <row r="166">
          <cell r="AA166" t="str">
            <v>Aaa</v>
          </cell>
          <cell r="AB166">
            <v>36671</v>
          </cell>
          <cell r="AC166">
            <v>2000</v>
          </cell>
          <cell r="AD166" t="str">
            <v>St1</v>
          </cell>
          <cell r="AE166" t="str">
            <v>Qd2</v>
          </cell>
          <cell r="AF166" t="str">
            <v>Tr2</v>
          </cell>
          <cell r="AG166" t="str">
            <v>Tr2-2000</v>
          </cell>
          <cell r="AH166" t="str">
            <v>2000-Tr2</v>
          </cell>
          <cell r="AI166">
            <v>5</v>
          </cell>
          <cell r="AJ166" t="str">
            <v>05</v>
          </cell>
        </row>
        <row r="167">
          <cell r="AA167" t="str">
            <v>Aaa</v>
          </cell>
          <cell r="AB167">
            <v>36672</v>
          </cell>
          <cell r="AC167">
            <v>2000</v>
          </cell>
          <cell r="AD167" t="str">
            <v>St1</v>
          </cell>
          <cell r="AE167" t="str">
            <v>Qd2</v>
          </cell>
          <cell r="AF167" t="str">
            <v>Tr2</v>
          </cell>
          <cell r="AG167" t="str">
            <v>Tr2-2000</v>
          </cell>
          <cell r="AH167" t="str">
            <v>2000-Tr2</v>
          </cell>
          <cell r="AI167">
            <v>5</v>
          </cell>
          <cell r="AJ167" t="str">
            <v>05</v>
          </cell>
        </row>
        <row r="168">
          <cell r="AA168" t="str">
            <v>Aaa</v>
          </cell>
          <cell r="AB168">
            <v>36673</v>
          </cell>
          <cell r="AC168">
            <v>2000</v>
          </cell>
          <cell r="AD168" t="str">
            <v>St1</v>
          </cell>
          <cell r="AE168" t="str">
            <v>Qd2</v>
          </cell>
          <cell r="AF168" t="str">
            <v>Tr2</v>
          </cell>
          <cell r="AG168" t="str">
            <v>Tr2-2000</v>
          </cell>
          <cell r="AH168" t="str">
            <v>2000-Tr2</v>
          </cell>
          <cell r="AI168">
            <v>5</v>
          </cell>
          <cell r="AJ168" t="str">
            <v>05</v>
          </cell>
        </row>
        <row r="169">
          <cell r="AA169" t="str">
            <v>Aaa</v>
          </cell>
          <cell r="AB169">
            <v>36674</v>
          </cell>
          <cell r="AC169">
            <v>2000</v>
          </cell>
          <cell r="AD169" t="str">
            <v>St1</v>
          </cell>
          <cell r="AE169" t="str">
            <v>Qd2</v>
          </cell>
          <cell r="AF169" t="str">
            <v>Tr2</v>
          </cell>
          <cell r="AG169" t="str">
            <v>Tr2-2000</v>
          </cell>
          <cell r="AH169" t="str">
            <v>2000-Tr2</v>
          </cell>
          <cell r="AI169">
            <v>5</v>
          </cell>
          <cell r="AJ169" t="str">
            <v>05</v>
          </cell>
        </row>
        <row r="170">
          <cell r="AA170" t="str">
            <v>Aaa</v>
          </cell>
          <cell r="AB170">
            <v>36675</v>
          </cell>
          <cell r="AC170">
            <v>2000</v>
          </cell>
          <cell r="AD170" t="str">
            <v>St1</v>
          </cell>
          <cell r="AE170" t="str">
            <v>Qd2</v>
          </cell>
          <cell r="AF170" t="str">
            <v>Tr2</v>
          </cell>
          <cell r="AG170" t="str">
            <v>Tr2-2000</v>
          </cell>
          <cell r="AH170" t="str">
            <v>2000-Tr2</v>
          </cell>
          <cell r="AI170">
            <v>5</v>
          </cell>
          <cell r="AJ170" t="str">
            <v>05</v>
          </cell>
        </row>
        <row r="171">
          <cell r="AA171" t="str">
            <v>Aaa</v>
          </cell>
          <cell r="AB171">
            <v>36676</v>
          </cell>
          <cell r="AC171">
            <v>2000</v>
          </cell>
          <cell r="AD171" t="str">
            <v>St1</v>
          </cell>
          <cell r="AE171" t="str">
            <v>Qd2</v>
          </cell>
          <cell r="AF171" t="str">
            <v>Tr2</v>
          </cell>
          <cell r="AG171" t="str">
            <v>Tr2-2000</v>
          </cell>
          <cell r="AH171" t="str">
            <v>2000-Tr2</v>
          </cell>
          <cell r="AI171">
            <v>5</v>
          </cell>
          <cell r="AJ171" t="str">
            <v>05</v>
          </cell>
        </row>
        <row r="172">
          <cell r="AA172" t="str">
            <v>Aaa</v>
          </cell>
          <cell r="AB172">
            <v>36677</v>
          </cell>
          <cell r="AC172">
            <v>2000</v>
          </cell>
          <cell r="AD172" t="str">
            <v>St1</v>
          </cell>
          <cell r="AE172" t="str">
            <v>Qd2</v>
          </cell>
          <cell r="AF172" t="str">
            <v>Tr2</v>
          </cell>
          <cell r="AG172" t="str">
            <v>Tr2-2000</v>
          </cell>
          <cell r="AH172" t="str">
            <v>2000-Tr2</v>
          </cell>
          <cell r="AI172">
            <v>5</v>
          </cell>
          <cell r="AJ172" t="str">
            <v>05</v>
          </cell>
        </row>
        <row r="173">
          <cell r="AA173" t="str">
            <v>Aaa</v>
          </cell>
          <cell r="AB173">
            <v>36678</v>
          </cell>
          <cell r="AC173">
            <v>2000</v>
          </cell>
          <cell r="AD173" t="str">
            <v>St1</v>
          </cell>
          <cell r="AE173" t="str">
            <v>Qd2</v>
          </cell>
          <cell r="AF173" t="str">
            <v>Tr2</v>
          </cell>
          <cell r="AG173" t="str">
            <v>Tr2-2000</v>
          </cell>
          <cell r="AH173" t="str">
            <v>2000-Tr2</v>
          </cell>
          <cell r="AI173">
            <v>6</v>
          </cell>
          <cell r="AJ173" t="str">
            <v>06</v>
          </cell>
        </row>
        <row r="174">
          <cell r="AA174" t="str">
            <v>Aaa</v>
          </cell>
          <cell r="AB174">
            <v>36679</v>
          </cell>
          <cell r="AC174">
            <v>2000</v>
          </cell>
          <cell r="AD174" t="str">
            <v>St1</v>
          </cell>
          <cell r="AE174" t="str">
            <v>Qd2</v>
          </cell>
          <cell r="AF174" t="str">
            <v>Tr2</v>
          </cell>
          <cell r="AG174" t="str">
            <v>Tr2-2000</v>
          </cell>
          <cell r="AH174" t="str">
            <v>2000-Tr2</v>
          </cell>
          <cell r="AI174">
            <v>6</v>
          </cell>
          <cell r="AJ174" t="str">
            <v>06</v>
          </cell>
        </row>
        <row r="175">
          <cell r="AA175" t="str">
            <v>Aaa</v>
          </cell>
          <cell r="AB175">
            <v>36680</v>
          </cell>
          <cell r="AC175">
            <v>2000</v>
          </cell>
          <cell r="AD175" t="str">
            <v>St1</v>
          </cell>
          <cell r="AE175" t="str">
            <v>Qd2</v>
          </cell>
          <cell r="AF175" t="str">
            <v>Tr2</v>
          </cell>
          <cell r="AG175" t="str">
            <v>Tr2-2000</v>
          </cell>
          <cell r="AH175" t="str">
            <v>2000-Tr2</v>
          </cell>
          <cell r="AI175">
            <v>6</v>
          </cell>
          <cell r="AJ175" t="str">
            <v>06</v>
          </cell>
        </row>
        <row r="176">
          <cell r="AA176" t="str">
            <v>Aaa</v>
          </cell>
          <cell r="AB176">
            <v>36681</v>
          </cell>
          <cell r="AC176">
            <v>2000</v>
          </cell>
          <cell r="AD176" t="str">
            <v>St1</v>
          </cell>
          <cell r="AE176" t="str">
            <v>Qd2</v>
          </cell>
          <cell r="AF176" t="str">
            <v>Tr2</v>
          </cell>
          <cell r="AG176" t="str">
            <v>Tr2-2000</v>
          </cell>
          <cell r="AH176" t="str">
            <v>2000-Tr2</v>
          </cell>
          <cell r="AI176">
            <v>6</v>
          </cell>
          <cell r="AJ176" t="str">
            <v>06</v>
          </cell>
        </row>
        <row r="177">
          <cell r="AA177" t="str">
            <v>Aaa</v>
          </cell>
          <cell r="AB177">
            <v>36682</v>
          </cell>
          <cell r="AC177">
            <v>2000</v>
          </cell>
          <cell r="AD177" t="str">
            <v>St1</v>
          </cell>
          <cell r="AE177" t="str">
            <v>Qd2</v>
          </cell>
          <cell r="AF177" t="str">
            <v>Tr2</v>
          </cell>
          <cell r="AG177" t="str">
            <v>Tr2-2000</v>
          </cell>
          <cell r="AH177" t="str">
            <v>2000-Tr2</v>
          </cell>
          <cell r="AI177">
            <v>6</v>
          </cell>
          <cell r="AJ177" t="str">
            <v>06</v>
          </cell>
        </row>
        <row r="178">
          <cell r="AA178" t="str">
            <v>Aaa</v>
          </cell>
          <cell r="AB178">
            <v>36683</v>
          </cell>
          <cell r="AC178">
            <v>2000</v>
          </cell>
          <cell r="AD178" t="str">
            <v>St1</v>
          </cell>
          <cell r="AE178" t="str">
            <v>Qd2</v>
          </cell>
          <cell r="AF178" t="str">
            <v>Tr2</v>
          </cell>
          <cell r="AG178" t="str">
            <v>Tr2-2000</v>
          </cell>
          <cell r="AH178" t="str">
            <v>2000-Tr2</v>
          </cell>
          <cell r="AI178">
            <v>6</v>
          </cell>
          <cell r="AJ178" t="str">
            <v>06</v>
          </cell>
        </row>
        <row r="179">
          <cell r="AA179" t="str">
            <v>Aaa</v>
          </cell>
          <cell r="AB179">
            <v>36684</v>
          </cell>
          <cell r="AC179">
            <v>2000</v>
          </cell>
          <cell r="AD179" t="str">
            <v>St1</v>
          </cell>
          <cell r="AE179" t="str">
            <v>Qd2</v>
          </cell>
          <cell r="AF179" t="str">
            <v>Tr2</v>
          </cell>
          <cell r="AG179" t="str">
            <v>Tr2-2000</v>
          </cell>
          <cell r="AH179" t="str">
            <v>2000-Tr2</v>
          </cell>
          <cell r="AI179">
            <v>6</v>
          </cell>
          <cell r="AJ179" t="str">
            <v>06</v>
          </cell>
        </row>
        <row r="180">
          <cell r="AA180" t="str">
            <v>Aaa</v>
          </cell>
          <cell r="AB180">
            <v>36685</v>
          </cell>
          <cell r="AC180">
            <v>2000</v>
          </cell>
          <cell r="AD180" t="str">
            <v>St1</v>
          </cell>
          <cell r="AE180" t="str">
            <v>Qd2</v>
          </cell>
          <cell r="AF180" t="str">
            <v>Tr2</v>
          </cell>
          <cell r="AG180" t="str">
            <v>Tr2-2000</v>
          </cell>
          <cell r="AH180" t="str">
            <v>2000-Tr2</v>
          </cell>
          <cell r="AI180">
            <v>6</v>
          </cell>
          <cell r="AJ180" t="str">
            <v>06</v>
          </cell>
        </row>
        <row r="181">
          <cell r="AA181" t="str">
            <v>Aaa</v>
          </cell>
          <cell r="AB181">
            <v>36686</v>
          </cell>
          <cell r="AC181">
            <v>2000</v>
          </cell>
          <cell r="AD181" t="str">
            <v>St1</v>
          </cell>
          <cell r="AE181" t="str">
            <v>Qd2</v>
          </cell>
          <cell r="AF181" t="str">
            <v>Tr2</v>
          </cell>
          <cell r="AG181" t="str">
            <v>Tr2-2000</v>
          </cell>
          <cell r="AH181" t="str">
            <v>2000-Tr2</v>
          </cell>
          <cell r="AI181">
            <v>6</v>
          </cell>
          <cell r="AJ181" t="str">
            <v>06</v>
          </cell>
        </row>
        <row r="182">
          <cell r="AA182" t="str">
            <v>Aaa</v>
          </cell>
          <cell r="AB182">
            <v>36687</v>
          </cell>
          <cell r="AC182">
            <v>2000</v>
          </cell>
          <cell r="AD182" t="str">
            <v>St1</v>
          </cell>
          <cell r="AE182" t="str">
            <v>Qd2</v>
          </cell>
          <cell r="AF182" t="str">
            <v>Tr2</v>
          </cell>
          <cell r="AG182" t="str">
            <v>Tr2-2000</v>
          </cell>
          <cell r="AH182" t="str">
            <v>2000-Tr2</v>
          </cell>
          <cell r="AI182">
            <v>6</v>
          </cell>
          <cell r="AJ182" t="str">
            <v>06</v>
          </cell>
        </row>
        <row r="183">
          <cell r="AA183" t="str">
            <v>Aaa</v>
          </cell>
          <cell r="AB183">
            <v>36688</v>
          </cell>
          <cell r="AC183">
            <v>2000</v>
          </cell>
          <cell r="AD183" t="str">
            <v>St1</v>
          </cell>
          <cell r="AE183" t="str">
            <v>Qd2</v>
          </cell>
          <cell r="AF183" t="str">
            <v>Tr2</v>
          </cell>
          <cell r="AG183" t="str">
            <v>Tr2-2000</v>
          </cell>
          <cell r="AH183" t="str">
            <v>2000-Tr2</v>
          </cell>
          <cell r="AI183">
            <v>6</v>
          </cell>
          <cell r="AJ183" t="str">
            <v>06</v>
          </cell>
        </row>
        <row r="184">
          <cell r="AA184" t="str">
            <v>Aaa</v>
          </cell>
          <cell r="AB184">
            <v>36689</v>
          </cell>
          <cell r="AC184">
            <v>2000</v>
          </cell>
          <cell r="AD184" t="str">
            <v>St1</v>
          </cell>
          <cell r="AE184" t="str">
            <v>Qd2</v>
          </cell>
          <cell r="AF184" t="str">
            <v>Tr2</v>
          </cell>
          <cell r="AG184" t="str">
            <v>Tr2-2000</v>
          </cell>
          <cell r="AH184" t="str">
            <v>2000-Tr2</v>
          </cell>
          <cell r="AI184">
            <v>6</v>
          </cell>
          <cell r="AJ184" t="str">
            <v>06</v>
          </cell>
        </row>
        <row r="185">
          <cell r="AA185" t="str">
            <v>Aaa</v>
          </cell>
          <cell r="AB185">
            <v>36690</v>
          </cell>
          <cell r="AC185">
            <v>2000</v>
          </cell>
          <cell r="AD185" t="str">
            <v>St1</v>
          </cell>
          <cell r="AE185" t="str">
            <v>Qd2</v>
          </cell>
          <cell r="AF185" t="str">
            <v>Tr2</v>
          </cell>
          <cell r="AG185" t="str">
            <v>Tr2-2000</v>
          </cell>
          <cell r="AH185" t="str">
            <v>2000-Tr2</v>
          </cell>
          <cell r="AI185">
            <v>6</v>
          </cell>
          <cell r="AJ185" t="str">
            <v>06</v>
          </cell>
        </row>
        <row r="186">
          <cell r="AA186" t="str">
            <v>Aaa</v>
          </cell>
          <cell r="AB186">
            <v>36691</v>
          </cell>
          <cell r="AC186">
            <v>2000</v>
          </cell>
          <cell r="AD186" t="str">
            <v>St1</v>
          </cell>
          <cell r="AE186" t="str">
            <v>Qd2</v>
          </cell>
          <cell r="AF186" t="str">
            <v>Tr2</v>
          </cell>
          <cell r="AG186" t="str">
            <v>Tr2-2000</v>
          </cell>
          <cell r="AH186" t="str">
            <v>2000-Tr2</v>
          </cell>
          <cell r="AI186">
            <v>6</v>
          </cell>
          <cell r="AJ186" t="str">
            <v>06</v>
          </cell>
        </row>
        <row r="187">
          <cell r="AA187" t="str">
            <v>Aaa</v>
          </cell>
          <cell r="AB187">
            <v>36692</v>
          </cell>
          <cell r="AC187">
            <v>2000</v>
          </cell>
          <cell r="AD187" t="str">
            <v>St1</v>
          </cell>
          <cell r="AE187" t="str">
            <v>Qd2</v>
          </cell>
          <cell r="AF187" t="str">
            <v>Tr2</v>
          </cell>
          <cell r="AG187" t="str">
            <v>Tr2-2000</v>
          </cell>
          <cell r="AH187" t="str">
            <v>2000-Tr2</v>
          </cell>
          <cell r="AI187">
            <v>6</v>
          </cell>
          <cell r="AJ187" t="str">
            <v>06</v>
          </cell>
        </row>
        <row r="188">
          <cell r="AA188" t="str">
            <v>Aaa</v>
          </cell>
          <cell r="AB188">
            <v>36693</v>
          </cell>
          <cell r="AC188">
            <v>2000</v>
          </cell>
          <cell r="AD188" t="str">
            <v>St1</v>
          </cell>
          <cell r="AE188" t="str">
            <v>Qd2</v>
          </cell>
          <cell r="AF188" t="str">
            <v>Tr2</v>
          </cell>
          <cell r="AG188" t="str">
            <v>Tr2-2000</v>
          </cell>
          <cell r="AH188" t="str">
            <v>2000-Tr2</v>
          </cell>
          <cell r="AI188">
            <v>6</v>
          </cell>
          <cell r="AJ188" t="str">
            <v>06</v>
          </cell>
        </row>
        <row r="189">
          <cell r="AA189" t="str">
            <v>Aaa</v>
          </cell>
          <cell r="AB189">
            <v>36694</v>
          </cell>
          <cell r="AC189">
            <v>2000</v>
          </cell>
          <cell r="AD189" t="str">
            <v>St1</v>
          </cell>
          <cell r="AE189" t="str">
            <v>Qd2</v>
          </cell>
          <cell r="AF189" t="str">
            <v>Tr2</v>
          </cell>
          <cell r="AG189" t="str">
            <v>Tr2-2000</v>
          </cell>
          <cell r="AH189" t="str">
            <v>2000-Tr2</v>
          </cell>
          <cell r="AI189">
            <v>6</v>
          </cell>
          <cell r="AJ189" t="str">
            <v>06</v>
          </cell>
        </row>
        <row r="190">
          <cell r="AA190" t="str">
            <v>Aaa</v>
          </cell>
          <cell r="AB190">
            <v>36695</v>
          </cell>
          <cell r="AC190">
            <v>2000</v>
          </cell>
          <cell r="AD190" t="str">
            <v>St1</v>
          </cell>
          <cell r="AE190" t="str">
            <v>Qd2</v>
          </cell>
          <cell r="AF190" t="str">
            <v>Tr2</v>
          </cell>
          <cell r="AG190" t="str">
            <v>Tr2-2000</v>
          </cell>
          <cell r="AH190" t="str">
            <v>2000-Tr2</v>
          </cell>
          <cell r="AI190">
            <v>6</v>
          </cell>
          <cell r="AJ190" t="str">
            <v>06</v>
          </cell>
        </row>
        <row r="191">
          <cell r="AA191" t="str">
            <v>Aaa</v>
          </cell>
          <cell r="AB191">
            <v>36696</v>
          </cell>
          <cell r="AC191">
            <v>2000</v>
          </cell>
          <cell r="AD191" t="str">
            <v>St1</v>
          </cell>
          <cell r="AE191" t="str">
            <v>Qd2</v>
          </cell>
          <cell r="AF191" t="str">
            <v>Tr2</v>
          </cell>
          <cell r="AG191" t="str">
            <v>Tr2-2000</v>
          </cell>
          <cell r="AH191" t="str">
            <v>2000-Tr2</v>
          </cell>
          <cell r="AI191">
            <v>6</v>
          </cell>
          <cell r="AJ191" t="str">
            <v>06</v>
          </cell>
        </row>
        <row r="192">
          <cell r="AA192" t="str">
            <v>Aaa</v>
          </cell>
          <cell r="AB192">
            <v>36697</v>
          </cell>
          <cell r="AC192">
            <v>2000</v>
          </cell>
          <cell r="AD192" t="str">
            <v>St1</v>
          </cell>
          <cell r="AE192" t="str">
            <v>Qd2</v>
          </cell>
          <cell r="AF192" t="str">
            <v>Tr2</v>
          </cell>
          <cell r="AG192" t="str">
            <v>Tr2-2000</v>
          </cell>
          <cell r="AH192" t="str">
            <v>2000-Tr2</v>
          </cell>
          <cell r="AI192">
            <v>6</v>
          </cell>
          <cell r="AJ192" t="str">
            <v>06</v>
          </cell>
        </row>
        <row r="193">
          <cell r="AA193" t="str">
            <v>Aaa</v>
          </cell>
          <cell r="AB193">
            <v>36698</v>
          </cell>
          <cell r="AC193">
            <v>2000</v>
          </cell>
          <cell r="AD193" t="str">
            <v>St1</v>
          </cell>
          <cell r="AE193" t="str">
            <v>Qd2</v>
          </cell>
          <cell r="AF193" t="str">
            <v>Tr2</v>
          </cell>
          <cell r="AG193" t="str">
            <v>Tr2-2000</v>
          </cell>
          <cell r="AH193" t="str">
            <v>2000-Tr2</v>
          </cell>
          <cell r="AI193">
            <v>6</v>
          </cell>
          <cell r="AJ193" t="str">
            <v>06</v>
          </cell>
        </row>
        <row r="194">
          <cell r="AA194" t="str">
            <v>Aaa</v>
          </cell>
          <cell r="AB194">
            <v>36699</v>
          </cell>
          <cell r="AC194">
            <v>2000</v>
          </cell>
          <cell r="AD194" t="str">
            <v>St1</v>
          </cell>
          <cell r="AE194" t="str">
            <v>Qd2</v>
          </cell>
          <cell r="AF194" t="str">
            <v>Tr2</v>
          </cell>
          <cell r="AG194" t="str">
            <v>Tr2-2000</v>
          </cell>
          <cell r="AH194" t="str">
            <v>2000-Tr2</v>
          </cell>
          <cell r="AI194">
            <v>6</v>
          </cell>
          <cell r="AJ194" t="str">
            <v>06</v>
          </cell>
        </row>
        <row r="195">
          <cell r="AA195" t="str">
            <v>Aaa</v>
          </cell>
          <cell r="AB195">
            <v>36700</v>
          </cell>
          <cell r="AC195">
            <v>2000</v>
          </cell>
          <cell r="AD195" t="str">
            <v>St1</v>
          </cell>
          <cell r="AE195" t="str">
            <v>Qd2</v>
          </cell>
          <cell r="AF195" t="str">
            <v>Tr2</v>
          </cell>
          <cell r="AG195" t="str">
            <v>Tr2-2000</v>
          </cell>
          <cell r="AH195" t="str">
            <v>2000-Tr2</v>
          </cell>
          <cell r="AI195">
            <v>6</v>
          </cell>
          <cell r="AJ195" t="str">
            <v>06</v>
          </cell>
        </row>
        <row r="196">
          <cell r="AA196" t="str">
            <v>Aaa</v>
          </cell>
          <cell r="AB196">
            <v>36701</v>
          </cell>
          <cell r="AC196">
            <v>2000</v>
          </cell>
          <cell r="AD196" t="str">
            <v>St1</v>
          </cell>
          <cell r="AE196" t="str">
            <v>Qd2</v>
          </cell>
          <cell r="AF196" t="str">
            <v>Tr2</v>
          </cell>
          <cell r="AG196" t="str">
            <v>Tr2-2000</v>
          </cell>
          <cell r="AH196" t="str">
            <v>2000-Tr2</v>
          </cell>
          <cell r="AI196">
            <v>6</v>
          </cell>
          <cell r="AJ196" t="str">
            <v>06</v>
          </cell>
        </row>
        <row r="197">
          <cell r="AA197" t="str">
            <v>Aaa</v>
          </cell>
          <cell r="AB197">
            <v>36702</v>
          </cell>
          <cell r="AC197">
            <v>2000</v>
          </cell>
          <cell r="AD197" t="str">
            <v>St1</v>
          </cell>
          <cell r="AE197" t="str">
            <v>Qd2</v>
          </cell>
          <cell r="AF197" t="str">
            <v>Tr2</v>
          </cell>
          <cell r="AG197" t="str">
            <v>Tr2-2000</v>
          </cell>
          <cell r="AH197" t="str">
            <v>2000-Tr2</v>
          </cell>
          <cell r="AI197">
            <v>6</v>
          </cell>
          <cell r="AJ197" t="str">
            <v>06</v>
          </cell>
        </row>
        <row r="198">
          <cell r="AA198" t="str">
            <v>Aaa</v>
          </cell>
          <cell r="AB198">
            <v>36703</v>
          </cell>
          <cell r="AC198">
            <v>2000</v>
          </cell>
          <cell r="AD198" t="str">
            <v>St1</v>
          </cell>
          <cell r="AE198" t="str">
            <v>Qd2</v>
          </cell>
          <cell r="AF198" t="str">
            <v>Tr2</v>
          </cell>
          <cell r="AG198" t="str">
            <v>Tr2-2000</v>
          </cell>
          <cell r="AH198" t="str">
            <v>2000-Tr2</v>
          </cell>
          <cell r="AI198">
            <v>6</v>
          </cell>
          <cell r="AJ198" t="str">
            <v>06</v>
          </cell>
        </row>
        <row r="199">
          <cell r="AA199" t="str">
            <v>Aaa</v>
          </cell>
          <cell r="AB199">
            <v>36704</v>
          </cell>
          <cell r="AC199">
            <v>2000</v>
          </cell>
          <cell r="AD199" t="str">
            <v>St1</v>
          </cell>
          <cell r="AE199" t="str">
            <v>Qd2</v>
          </cell>
          <cell r="AF199" t="str">
            <v>Tr2</v>
          </cell>
          <cell r="AG199" t="str">
            <v>Tr2-2000</v>
          </cell>
          <cell r="AH199" t="str">
            <v>2000-Tr2</v>
          </cell>
          <cell r="AI199">
            <v>6</v>
          </cell>
          <cell r="AJ199" t="str">
            <v>06</v>
          </cell>
        </row>
        <row r="200">
          <cell r="AA200" t="str">
            <v>Aaa</v>
          </cell>
          <cell r="AB200">
            <v>36705</v>
          </cell>
          <cell r="AC200">
            <v>2000</v>
          </cell>
          <cell r="AD200" t="str">
            <v>St1</v>
          </cell>
          <cell r="AE200" t="str">
            <v>Qd2</v>
          </cell>
          <cell r="AF200" t="str">
            <v>Tr2</v>
          </cell>
          <cell r="AG200" t="str">
            <v>Tr2-2000</v>
          </cell>
          <cell r="AH200" t="str">
            <v>2000-Tr2</v>
          </cell>
          <cell r="AI200">
            <v>6</v>
          </cell>
          <cell r="AJ200" t="str">
            <v>06</v>
          </cell>
        </row>
        <row r="201">
          <cell r="AA201" t="str">
            <v>Aaa</v>
          </cell>
          <cell r="AB201">
            <v>36706</v>
          </cell>
          <cell r="AC201">
            <v>2000</v>
          </cell>
          <cell r="AD201" t="str">
            <v>St1</v>
          </cell>
          <cell r="AE201" t="str">
            <v>Qd2</v>
          </cell>
          <cell r="AF201" t="str">
            <v>Tr2</v>
          </cell>
          <cell r="AG201" t="str">
            <v>Tr2-2000</v>
          </cell>
          <cell r="AH201" t="str">
            <v>2000-Tr2</v>
          </cell>
          <cell r="AI201">
            <v>6</v>
          </cell>
          <cell r="AJ201" t="str">
            <v>06</v>
          </cell>
        </row>
        <row r="202">
          <cell r="AA202" t="str">
            <v>Aaa</v>
          </cell>
          <cell r="AB202">
            <v>36707</v>
          </cell>
          <cell r="AC202">
            <v>2000</v>
          </cell>
          <cell r="AD202" t="str">
            <v>St1</v>
          </cell>
          <cell r="AE202" t="str">
            <v>Qd2</v>
          </cell>
          <cell r="AF202" t="str">
            <v>Tr2</v>
          </cell>
          <cell r="AG202" t="str">
            <v>Tr2-2000</v>
          </cell>
          <cell r="AH202" t="str">
            <v>2000-Tr2</v>
          </cell>
          <cell r="AI202">
            <v>6</v>
          </cell>
          <cell r="AJ202" t="str">
            <v>06</v>
          </cell>
        </row>
        <row r="203">
          <cell r="AA203" t="str">
            <v>Aaa</v>
          </cell>
          <cell r="AB203">
            <v>36708</v>
          </cell>
          <cell r="AC203">
            <v>2000</v>
          </cell>
          <cell r="AD203" t="str">
            <v>St2</v>
          </cell>
          <cell r="AE203" t="str">
            <v>Qd2</v>
          </cell>
          <cell r="AF203" t="str">
            <v>Tr3</v>
          </cell>
          <cell r="AG203" t="str">
            <v>Tr3-2000</v>
          </cell>
          <cell r="AH203" t="str">
            <v>2000-Tr3</v>
          </cell>
          <cell r="AI203">
            <v>7</v>
          </cell>
          <cell r="AJ203" t="str">
            <v>07</v>
          </cell>
        </row>
        <row r="204">
          <cell r="AA204" t="str">
            <v>Aaa</v>
          </cell>
          <cell r="AB204">
            <v>36709</v>
          </cell>
          <cell r="AC204">
            <v>2000</v>
          </cell>
          <cell r="AD204" t="str">
            <v>St2</v>
          </cell>
          <cell r="AE204" t="str">
            <v>Qd2</v>
          </cell>
          <cell r="AF204" t="str">
            <v>Tr3</v>
          </cell>
          <cell r="AG204" t="str">
            <v>Tr3-2000</v>
          </cell>
          <cell r="AH204" t="str">
            <v>2000-Tr3</v>
          </cell>
          <cell r="AI204">
            <v>7</v>
          </cell>
          <cell r="AJ204" t="str">
            <v>07</v>
          </cell>
        </row>
        <row r="205">
          <cell r="AA205" t="str">
            <v>Aaa</v>
          </cell>
          <cell r="AB205">
            <v>36710</v>
          </cell>
          <cell r="AC205">
            <v>2000</v>
          </cell>
          <cell r="AD205" t="str">
            <v>St2</v>
          </cell>
          <cell r="AE205" t="str">
            <v>Qd2</v>
          </cell>
          <cell r="AF205" t="str">
            <v>Tr3</v>
          </cell>
          <cell r="AG205" t="str">
            <v>Tr3-2000</v>
          </cell>
          <cell r="AH205" t="str">
            <v>2000-Tr3</v>
          </cell>
          <cell r="AI205">
            <v>7</v>
          </cell>
          <cell r="AJ205" t="str">
            <v>07</v>
          </cell>
        </row>
        <row r="206">
          <cell r="AA206" t="str">
            <v>Aaa</v>
          </cell>
          <cell r="AB206">
            <v>36711</v>
          </cell>
          <cell r="AC206">
            <v>2000</v>
          </cell>
          <cell r="AD206" t="str">
            <v>St2</v>
          </cell>
          <cell r="AE206" t="str">
            <v>Qd2</v>
          </cell>
          <cell r="AF206" t="str">
            <v>Tr3</v>
          </cell>
          <cell r="AG206" t="str">
            <v>Tr3-2000</v>
          </cell>
          <cell r="AH206" t="str">
            <v>2000-Tr3</v>
          </cell>
          <cell r="AI206">
            <v>7</v>
          </cell>
          <cell r="AJ206" t="str">
            <v>07</v>
          </cell>
        </row>
        <row r="207">
          <cell r="AA207" t="str">
            <v>Aaa</v>
          </cell>
          <cell r="AB207">
            <v>36712</v>
          </cell>
          <cell r="AC207">
            <v>2000</v>
          </cell>
          <cell r="AD207" t="str">
            <v>St2</v>
          </cell>
          <cell r="AE207" t="str">
            <v>Qd2</v>
          </cell>
          <cell r="AF207" t="str">
            <v>Tr3</v>
          </cell>
          <cell r="AG207" t="str">
            <v>Tr3-2000</v>
          </cell>
          <cell r="AH207" t="str">
            <v>2000-Tr3</v>
          </cell>
          <cell r="AI207">
            <v>7</v>
          </cell>
          <cell r="AJ207" t="str">
            <v>07</v>
          </cell>
        </row>
        <row r="208">
          <cell r="AA208" t="str">
            <v>Aaa</v>
          </cell>
          <cell r="AB208">
            <v>36713</v>
          </cell>
          <cell r="AC208">
            <v>2000</v>
          </cell>
          <cell r="AD208" t="str">
            <v>St2</v>
          </cell>
          <cell r="AE208" t="str">
            <v>Qd2</v>
          </cell>
          <cell r="AF208" t="str">
            <v>Tr3</v>
          </cell>
          <cell r="AG208" t="str">
            <v>Tr3-2000</v>
          </cell>
          <cell r="AH208" t="str">
            <v>2000-Tr3</v>
          </cell>
          <cell r="AI208">
            <v>7</v>
          </cell>
          <cell r="AJ208" t="str">
            <v>07</v>
          </cell>
        </row>
        <row r="209">
          <cell r="AA209" t="str">
            <v>Aaa</v>
          </cell>
          <cell r="AB209">
            <v>36714</v>
          </cell>
          <cell r="AC209">
            <v>2000</v>
          </cell>
          <cell r="AD209" t="str">
            <v>St2</v>
          </cell>
          <cell r="AE209" t="str">
            <v>Qd2</v>
          </cell>
          <cell r="AF209" t="str">
            <v>Tr3</v>
          </cell>
          <cell r="AG209" t="str">
            <v>Tr3-2000</v>
          </cell>
          <cell r="AH209" t="str">
            <v>2000-Tr3</v>
          </cell>
          <cell r="AI209">
            <v>7</v>
          </cell>
          <cell r="AJ209" t="str">
            <v>07</v>
          </cell>
        </row>
        <row r="210">
          <cell r="AA210" t="str">
            <v>Aaa</v>
          </cell>
          <cell r="AB210">
            <v>36715</v>
          </cell>
          <cell r="AC210">
            <v>2000</v>
          </cell>
          <cell r="AD210" t="str">
            <v>St2</v>
          </cell>
          <cell r="AE210" t="str">
            <v>Qd2</v>
          </cell>
          <cell r="AF210" t="str">
            <v>Tr3</v>
          </cell>
          <cell r="AG210" t="str">
            <v>Tr3-2000</v>
          </cell>
          <cell r="AH210" t="str">
            <v>2000-Tr3</v>
          </cell>
          <cell r="AI210">
            <v>7</v>
          </cell>
          <cell r="AJ210" t="str">
            <v>07</v>
          </cell>
        </row>
        <row r="211">
          <cell r="AA211" t="str">
            <v>Aaa</v>
          </cell>
          <cell r="AB211">
            <v>36716</v>
          </cell>
          <cell r="AC211">
            <v>2000</v>
          </cell>
          <cell r="AD211" t="str">
            <v>St2</v>
          </cell>
          <cell r="AE211" t="str">
            <v>Qd2</v>
          </cell>
          <cell r="AF211" t="str">
            <v>Tr3</v>
          </cell>
          <cell r="AG211" t="str">
            <v>Tr3-2000</v>
          </cell>
          <cell r="AH211" t="str">
            <v>2000-Tr3</v>
          </cell>
          <cell r="AI211">
            <v>7</v>
          </cell>
          <cell r="AJ211" t="str">
            <v>07</v>
          </cell>
        </row>
        <row r="212">
          <cell r="AA212" t="str">
            <v>Aaa</v>
          </cell>
          <cell r="AB212">
            <v>36717</v>
          </cell>
          <cell r="AC212">
            <v>2000</v>
          </cell>
          <cell r="AD212" t="str">
            <v>St2</v>
          </cell>
          <cell r="AE212" t="str">
            <v>Qd2</v>
          </cell>
          <cell r="AF212" t="str">
            <v>Tr3</v>
          </cell>
          <cell r="AG212" t="str">
            <v>Tr3-2000</v>
          </cell>
          <cell r="AH212" t="str">
            <v>2000-Tr3</v>
          </cell>
          <cell r="AI212">
            <v>7</v>
          </cell>
          <cell r="AJ212" t="str">
            <v>07</v>
          </cell>
        </row>
        <row r="213">
          <cell r="AA213" t="str">
            <v>Aaa</v>
          </cell>
          <cell r="AB213">
            <v>36718</v>
          </cell>
          <cell r="AC213">
            <v>2000</v>
          </cell>
          <cell r="AD213" t="str">
            <v>St2</v>
          </cell>
          <cell r="AE213" t="str">
            <v>Qd2</v>
          </cell>
          <cell r="AF213" t="str">
            <v>Tr3</v>
          </cell>
          <cell r="AG213" t="str">
            <v>Tr3-2000</v>
          </cell>
          <cell r="AH213" t="str">
            <v>2000-Tr3</v>
          </cell>
          <cell r="AI213">
            <v>7</v>
          </cell>
          <cell r="AJ213" t="str">
            <v>07</v>
          </cell>
        </row>
        <row r="214">
          <cell r="AA214" t="str">
            <v>Aaa</v>
          </cell>
          <cell r="AB214">
            <v>36719</v>
          </cell>
          <cell r="AC214">
            <v>2000</v>
          </cell>
          <cell r="AD214" t="str">
            <v>St2</v>
          </cell>
          <cell r="AE214" t="str">
            <v>Qd2</v>
          </cell>
          <cell r="AF214" t="str">
            <v>Tr3</v>
          </cell>
          <cell r="AG214" t="str">
            <v>Tr3-2000</v>
          </cell>
          <cell r="AH214" t="str">
            <v>2000-Tr3</v>
          </cell>
          <cell r="AI214">
            <v>7</v>
          </cell>
          <cell r="AJ214" t="str">
            <v>07</v>
          </cell>
        </row>
        <row r="215">
          <cell r="AA215" t="str">
            <v>Aaa</v>
          </cell>
          <cell r="AB215">
            <v>36720</v>
          </cell>
          <cell r="AC215">
            <v>2000</v>
          </cell>
          <cell r="AD215" t="str">
            <v>St2</v>
          </cell>
          <cell r="AE215" t="str">
            <v>Qd2</v>
          </cell>
          <cell r="AF215" t="str">
            <v>Tr3</v>
          </cell>
          <cell r="AG215" t="str">
            <v>Tr3-2000</v>
          </cell>
          <cell r="AH215" t="str">
            <v>2000-Tr3</v>
          </cell>
          <cell r="AI215">
            <v>7</v>
          </cell>
          <cell r="AJ215" t="str">
            <v>07</v>
          </cell>
        </row>
        <row r="216">
          <cell r="AA216" t="str">
            <v>Aaa</v>
          </cell>
          <cell r="AB216">
            <v>36721</v>
          </cell>
          <cell r="AC216">
            <v>2000</v>
          </cell>
          <cell r="AD216" t="str">
            <v>St2</v>
          </cell>
          <cell r="AE216" t="str">
            <v>Qd2</v>
          </cell>
          <cell r="AF216" t="str">
            <v>Tr3</v>
          </cell>
          <cell r="AG216" t="str">
            <v>Tr3-2000</v>
          </cell>
          <cell r="AH216" t="str">
            <v>2000-Tr3</v>
          </cell>
          <cell r="AI216">
            <v>7</v>
          </cell>
          <cell r="AJ216" t="str">
            <v>07</v>
          </cell>
        </row>
        <row r="217">
          <cell r="AA217" t="str">
            <v>Aaa</v>
          </cell>
          <cell r="AB217">
            <v>36722</v>
          </cell>
          <cell r="AC217">
            <v>2000</v>
          </cell>
          <cell r="AD217" t="str">
            <v>St2</v>
          </cell>
          <cell r="AE217" t="str">
            <v>Qd2</v>
          </cell>
          <cell r="AF217" t="str">
            <v>Tr3</v>
          </cell>
          <cell r="AG217" t="str">
            <v>Tr3-2000</v>
          </cell>
          <cell r="AH217" t="str">
            <v>2000-Tr3</v>
          </cell>
          <cell r="AI217">
            <v>7</v>
          </cell>
          <cell r="AJ217" t="str">
            <v>07</v>
          </cell>
        </row>
        <row r="218">
          <cell r="AA218" t="str">
            <v>Aaa</v>
          </cell>
          <cell r="AB218">
            <v>36723</v>
          </cell>
          <cell r="AC218">
            <v>2000</v>
          </cell>
          <cell r="AD218" t="str">
            <v>St2</v>
          </cell>
          <cell r="AE218" t="str">
            <v>Qd2</v>
          </cell>
          <cell r="AF218" t="str">
            <v>Tr3</v>
          </cell>
          <cell r="AG218" t="str">
            <v>Tr3-2000</v>
          </cell>
          <cell r="AH218" t="str">
            <v>2000-Tr3</v>
          </cell>
          <cell r="AI218">
            <v>7</v>
          </cell>
          <cell r="AJ218" t="str">
            <v>07</v>
          </cell>
        </row>
        <row r="219">
          <cell r="AA219" t="str">
            <v>Aaa</v>
          </cell>
          <cell r="AB219">
            <v>36724</v>
          </cell>
          <cell r="AC219">
            <v>2000</v>
          </cell>
          <cell r="AD219" t="str">
            <v>St2</v>
          </cell>
          <cell r="AE219" t="str">
            <v>Qd2</v>
          </cell>
          <cell r="AF219" t="str">
            <v>Tr3</v>
          </cell>
          <cell r="AG219" t="str">
            <v>Tr3-2000</v>
          </cell>
          <cell r="AH219" t="str">
            <v>2000-Tr3</v>
          </cell>
          <cell r="AI219">
            <v>7</v>
          </cell>
          <cell r="AJ219" t="str">
            <v>07</v>
          </cell>
        </row>
        <row r="220">
          <cell r="AA220" t="str">
            <v>Aaa</v>
          </cell>
          <cell r="AB220">
            <v>36725</v>
          </cell>
          <cell r="AC220">
            <v>2000</v>
          </cell>
          <cell r="AD220" t="str">
            <v>St2</v>
          </cell>
          <cell r="AE220" t="str">
            <v>Qd2</v>
          </cell>
          <cell r="AF220" t="str">
            <v>Tr3</v>
          </cell>
          <cell r="AG220" t="str">
            <v>Tr3-2000</v>
          </cell>
          <cell r="AH220" t="str">
            <v>2000-Tr3</v>
          </cell>
          <cell r="AI220">
            <v>7</v>
          </cell>
          <cell r="AJ220" t="str">
            <v>07</v>
          </cell>
        </row>
        <row r="221">
          <cell r="AA221" t="str">
            <v>Aaa</v>
          </cell>
          <cell r="AB221">
            <v>36726</v>
          </cell>
          <cell r="AC221">
            <v>2000</v>
          </cell>
          <cell r="AD221" t="str">
            <v>St2</v>
          </cell>
          <cell r="AE221" t="str">
            <v>Qd2</v>
          </cell>
          <cell r="AF221" t="str">
            <v>Tr3</v>
          </cell>
          <cell r="AG221" t="str">
            <v>Tr3-2000</v>
          </cell>
          <cell r="AH221" t="str">
            <v>2000-Tr3</v>
          </cell>
          <cell r="AI221">
            <v>7</v>
          </cell>
          <cell r="AJ221" t="str">
            <v>07</v>
          </cell>
        </row>
        <row r="222">
          <cell r="AA222" t="str">
            <v>Aaa</v>
          </cell>
          <cell r="AB222">
            <v>36727</v>
          </cell>
          <cell r="AC222">
            <v>2000</v>
          </cell>
          <cell r="AD222" t="str">
            <v>St2</v>
          </cell>
          <cell r="AE222" t="str">
            <v>Qd2</v>
          </cell>
          <cell r="AF222" t="str">
            <v>Tr3</v>
          </cell>
          <cell r="AG222" t="str">
            <v>Tr3-2000</v>
          </cell>
          <cell r="AH222" t="str">
            <v>2000-Tr3</v>
          </cell>
          <cell r="AI222">
            <v>7</v>
          </cell>
          <cell r="AJ222" t="str">
            <v>07</v>
          </cell>
        </row>
        <row r="223">
          <cell r="AA223" t="str">
            <v>Aaa</v>
          </cell>
          <cell r="AB223">
            <v>36728</v>
          </cell>
          <cell r="AC223">
            <v>2000</v>
          </cell>
          <cell r="AD223" t="str">
            <v>St2</v>
          </cell>
          <cell r="AE223" t="str">
            <v>Qd2</v>
          </cell>
          <cell r="AF223" t="str">
            <v>Tr3</v>
          </cell>
          <cell r="AG223" t="str">
            <v>Tr3-2000</v>
          </cell>
          <cell r="AH223" t="str">
            <v>2000-Tr3</v>
          </cell>
          <cell r="AI223">
            <v>7</v>
          </cell>
          <cell r="AJ223" t="str">
            <v>07</v>
          </cell>
        </row>
        <row r="224">
          <cell r="AA224" t="str">
            <v>Aaa</v>
          </cell>
          <cell r="AB224">
            <v>36729</v>
          </cell>
          <cell r="AC224">
            <v>2000</v>
          </cell>
          <cell r="AD224" t="str">
            <v>St2</v>
          </cell>
          <cell r="AE224" t="str">
            <v>Qd2</v>
          </cell>
          <cell r="AF224" t="str">
            <v>Tr3</v>
          </cell>
          <cell r="AG224" t="str">
            <v>Tr3-2000</v>
          </cell>
          <cell r="AH224" t="str">
            <v>2000-Tr3</v>
          </cell>
          <cell r="AI224">
            <v>7</v>
          </cell>
          <cell r="AJ224" t="str">
            <v>07</v>
          </cell>
        </row>
        <row r="225">
          <cell r="AA225" t="str">
            <v>Aaa</v>
          </cell>
          <cell r="AB225">
            <v>36730</v>
          </cell>
          <cell r="AC225">
            <v>2000</v>
          </cell>
          <cell r="AD225" t="str">
            <v>St2</v>
          </cell>
          <cell r="AE225" t="str">
            <v>Qd2</v>
          </cell>
          <cell r="AF225" t="str">
            <v>Tr3</v>
          </cell>
          <cell r="AG225" t="str">
            <v>Tr3-2000</v>
          </cell>
          <cell r="AH225" t="str">
            <v>2000-Tr3</v>
          </cell>
          <cell r="AI225">
            <v>7</v>
          </cell>
          <cell r="AJ225" t="str">
            <v>07</v>
          </cell>
        </row>
        <row r="226">
          <cell r="AA226" t="str">
            <v>Aaa</v>
          </cell>
          <cell r="AB226">
            <v>36731</v>
          </cell>
          <cell r="AC226">
            <v>2000</v>
          </cell>
          <cell r="AD226" t="str">
            <v>St2</v>
          </cell>
          <cell r="AE226" t="str">
            <v>Qd2</v>
          </cell>
          <cell r="AF226" t="str">
            <v>Tr3</v>
          </cell>
          <cell r="AG226" t="str">
            <v>Tr3-2000</v>
          </cell>
          <cell r="AH226" t="str">
            <v>2000-Tr3</v>
          </cell>
          <cell r="AI226">
            <v>7</v>
          </cell>
          <cell r="AJ226" t="str">
            <v>07</v>
          </cell>
        </row>
        <row r="227">
          <cell r="AA227" t="str">
            <v>Aaa</v>
          </cell>
          <cell r="AB227">
            <v>36732</v>
          </cell>
          <cell r="AC227">
            <v>2000</v>
          </cell>
          <cell r="AD227" t="str">
            <v>St2</v>
          </cell>
          <cell r="AE227" t="str">
            <v>Qd2</v>
          </cell>
          <cell r="AF227" t="str">
            <v>Tr3</v>
          </cell>
          <cell r="AG227" t="str">
            <v>Tr3-2000</v>
          </cell>
          <cell r="AH227" t="str">
            <v>2000-Tr3</v>
          </cell>
          <cell r="AI227">
            <v>7</v>
          </cell>
          <cell r="AJ227" t="str">
            <v>07</v>
          </cell>
        </row>
        <row r="228">
          <cell r="AA228" t="str">
            <v>Aaa</v>
          </cell>
          <cell r="AB228">
            <v>36733</v>
          </cell>
          <cell r="AC228">
            <v>2000</v>
          </cell>
          <cell r="AD228" t="str">
            <v>St2</v>
          </cell>
          <cell r="AE228" t="str">
            <v>Qd2</v>
          </cell>
          <cell r="AF228" t="str">
            <v>Tr3</v>
          </cell>
          <cell r="AG228" t="str">
            <v>Tr3-2000</v>
          </cell>
          <cell r="AH228" t="str">
            <v>2000-Tr3</v>
          </cell>
          <cell r="AI228">
            <v>7</v>
          </cell>
          <cell r="AJ228" t="str">
            <v>07</v>
          </cell>
        </row>
        <row r="229">
          <cell r="AA229" t="str">
            <v>Aaa</v>
          </cell>
          <cell r="AB229">
            <v>36734</v>
          </cell>
          <cell r="AC229">
            <v>2000</v>
          </cell>
          <cell r="AD229" t="str">
            <v>St2</v>
          </cell>
          <cell r="AE229" t="str">
            <v>Qd2</v>
          </cell>
          <cell r="AF229" t="str">
            <v>Tr3</v>
          </cell>
          <cell r="AG229" t="str">
            <v>Tr3-2000</v>
          </cell>
          <cell r="AH229" t="str">
            <v>2000-Tr3</v>
          </cell>
          <cell r="AI229">
            <v>7</v>
          </cell>
          <cell r="AJ229" t="str">
            <v>07</v>
          </cell>
        </row>
        <row r="230">
          <cell r="AA230" t="str">
            <v>Aaa</v>
          </cell>
          <cell r="AB230">
            <v>36735</v>
          </cell>
          <cell r="AC230">
            <v>2000</v>
          </cell>
          <cell r="AD230" t="str">
            <v>St2</v>
          </cell>
          <cell r="AE230" t="str">
            <v>Qd2</v>
          </cell>
          <cell r="AF230" t="str">
            <v>Tr3</v>
          </cell>
          <cell r="AG230" t="str">
            <v>Tr3-2000</v>
          </cell>
          <cell r="AH230" t="str">
            <v>2000-Tr3</v>
          </cell>
          <cell r="AI230">
            <v>7</v>
          </cell>
          <cell r="AJ230" t="str">
            <v>07</v>
          </cell>
        </row>
        <row r="231">
          <cell r="AA231" t="str">
            <v>Aaa</v>
          </cell>
          <cell r="AB231">
            <v>36736</v>
          </cell>
          <cell r="AC231">
            <v>2000</v>
          </cell>
          <cell r="AD231" t="str">
            <v>St2</v>
          </cell>
          <cell r="AE231" t="str">
            <v>Qd2</v>
          </cell>
          <cell r="AF231" t="str">
            <v>Tr3</v>
          </cell>
          <cell r="AG231" t="str">
            <v>Tr3-2000</v>
          </cell>
          <cell r="AH231" t="str">
            <v>2000-Tr3</v>
          </cell>
          <cell r="AI231">
            <v>7</v>
          </cell>
          <cell r="AJ231" t="str">
            <v>07</v>
          </cell>
        </row>
        <row r="232">
          <cell r="AA232" t="str">
            <v>Aaa</v>
          </cell>
          <cell r="AB232">
            <v>36737</v>
          </cell>
          <cell r="AC232">
            <v>2000</v>
          </cell>
          <cell r="AD232" t="str">
            <v>St2</v>
          </cell>
          <cell r="AE232" t="str">
            <v>Qd2</v>
          </cell>
          <cell r="AF232" t="str">
            <v>Tr3</v>
          </cell>
          <cell r="AG232" t="str">
            <v>Tr3-2000</v>
          </cell>
          <cell r="AH232" t="str">
            <v>2000-Tr3</v>
          </cell>
          <cell r="AI232">
            <v>7</v>
          </cell>
          <cell r="AJ232" t="str">
            <v>07</v>
          </cell>
        </row>
        <row r="233">
          <cell r="AA233" t="str">
            <v>Aaa</v>
          </cell>
          <cell r="AB233">
            <v>36738</v>
          </cell>
          <cell r="AC233">
            <v>2000</v>
          </cell>
          <cell r="AD233" t="str">
            <v>St2</v>
          </cell>
          <cell r="AE233" t="str">
            <v>Qd2</v>
          </cell>
          <cell r="AF233" t="str">
            <v>Tr3</v>
          </cell>
          <cell r="AG233" t="str">
            <v>Tr3-2000</v>
          </cell>
          <cell r="AH233" t="str">
            <v>2000-Tr3</v>
          </cell>
          <cell r="AI233">
            <v>7</v>
          </cell>
          <cell r="AJ233" t="str">
            <v>07</v>
          </cell>
        </row>
        <row r="234">
          <cell r="AA234" t="str">
            <v>Aaa</v>
          </cell>
          <cell r="AB234">
            <v>36739</v>
          </cell>
          <cell r="AC234">
            <v>2000</v>
          </cell>
          <cell r="AD234" t="str">
            <v>St2</v>
          </cell>
          <cell r="AE234" t="str">
            <v>Qd2</v>
          </cell>
          <cell r="AF234" t="str">
            <v>Tr3</v>
          </cell>
          <cell r="AG234" t="str">
            <v>Tr3-2000</v>
          </cell>
          <cell r="AH234" t="str">
            <v>2000-Tr3</v>
          </cell>
          <cell r="AI234">
            <v>8</v>
          </cell>
          <cell r="AJ234" t="str">
            <v>08</v>
          </cell>
        </row>
        <row r="235">
          <cell r="AA235" t="str">
            <v>Aaa</v>
          </cell>
          <cell r="AB235">
            <v>36740</v>
          </cell>
          <cell r="AC235">
            <v>2000</v>
          </cell>
          <cell r="AD235" t="str">
            <v>St2</v>
          </cell>
          <cell r="AE235" t="str">
            <v>Qd2</v>
          </cell>
          <cell r="AF235" t="str">
            <v>Tr3</v>
          </cell>
          <cell r="AG235" t="str">
            <v>Tr3-2000</v>
          </cell>
          <cell r="AH235" t="str">
            <v>2000-Tr3</v>
          </cell>
          <cell r="AI235">
            <v>8</v>
          </cell>
          <cell r="AJ235" t="str">
            <v>08</v>
          </cell>
        </row>
        <row r="236">
          <cell r="AA236" t="str">
            <v>Aaa</v>
          </cell>
          <cell r="AB236">
            <v>36741</v>
          </cell>
          <cell r="AC236">
            <v>2000</v>
          </cell>
          <cell r="AD236" t="str">
            <v>St2</v>
          </cell>
          <cell r="AE236" t="str">
            <v>Qd2</v>
          </cell>
          <cell r="AF236" t="str">
            <v>Tr3</v>
          </cell>
          <cell r="AG236" t="str">
            <v>Tr3-2000</v>
          </cell>
          <cell r="AH236" t="str">
            <v>2000-Tr3</v>
          </cell>
          <cell r="AI236">
            <v>8</v>
          </cell>
          <cell r="AJ236" t="str">
            <v>08</v>
          </cell>
        </row>
        <row r="237">
          <cell r="AA237" t="str">
            <v>Aaa</v>
          </cell>
          <cell r="AB237">
            <v>36742</v>
          </cell>
          <cell r="AC237">
            <v>2000</v>
          </cell>
          <cell r="AD237" t="str">
            <v>St2</v>
          </cell>
          <cell r="AE237" t="str">
            <v>Qd2</v>
          </cell>
          <cell r="AF237" t="str">
            <v>Tr3</v>
          </cell>
          <cell r="AG237" t="str">
            <v>Tr3-2000</v>
          </cell>
          <cell r="AH237" t="str">
            <v>2000-Tr3</v>
          </cell>
          <cell r="AI237">
            <v>8</v>
          </cell>
          <cell r="AJ237" t="str">
            <v>08</v>
          </cell>
        </row>
        <row r="238">
          <cell r="AA238" t="str">
            <v>Aaa</v>
          </cell>
          <cell r="AB238">
            <v>36743</v>
          </cell>
          <cell r="AC238">
            <v>2000</v>
          </cell>
          <cell r="AD238" t="str">
            <v>St2</v>
          </cell>
          <cell r="AE238" t="str">
            <v>Qd2</v>
          </cell>
          <cell r="AF238" t="str">
            <v>Tr3</v>
          </cell>
          <cell r="AG238" t="str">
            <v>Tr3-2000</v>
          </cell>
          <cell r="AH238" t="str">
            <v>2000-Tr3</v>
          </cell>
          <cell r="AI238">
            <v>8</v>
          </cell>
          <cell r="AJ238" t="str">
            <v>08</v>
          </cell>
        </row>
        <row r="239">
          <cell r="AA239" t="str">
            <v>Aaa</v>
          </cell>
          <cell r="AB239">
            <v>36744</v>
          </cell>
          <cell r="AC239">
            <v>2000</v>
          </cell>
          <cell r="AD239" t="str">
            <v>St2</v>
          </cell>
          <cell r="AE239" t="str">
            <v>Qd2</v>
          </cell>
          <cell r="AF239" t="str">
            <v>Tr3</v>
          </cell>
          <cell r="AG239" t="str">
            <v>Tr3-2000</v>
          </cell>
          <cell r="AH239" t="str">
            <v>2000-Tr3</v>
          </cell>
          <cell r="AI239">
            <v>8</v>
          </cell>
          <cell r="AJ239" t="str">
            <v>08</v>
          </cell>
        </row>
        <row r="240">
          <cell r="AA240" t="str">
            <v>Aaa</v>
          </cell>
          <cell r="AB240">
            <v>36745</v>
          </cell>
          <cell r="AC240">
            <v>2000</v>
          </cell>
          <cell r="AD240" t="str">
            <v>St2</v>
          </cell>
          <cell r="AE240" t="str">
            <v>Qd2</v>
          </cell>
          <cell r="AF240" t="str">
            <v>Tr3</v>
          </cell>
          <cell r="AG240" t="str">
            <v>Tr3-2000</v>
          </cell>
          <cell r="AH240" t="str">
            <v>2000-Tr3</v>
          </cell>
          <cell r="AI240">
            <v>8</v>
          </cell>
          <cell r="AJ240" t="str">
            <v>08</v>
          </cell>
        </row>
        <row r="241">
          <cell r="AA241" t="str">
            <v>Aaa</v>
          </cell>
          <cell r="AB241">
            <v>36746</v>
          </cell>
          <cell r="AC241">
            <v>2000</v>
          </cell>
          <cell r="AD241" t="str">
            <v>St2</v>
          </cell>
          <cell r="AE241" t="str">
            <v>Qd2</v>
          </cell>
          <cell r="AF241" t="str">
            <v>Tr3</v>
          </cell>
          <cell r="AG241" t="str">
            <v>Tr3-2000</v>
          </cell>
          <cell r="AH241" t="str">
            <v>2000-Tr3</v>
          </cell>
          <cell r="AI241">
            <v>8</v>
          </cell>
          <cell r="AJ241" t="str">
            <v>08</v>
          </cell>
        </row>
        <row r="242">
          <cell r="AA242" t="str">
            <v>Aaa</v>
          </cell>
          <cell r="AB242">
            <v>36747</v>
          </cell>
          <cell r="AC242">
            <v>2000</v>
          </cell>
          <cell r="AD242" t="str">
            <v>St2</v>
          </cell>
          <cell r="AE242" t="str">
            <v>Qd2</v>
          </cell>
          <cell r="AF242" t="str">
            <v>Tr3</v>
          </cell>
          <cell r="AG242" t="str">
            <v>Tr3-2000</v>
          </cell>
          <cell r="AH242" t="str">
            <v>2000-Tr3</v>
          </cell>
          <cell r="AI242">
            <v>8</v>
          </cell>
          <cell r="AJ242" t="str">
            <v>08</v>
          </cell>
        </row>
        <row r="243">
          <cell r="AA243" t="str">
            <v>Aaa</v>
          </cell>
          <cell r="AB243">
            <v>36748</v>
          </cell>
          <cell r="AC243">
            <v>2000</v>
          </cell>
          <cell r="AD243" t="str">
            <v>St2</v>
          </cell>
          <cell r="AE243" t="str">
            <v>Qd2</v>
          </cell>
          <cell r="AF243" t="str">
            <v>Tr3</v>
          </cell>
          <cell r="AG243" t="str">
            <v>Tr3-2000</v>
          </cell>
          <cell r="AH243" t="str">
            <v>2000-Tr3</v>
          </cell>
          <cell r="AI243">
            <v>8</v>
          </cell>
          <cell r="AJ243" t="str">
            <v>08</v>
          </cell>
        </row>
        <row r="244">
          <cell r="AA244" t="str">
            <v>Aaa</v>
          </cell>
          <cell r="AB244">
            <v>36749</v>
          </cell>
          <cell r="AC244">
            <v>2000</v>
          </cell>
          <cell r="AD244" t="str">
            <v>St2</v>
          </cell>
          <cell r="AE244" t="str">
            <v>Qd2</v>
          </cell>
          <cell r="AF244" t="str">
            <v>Tr3</v>
          </cell>
          <cell r="AG244" t="str">
            <v>Tr3-2000</v>
          </cell>
          <cell r="AH244" t="str">
            <v>2000-Tr3</v>
          </cell>
          <cell r="AI244">
            <v>8</v>
          </cell>
          <cell r="AJ244" t="str">
            <v>08</v>
          </cell>
        </row>
        <row r="245">
          <cell r="AA245" t="str">
            <v>Aaa</v>
          </cell>
          <cell r="AB245">
            <v>36750</v>
          </cell>
          <cell r="AC245">
            <v>2000</v>
          </cell>
          <cell r="AD245" t="str">
            <v>St2</v>
          </cell>
          <cell r="AE245" t="str">
            <v>Qd2</v>
          </cell>
          <cell r="AF245" t="str">
            <v>Tr3</v>
          </cell>
          <cell r="AG245" t="str">
            <v>Tr3-2000</v>
          </cell>
          <cell r="AH245" t="str">
            <v>2000-Tr3</v>
          </cell>
          <cell r="AI245">
            <v>8</v>
          </cell>
          <cell r="AJ245" t="str">
            <v>08</v>
          </cell>
        </row>
        <row r="246">
          <cell r="AA246" t="str">
            <v>Aaa</v>
          </cell>
          <cell r="AB246">
            <v>36751</v>
          </cell>
          <cell r="AC246">
            <v>2000</v>
          </cell>
          <cell r="AD246" t="str">
            <v>St2</v>
          </cell>
          <cell r="AE246" t="str">
            <v>Qd2</v>
          </cell>
          <cell r="AF246" t="str">
            <v>Tr3</v>
          </cell>
          <cell r="AG246" t="str">
            <v>Tr3-2000</v>
          </cell>
          <cell r="AH246" t="str">
            <v>2000-Tr3</v>
          </cell>
          <cell r="AI246">
            <v>8</v>
          </cell>
          <cell r="AJ246" t="str">
            <v>08</v>
          </cell>
        </row>
        <row r="247">
          <cell r="AA247" t="str">
            <v>Aaa</v>
          </cell>
          <cell r="AB247">
            <v>36752</v>
          </cell>
          <cell r="AC247">
            <v>2000</v>
          </cell>
          <cell r="AD247" t="str">
            <v>St2</v>
          </cell>
          <cell r="AE247" t="str">
            <v>Qd2</v>
          </cell>
          <cell r="AF247" t="str">
            <v>Tr3</v>
          </cell>
          <cell r="AG247" t="str">
            <v>Tr3-2000</v>
          </cell>
          <cell r="AH247" t="str">
            <v>2000-Tr3</v>
          </cell>
          <cell r="AI247">
            <v>8</v>
          </cell>
          <cell r="AJ247" t="str">
            <v>08</v>
          </cell>
        </row>
        <row r="248">
          <cell r="AA248" t="str">
            <v>Aaa</v>
          </cell>
          <cell r="AB248">
            <v>36753</v>
          </cell>
          <cell r="AC248">
            <v>2000</v>
          </cell>
          <cell r="AD248" t="str">
            <v>St2</v>
          </cell>
          <cell r="AE248" t="str">
            <v>Qd2</v>
          </cell>
          <cell r="AF248" t="str">
            <v>Tr3</v>
          </cell>
          <cell r="AG248" t="str">
            <v>Tr3-2000</v>
          </cell>
          <cell r="AH248" t="str">
            <v>2000-Tr3</v>
          </cell>
          <cell r="AI248">
            <v>8</v>
          </cell>
          <cell r="AJ248" t="str">
            <v>08</v>
          </cell>
        </row>
        <row r="249">
          <cell r="AA249" t="str">
            <v>Aaa</v>
          </cell>
          <cell r="AB249">
            <v>36754</v>
          </cell>
          <cell r="AC249">
            <v>2000</v>
          </cell>
          <cell r="AD249" t="str">
            <v>St2</v>
          </cell>
          <cell r="AE249" t="str">
            <v>Qd2</v>
          </cell>
          <cell r="AF249" t="str">
            <v>Tr3</v>
          </cell>
          <cell r="AG249" t="str">
            <v>Tr3-2000</v>
          </cell>
          <cell r="AH249" t="str">
            <v>2000-Tr3</v>
          </cell>
          <cell r="AI249">
            <v>8</v>
          </cell>
          <cell r="AJ249" t="str">
            <v>08</v>
          </cell>
        </row>
        <row r="250">
          <cell r="AA250" t="str">
            <v>Aaa</v>
          </cell>
          <cell r="AB250">
            <v>36755</v>
          </cell>
          <cell r="AC250">
            <v>2000</v>
          </cell>
          <cell r="AD250" t="str">
            <v>St2</v>
          </cell>
          <cell r="AE250" t="str">
            <v>Qd2</v>
          </cell>
          <cell r="AF250" t="str">
            <v>Tr3</v>
          </cell>
          <cell r="AG250" t="str">
            <v>Tr3-2000</v>
          </cell>
          <cell r="AH250" t="str">
            <v>2000-Tr3</v>
          </cell>
          <cell r="AI250">
            <v>8</v>
          </cell>
          <cell r="AJ250" t="str">
            <v>08</v>
          </cell>
        </row>
        <row r="251">
          <cell r="AA251" t="str">
            <v>Aaa</v>
          </cell>
          <cell r="AB251">
            <v>36756</v>
          </cell>
          <cell r="AC251">
            <v>2000</v>
          </cell>
          <cell r="AD251" t="str">
            <v>St2</v>
          </cell>
          <cell r="AE251" t="str">
            <v>Qd2</v>
          </cell>
          <cell r="AF251" t="str">
            <v>Tr3</v>
          </cell>
          <cell r="AG251" t="str">
            <v>Tr3-2000</v>
          </cell>
          <cell r="AH251" t="str">
            <v>2000-Tr3</v>
          </cell>
          <cell r="AI251">
            <v>8</v>
          </cell>
          <cell r="AJ251" t="str">
            <v>08</v>
          </cell>
        </row>
        <row r="252">
          <cell r="AA252" t="str">
            <v>Aaa</v>
          </cell>
          <cell r="AB252">
            <v>36757</v>
          </cell>
          <cell r="AC252">
            <v>2000</v>
          </cell>
          <cell r="AD252" t="str">
            <v>St2</v>
          </cell>
          <cell r="AE252" t="str">
            <v>Qd2</v>
          </cell>
          <cell r="AF252" t="str">
            <v>Tr3</v>
          </cell>
          <cell r="AG252" t="str">
            <v>Tr3-2000</v>
          </cell>
          <cell r="AH252" t="str">
            <v>2000-Tr3</v>
          </cell>
          <cell r="AI252">
            <v>8</v>
          </cell>
          <cell r="AJ252" t="str">
            <v>08</v>
          </cell>
        </row>
        <row r="253">
          <cell r="AA253" t="str">
            <v>Aaa</v>
          </cell>
          <cell r="AB253">
            <v>36758</v>
          </cell>
          <cell r="AC253">
            <v>2000</v>
          </cell>
          <cell r="AD253" t="str">
            <v>St2</v>
          </cell>
          <cell r="AE253" t="str">
            <v>Qd2</v>
          </cell>
          <cell r="AF253" t="str">
            <v>Tr3</v>
          </cell>
          <cell r="AG253" t="str">
            <v>Tr3-2000</v>
          </cell>
          <cell r="AH253" t="str">
            <v>2000-Tr3</v>
          </cell>
          <cell r="AI253">
            <v>8</v>
          </cell>
          <cell r="AJ253" t="str">
            <v>08</v>
          </cell>
        </row>
        <row r="254">
          <cell r="AA254" t="str">
            <v>Aaa</v>
          </cell>
          <cell r="AB254">
            <v>36759</v>
          </cell>
          <cell r="AC254">
            <v>2000</v>
          </cell>
          <cell r="AD254" t="str">
            <v>St2</v>
          </cell>
          <cell r="AE254" t="str">
            <v>Qd2</v>
          </cell>
          <cell r="AF254" t="str">
            <v>Tr3</v>
          </cell>
          <cell r="AG254" t="str">
            <v>Tr3-2000</v>
          </cell>
          <cell r="AH254" t="str">
            <v>2000-Tr3</v>
          </cell>
          <cell r="AI254">
            <v>8</v>
          </cell>
          <cell r="AJ254" t="str">
            <v>08</v>
          </cell>
        </row>
        <row r="255">
          <cell r="AA255" t="str">
            <v>Aaa</v>
          </cell>
          <cell r="AB255">
            <v>36760</v>
          </cell>
          <cell r="AC255">
            <v>2000</v>
          </cell>
          <cell r="AD255" t="str">
            <v>St2</v>
          </cell>
          <cell r="AE255" t="str">
            <v>Qd2</v>
          </cell>
          <cell r="AF255" t="str">
            <v>Tr3</v>
          </cell>
          <cell r="AG255" t="str">
            <v>Tr3-2000</v>
          </cell>
          <cell r="AH255" t="str">
            <v>2000-Tr3</v>
          </cell>
          <cell r="AI255">
            <v>8</v>
          </cell>
          <cell r="AJ255" t="str">
            <v>08</v>
          </cell>
        </row>
        <row r="256">
          <cell r="AA256" t="str">
            <v>Aaa</v>
          </cell>
          <cell r="AB256">
            <v>36761</v>
          </cell>
          <cell r="AC256">
            <v>2000</v>
          </cell>
          <cell r="AD256" t="str">
            <v>St2</v>
          </cell>
          <cell r="AE256" t="str">
            <v>Qd2</v>
          </cell>
          <cell r="AF256" t="str">
            <v>Tr3</v>
          </cell>
          <cell r="AG256" t="str">
            <v>Tr3-2000</v>
          </cell>
          <cell r="AH256" t="str">
            <v>2000-Tr3</v>
          </cell>
          <cell r="AI256">
            <v>8</v>
          </cell>
          <cell r="AJ256" t="str">
            <v>08</v>
          </cell>
        </row>
        <row r="257">
          <cell r="AA257" t="str">
            <v>Aaa</v>
          </cell>
          <cell r="AB257">
            <v>36762</v>
          </cell>
          <cell r="AC257">
            <v>2000</v>
          </cell>
          <cell r="AD257" t="str">
            <v>St2</v>
          </cell>
          <cell r="AE257" t="str">
            <v>Qd2</v>
          </cell>
          <cell r="AF257" t="str">
            <v>Tr3</v>
          </cell>
          <cell r="AG257" t="str">
            <v>Tr3-2000</v>
          </cell>
          <cell r="AH257" t="str">
            <v>2000-Tr3</v>
          </cell>
          <cell r="AI257">
            <v>8</v>
          </cell>
          <cell r="AJ257" t="str">
            <v>08</v>
          </cell>
        </row>
        <row r="258">
          <cell r="AA258" t="str">
            <v>Aaa</v>
          </cell>
          <cell r="AB258">
            <v>36763</v>
          </cell>
          <cell r="AC258">
            <v>2000</v>
          </cell>
          <cell r="AD258" t="str">
            <v>St2</v>
          </cell>
          <cell r="AE258" t="str">
            <v>Qd2</v>
          </cell>
          <cell r="AF258" t="str">
            <v>Tr3</v>
          </cell>
          <cell r="AG258" t="str">
            <v>Tr3-2000</v>
          </cell>
          <cell r="AH258" t="str">
            <v>2000-Tr3</v>
          </cell>
          <cell r="AI258">
            <v>8</v>
          </cell>
          <cell r="AJ258" t="str">
            <v>08</v>
          </cell>
        </row>
        <row r="259">
          <cell r="AA259" t="str">
            <v>Aaa</v>
          </cell>
          <cell r="AB259">
            <v>36764</v>
          </cell>
          <cell r="AC259">
            <v>2000</v>
          </cell>
          <cell r="AD259" t="str">
            <v>St2</v>
          </cell>
          <cell r="AE259" t="str">
            <v>Qd2</v>
          </cell>
          <cell r="AF259" t="str">
            <v>Tr3</v>
          </cell>
          <cell r="AG259" t="str">
            <v>Tr3-2000</v>
          </cell>
          <cell r="AH259" t="str">
            <v>2000-Tr3</v>
          </cell>
          <cell r="AI259">
            <v>8</v>
          </cell>
          <cell r="AJ259" t="str">
            <v>08</v>
          </cell>
        </row>
        <row r="260">
          <cell r="AA260" t="str">
            <v>Aaa</v>
          </cell>
          <cell r="AB260">
            <v>36765</v>
          </cell>
          <cell r="AC260">
            <v>2000</v>
          </cell>
          <cell r="AD260" t="str">
            <v>St2</v>
          </cell>
          <cell r="AE260" t="str">
            <v>Qd2</v>
          </cell>
          <cell r="AF260" t="str">
            <v>Tr3</v>
          </cell>
          <cell r="AG260" t="str">
            <v>Tr3-2000</v>
          </cell>
          <cell r="AH260" t="str">
            <v>2000-Tr3</v>
          </cell>
          <cell r="AI260">
            <v>8</v>
          </cell>
          <cell r="AJ260" t="str">
            <v>08</v>
          </cell>
        </row>
        <row r="261">
          <cell r="AA261" t="str">
            <v>Aaa</v>
          </cell>
          <cell r="AB261">
            <v>36766</v>
          </cell>
          <cell r="AC261">
            <v>2000</v>
          </cell>
          <cell r="AD261" t="str">
            <v>St2</v>
          </cell>
          <cell r="AE261" t="str">
            <v>Qd2</v>
          </cell>
          <cell r="AF261" t="str">
            <v>Tr3</v>
          </cell>
          <cell r="AG261" t="str">
            <v>Tr3-2000</v>
          </cell>
          <cell r="AH261" t="str">
            <v>2000-Tr3</v>
          </cell>
          <cell r="AI261">
            <v>8</v>
          </cell>
          <cell r="AJ261" t="str">
            <v>08</v>
          </cell>
        </row>
        <row r="262">
          <cell r="AA262" t="str">
            <v>Aaa</v>
          </cell>
          <cell r="AB262">
            <v>36767</v>
          </cell>
          <cell r="AC262">
            <v>2000</v>
          </cell>
          <cell r="AD262" t="str">
            <v>St2</v>
          </cell>
          <cell r="AE262" t="str">
            <v>Qd2</v>
          </cell>
          <cell r="AF262" t="str">
            <v>Tr3</v>
          </cell>
          <cell r="AG262" t="str">
            <v>Tr3-2000</v>
          </cell>
          <cell r="AH262" t="str">
            <v>2000-Tr3</v>
          </cell>
          <cell r="AI262">
            <v>8</v>
          </cell>
          <cell r="AJ262" t="str">
            <v>08</v>
          </cell>
        </row>
        <row r="263">
          <cell r="AA263" t="str">
            <v>Aaa</v>
          </cell>
          <cell r="AB263">
            <v>36768</v>
          </cell>
          <cell r="AC263">
            <v>2000</v>
          </cell>
          <cell r="AD263" t="str">
            <v>St2</v>
          </cell>
          <cell r="AE263" t="str">
            <v>Qd2</v>
          </cell>
          <cell r="AF263" t="str">
            <v>Tr3</v>
          </cell>
          <cell r="AG263" t="str">
            <v>Tr3-2000</v>
          </cell>
          <cell r="AH263" t="str">
            <v>2000-Tr3</v>
          </cell>
          <cell r="AI263">
            <v>8</v>
          </cell>
          <cell r="AJ263" t="str">
            <v>08</v>
          </cell>
        </row>
        <row r="264">
          <cell r="AA264" t="str">
            <v>Aaa</v>
          </cell>
          <cell r="AB264">
            <v>36769</v>
          </cell>
          <cell r="AC264">
            <v>2000</v>
          </cell>
          <cell r="AD264" t="str">
            <v>St2</v>
          </cell>
          <cell r="AE264" t="str">
            <v>Qd2</v>
          </cell>
          <cell r="AF264" t="str">
            <v>Tr3</v>
          </cell>
          <cell r="AG264" t="str">
            <v>Tr3-2000</v>
          </cell>
          <cell r="AH264" t="str">
            <v>2000-Tr3</v>
          </cell>
          <cell r="AI264">
            <v>8</v>
          </cell>
          <cell r="AJ264" t="str">
            <v>08</v>
          </cell>
        </row>
        <row r="265">
          <cell r="AA265" t="str">
            <v>Aaa</v>
          </cell>
          <cell r="AB265">
            <v>36770</v>
          </cell>
          <cell r="AC265">
            <v>2000</v>
          </cell>
          <cell r="AD265" t="str">
            <v>St2</v>
          </cell>
          <cell r="AE265" t="str">
            <v>Qd3</v>
          </cell>
          <cell r="AF265" t="str">
            <v>Tr3</v>
          </cell>
          <cell r="AG265" t="str">
            <v>Tr3-2000</v>
          </cell>
          <cell r="AH265" t="str">
            <v>2000-Tr3</v>
          </cell>
          <cell r="AI265">
            <v>9</v>
          </cell>
          <cell r="AJ265" t="str">
            <v>09</v>
          </cell>
        </row>
        <row r="266">
          <cell r="AA266" t="str">
            <v>Aaa</v>
          </cell>
          <cell r="AB266">
            <v>36771</v>
          </cell>
          <cell r="AC266">
            <v>2000</v>
          </cell>
          <cell r="AD266" t="str">
            <v>St2</v>
          </cell>
          <cell r="AE266" t="str">
            <v>Qd3</v>
          </cell>
          <cell r="AF266" t="str">
            <v>Tr3</v>
          </cell>
          <cell r="AG266" t="str">
            <v>Tr3-2000</v>
          </cell>
          <cell r="AH266" t="str">
            <v>2000-Tr3</v>
          </cell>
          <cell r="AI266">
            <v>9</v>
          </cell>
          <cell r="AJ266" t="str">
            <v>09</v>
          </cell>
        </row>
        <row r="267">
          <cell r="AA267" t="str">
            <v>Aaa</v>
          </cell>
          <cell r="AB267">
            <v>36772</v>
          </cell>
          <cell r="AC267">
            <v>2000</v>
          </cell>
          <cell r="AD267" t="str">
            <v>St2</v>
          </cell>
          <cell r="AE267" t="str">
            <v>Qd3</v>
          </cell>
          <cell r="AF267" t="str">
            <v>Tr3</v>
          </cell>
          <cell r="AG267" t="str">
            <v>Tr3-2000</v>
          </cell>
          <cell r="AH267" t="str">
            <v>2000-Tr3</v>
          </cell>
          <cell r="AI267">
            <v>9</v>
          </cell>
          <cell r="AJ267" t="str">
            <v>09</v>
          </cell>
        </row>
        <row r="268">
          <cell r="AA268" t="str">
            <v>Aaa</v>
          </cell>
          <cell r="AB268">
            <v>36773</v>
          </cell>
          <cell r="AC268">
            <v>2000</v>
          </cell>
          <cell r="AD268" t="str">
            <v>St2</v>
          </cell>
          <cell r="AE268" t="str">
            <v>Qd3</v>
          </cell>
          <cell r="AF268" t="str">
            <v>Tr3</v>
          </cell>
          <cell r="AG268" t="str">
            <v>Tr3-2000</v>
          </cell>
          <cell r="AH268" t="str">
            <v>2000-Tr3</v>
          </cell>
          <cell r="AI268">
            <v>9</v>
          </cell>
          <cell r="AJ268" t="str">
            <v>09</v>
          </cell>
        </row>
        <row r="269">
          <cell r="AA269" t="str">
            <v>Aaa</v>
          </cell>
          <cell r="AB269">
            <v>36774</v>
          </cell>
          <cell r="AC269">
            <v>2000</v>
          </cell>
          <cell r="AD269" t="str">
            <v>St2</v>
          </cell>
          <cell r="AE269" t="str">
            <v>Qd3</v>
          </cell>
          <cell r="AF269" t="str">
            <v>Tr3</v>
          </cell>
          <cell r="AG269" t="str">
            <v>Tr3-2000</v>
          </cell>
          <cell r="AH269" t="str">
            <v>2000-Tr3</v>
          </cell>
          <cell r="AI269">
            <v>9</v>
          </cell>
          <cell r="AJ269" t="str">
            <v>09</v>
          </cell>
        </row>
        <row r="270">
          <cell r="AA270" t="str">
            <v>Aaa</v>
          </cell>
          <cell r="AB270">
            <v>36775</v>
          </cell>
          <cell r="AC270">
            <v>2000</v>
          </cell>
          <cell r="AD270" t="str">
            <v>St2</v>
          </cell>
          <cell r="AE270" t="str">
            <v>Qd3</v>
          </cell>
          <cell r="AF270" t="str">
            <v>Tr3</v>
          </cell>
          <cell r="AG270" t="str">
            <v>Tr3-2000</v>
          </cell>
          <cell r="AH270" t="str">
            <v>2000-Tr3</v>
          </cell>
          <cell r="AI270">
            <v>9</v>
          </cell>
          <cell r="AJ270" t="str">
            <v>09</v>
          </cell>
        </row>
        <row r="271">
          <cell r="AA271" t="str">
            <v>Aaa</v>
          </cell>
          <cell r="AB271">
            <v>36776</v>
          </cell>
          <cell r="AC271">
            <v>2000</v>
          </cell>
          <cell r="AD271" t="str">
            <v>St2</v>
          </cell>
          <cell r="AE271" t="str">
            <v>Qd3</v>
          </cell>
          <cell r="AF271" t="str">
            <v>Tr3</v>
          </cell>
          <cell r="AG271" t="str">
            <v>Tr3-2000</v>
          </cell>
          <cell r="AH271" t="str">
            <v>2000-Tr3</v>
          </cell>
          <cell r="AI271">
            <v>9</v>
          </cell>
          <cell r="AJ271" t="str">
            <v>09</v>
          </cell>
        </row>
        <row r="272">
          <cell r="AA272" t="str">
            <v>Aaa</v>
          </cell>
          <cell r="AB272">
            <v>36777</v>
          </cell>
          <cell r="AC272">
            <v>2000</v>
          </cell>
          <cell r="AD272" t="str">
            <v>St2</v>
          </cell>
          <cell r="AE272" t="str">
            <v>Qd3</v>
          </cell>
          <cell r="AF272" t="str">
            <v>Tr3</v>
          </cell>
          <cell r="AG272" t="str">
            <v>Tr3-2000</v>
          </cell>
          <cell r="AH272" t="str">
            <v>2000-Tr3</v>
          </cell>
          <cell r="AI272">
            <v>9</v>
          </cell>
          <cell r="AJ272" t="str">
            <v>09</v>
          </cell>
        </row>
        <row r="273">
          <cell r="AA273" t="str">
            <v>Aaa</v>
          </cell>
          <cell r="AB273">
            <v>36778</v>
          </cell>
          <cell r="AC273">
            <v>2000</v>
          </cell>
          <cell r="AD273" t="str">
            <v>St2</v>
          </cell>
          <cell r="AE273" t="str">
            <v>Qd3</v>
          </cell>
          <cell r="AF273" t="str">
            <v>Tr3</v>
          </cell>
          <cell r="AG273" t="str">
            <v>Tr3-2000</v>
          </cell>
          <cell r="AH273" t="str">
            <v>2000-Tr3</v>
          </cell>
          <cell r="AI273">
            <v>9</v>
          </cell>
          <cell r="AJ273" t="str">
            <v>09</v>
          </cell>
        </row>
        <row r="274">
          <cell r="AA274" t="str">
            <v>Aaa</v>
          </cell>
          <cell r="AB274">
            <v>36779</v>
          </cell>
          <cell r="AC274">
            <v>2000</v>
          </cell>
          <cell r="AD274" t="str">
            <v>St2</v>
          </cell>
          <cell r="AE274" t="str">
            <v>Qd3</v>
          </cell>
          <cell r="AF274" t="str">
            <v>Tr3</v>
          </cell>
          <cell r="AG274" t="str">
            <v>Tr3-2000</v>
          </cell>
          <cell r="AH274" t="str">
            <v>2000-Tr3</v>
          </cell>
          <cell r="AI274">
            <v>9</v>
          </cell>
          <cell r="AJ274" t="str">
            <v>09</v>
          </cell>
        </row>
        <row r="275">
          <cell r="AA275" t="str">
            <v>Aaa</v>
          </cell>
          <cell r="AB275">
            <v>36780</v>
          </cell>
          <cell r="AC275">
            <v>2000</v>
          </cell>
          <cell r="AD275" t="str">
            <v>St2</v>
          </cell>
          <cell r="AE275" t="str">
            <v>Qd3</v>
          </cell>
          <cell r="AF275" t="str">
            <v>Tr3</v>
          </cell>
          <cell r="AG275" t="str">
            <v>Tr3-2000</v>
          </cell>
          <cell r="AH275" t="str">
            <v>2000-Tr3</v>
          </cell>
          <cell r="AI275">
            <v>9</v>
          </cell>
          <cell r="AJ275" t="str">
            <v>09</v>
          </cell>
        </row>
        <row r="276">
          <cell r="AA276" t="str">
            <v>Aaa</v>
          </cell>
          <cell r="AB276">
            <v>36781</v>
          </cell>
          <cell r="AC276">
            <v>2000</v>
          </cell>
          <cell r="AD276" t="str">
            <v>St2</v>
          </cell>
          <cell r="AE276" t="str">
            <v>Qd3</v>
          </cell>
          <cell r="AF276" t="str">
            <v>Tr3</v>
          </cell>
          <cell r="AG276" t="str">
            <v>Tr3-2000</v>
          </cell>
          <cell r="AH276" t="str">
            <v>2000-Tr3</v>
          </cell>
          <cell r="AI276">
            <v>9</v>
          </cell>
          <cell r="AJ276" t="str">
            <v>09</v>
          </cell>
        </row>
        <row r="277">
          <cell r="AA277" t="str">
            <v>Aaa</v>
          </cell>
          <cell r="AB277">
            <v>36782</v>
          </cell>
          <cell r="AC277">
            <v>2000</v>
          </cell>
          <cell r="AD277" t="str">
            <v>St2</v>
          </cell>
          <cell r="AE277" t="str">
            <v>Qd3</v>
          </cell>
          <cell r="AF277" t="str">
            <v>Tr3</v>
          </cell>
          <cell r="AG277" t="str">
            <v>Tr3-2000</v>
          </cell>
          <cell r="AH277" t="str">
            <v>2000-Tr3</v>
          </cell>
          <cell r="AI277">
            <v>9</v>
          </cell>
          <cell r="AJ277" t="str">
            <v>09</v>
          </cell>
        </row>
        <row r="278">
          <cell r="AA278" t="str">
            <v>Aaa</v>
          </cell>
          <cell r="AB278">
            <v>36783</v>
          </cell>
          <cell r="AC278">
            <v>2000</v>
          </cell>
          <cell r="AD278" t="str">
            <v>St2</v>
          </cell>
          <cell r="AE278" t="str">
            <v>Qd3</v>
          </cell>
          <cell r="AF278" t="str">
            <v>Tr3</v>
          </cell>
          <cell r="AG278" t="str">
            <v>Tr3-2000</v>
          </cell>
          <cell r="AH278" t="str">
            <v>2000-Tr3</v>
          </cell>
          <cell r="AI278">
            <v>9</v>
          </cell>
          <cell r="AJ278" t="str">
            <v>09</v>
          </cell>
        </row>
        <row r="279">
          <cell r="AA279" t="str">
            <v>Aaa</v>
          </cell>
          <cell r="AB279">
            <v>36784</v>
          </cell>
          <cell r="AC279">
            <v>2000</v>
          </cell>
          <cell r="AD279" t="str">
            <v>St2</v>
          </cell>
          <cell r="AE279" t="str">
            <v>Qd3</v>
          </cell>
          <cell r="AF279" t="str">
            <v>Tr3</v>
          </cell>
          <cell r="AG279" t="str">
            <v>Tr3-2000</v>
          </cell>
          <cell r="AH279" t="str">
            <v>2000-Tr3</v>
          </cell>
          <cell r="AI279">
            <v>9</v>
          </cell>
          <cell r="AJ279" t="str">
            <v>09</v>
          </cell>
        </row>
        <row r="280">
          <cell r="AA280" t="str">
            <v>Aaa</v>
          </cell>
          <cell r="AB280">
            <v>36785</v>
          </cell>
          <cell r="AC280">
            <v>2000</v>
          </cell>
          <cell r="AD280" t="str">
            <v>St2</v>
          </cell>
          <cell r="AE280" t="str">
            <v>Qd3</v>
          </cell>
          <cell r="AF280" t="str">
            <v>Tr3</v>
          </cell>
          <cell r="AG280" t="str">
            <v>Tr3-2000</v>
          </cell>
          <cell r="AH280" t="str">
            <v>2000-Tr3</v>
          </cell>
          <cell r="AI280">
            <v>9</v>
          </cell>
          <cell r="AJ280" t="str">
            <v>09</v>
          </cell>
        </row>
        <row r="281">
          <cell r="AA281" t="str">
            <v>Aaa</v>
          </cell>
          <cell r="AB281">
            <v>36786</v>
          </cell>
          <cell r="AC281">
            <v>2000</v>
          </cell>
          <cell r="AD281" t="str">
            <v>St2</v>
          </cell>
          <cell r="AE281" t="str">
            <v>Qd3</v>
          </cell>
          <cell r="AF281" t="str">
            <v>Tr3</v>
          </cell>
          <cell r="AG281" t="str">
            <v>Tr3-2000</v>
          </cell>
          <cell r="AH281" t="str">
            <v>2000-Tr3</v>
          </cell>
          <cell r="AI281">
            <v>9</v>
          </cell>
          <cell r="AJ281" t="str">
            <v>09</v>
          </cell>
        </row>
        <row r="282">
          <cell r="AA282" t="str">
            <v>Aaa</v>
          </cell>
          <cell r="AB282">
            <v>36787</v>
          </cell>
          <cell r="AC282">
            <v>2000</v>
          </cell>
          <cell r="AD282" t="str">
            <v>St2</v>
          </cell>
          <cell r="AE282" t="str">
            <v>Qd3</v>
          </cell>
          <cell r="AF282" t="str">
            <v>Tr3</v>
          </cell>
          <cell r="AG282" t="str">
            <v>Tr3-2000</v>
          </cell>
          <cell r="AH282" t="str">
            <v>2000-Tr3</v>
          </cell>
          <cell r="AI282">
            <v>9</v>
          </cell>
          <cell r="AJ282" t="str">
            <v>09</v>
          </cell>
        </row>
        <row r="283">
          <cell r="AA283" t="str">
            <v>Aaa</v>
          </cell>
          <cell r="AB283">
            <v>36788</v>
          </cell>
          <cell r="AC283">
            <v>2000</v>
          </cell>
          <cell r="AD283" t="str">
            <v>St2</v>
          </cell>
          <cell r="AE283" t="str">
            <v>Qd3</v>
          </cell>
          <cell r="AF283" t="str">
            <v>Tr3</v>
          </cell>
          <cell r="AG283" t="str">
            <v>Tr3-2000</v>
          </cell>
          <cell r="AH283" t="str">
            <v>2000-Tr3</v>
          </cell>
          <cell r="AI283">
            <v>9</v>
          </cell>
          <cell r="AJ283" t="str">
            <v>09</v>
          </cell>
        </row>
        <row r="284">
          <cell r="AA284" t="str">
            <v>Aaa</v>
          </cell>
          <cell r="AB284">
            <v>36789</v>
          </cell>
          <cell r="AC284">
            <v>2000</v>
          </cell>
          <cell r="AD284" t="str">
            <v>St2</v>
          </cell>
          <cell r="AE284" t="str">
            <v>Qd3</v>
          </cell>
          <cell r="AF284" t="str">
            <v>Tr3</v>
          </cell>
          <cell r="AG284" t="str">
            <v>Tr3-2000</v>
          </cell>
          <cell r="AH284" t="str">
            <v>2000-Tr3</v>
          </cell>
          <cell r="AI284">
            <v>9</v>
          </cell>
          <cell r="AJ284" t="str">
            <v>09</v>
          </cell>
        </row>
        <row r="285">
          <cell r="AA285" t="str">
            <v>Aaa</v>
          </cell>
          <cell r="AB285">
            <v>36790</v>
          </cell>
          <cell r="AC285">
            <v>2000</v>
          </cell>
          <cell r="AD285" t="str">
            <v>St2</v>
          </cell>
          <cell r="AE285" t="str">
            <v>Qd3</v>
          </cell>
          <cell r="AF285" t="str">
            <v>Tr3</v>
          </cell>
          <cell r="AG285" t="str">
            <v>Tr3-2000</v>
          </cell>
          <cell r="AH285" t="str">
            <v>2000-Tr3</v>
          </cell>
          <cell r="AI285">
            <v>9</v>
          </cell>
          <cell r="AJ285" t="str">
            <v>09</v>
          </cell>
        </row>
        <row r="286">
          <cell r="AA286" t="str">
            <v>Aaa</v>
          </cell>
          <cell r="AB286">
            <v>36791</v>
          </cell>
          <cell r="AC286">
            <v>2000</v>
          </cell>
          <cell r="AD286" t="str">
            <v>St2</v>
          </cell>
          <cell r="AE286" t="str">
            <v>Qd3</v>
          </cell>
          <cell r="AF286" t="str">
            <v>Tr3</v>
          </cell>
          <cell r="AG286" t="str">
            <v>Tr3-2000</v>
          </cell>
          <cell r="AH286" t="str">
            <v>2000-Tr3</v>
          </cell>
          <cell r="AI286">
            <v>9</v>
          </cell>
          <cell r="AJ286" t="str">
            <v>09</v>
          </cell>
        </row>
        <row r="287">
          <cell r="AA287" t="str">
            <v>Aaa</v>
          </cell>
          <cell r="AB287">
            <v>36792</v>
          </cell>
          <cell r="AC287">
            <v>2000</v>
          </cell>
          <cell r="AD287" t="str">
            <v>St2</v>
          </cell>
          <cell r="AE287" t="str">
            <v>Qd3</v>
          </cell>
          <cell r="AF287" t="str">
            <v>Tr3</v>
          </cell>
          <cell r="AG287" t="str">
            <v>Tr3-2000</v>
          </cell>
          <cell r="AH287" t="str">
            <v>2000-Tr3</v>
          </cell>
          <cell r="AI287">
            <v>9</v>
          </cell>
          <cell r="AJ287" t="str">
            <v>09</v>
          </cell>
        </row>
        <row r="288">
          <cell r="AA288" t="str">
            <v>Aaa</v>
          </cell>
          <cell r="AB288">
            <v>36793</v>
          </cell>
          <cell r="AC288">
            <v>2000</v>
          </cell>
          <cell r="AD288" t="str">
            <v>St2</v>
          </cell>
          <cell r="AE288" t="str">
            <v>Qd3</v>
          </cell>
          <cell r="AF288" t="str">
            <v>Tr3</v>
          </cell>
          <cell r="AG288" t="str">
            <v>Tr3-2000</v>
          </cell>
          <cell r="AH288" t="str">
            <v>2000-Tr3</v>
          </cell>
          <cell r="AI288">
            <v>9</v>
          </cell>
          <cell r="AJ288" t="str">
            <v>09</v>
          </cell>
        </row>
        <row r="289">
          <cell r="AA289" t="str">
            <v>Aaa</v>
          </cell>
          <cell r="AB289">
            <v>36794</v>
          </cell>
          <cell r="AC289">
            <v>2000</v>
          </cell>
          <cell r="AD289" t="str">
            <v>St2</v>
          </cell>
          <cell r="AE289" t="str">
            <v>Qd3</v>
          </cell>
          <cell r="AF289" t="str">
            <v>Tr3</v>
          </cell>
          <cell r="AG289" t="str">
            <v>Tr3-2000</v>
          </cell>
          <cell r="AH289" t="str">
            <v>2000-Tr3</v>
          </cell>
          <cell r="AI289">
            <v>9</v>
          </cell>
          <cell r="AJ289" t="str">
            <v>09</v>
          </cell>
        </row>
        <row r="290">
          <cell r="AA290" t="str">
            <v>Aaa</v>
          </cell>
          <cell r="AB290">
            <v>36795</v>
          </cell>
          <cell r="AC290">
            <v>2000</v>
          </cell>
          <cell r="AD290" t="str">
            <v>St2</v>
          </cell>
          <cell r="AE290" t="str">
            <v>Qd3</v>
          </cell>
          <cell r="AF290" t="str">
            <v>Tr3</v>
          </cell>
          <cell r="AG290" t="str">
            <v>Tr3-2000</v>
          </cell>
          <cell r="AH290" t="str">
            <v>2000-Tr3</v>
          </cell>
          <cell r="AI290">
            <v>9</v>
          </cell>
          <cell r="AJ290" t="str">
            <v>09</v>
          </cell>
        </row>
        <row r="291">
          <cell r="AA291" t="str">
            <v>Aaa</v>
          </cell>
          <cell r="AB291">
            <v>36796</v>
          </cell>
          <cell r="AC291">
            <v>2000</v>
          </cell>
          <cell r="AD291" t="str">
            <v>St2</v>
          </cell>
          <cell r="AE291" t="str">
            <v>Qd3</v>
          </cell>
          <cell r="AF291" t="str">
            <v>Tr3</v>
          </cell>
          <cell r="AG291" t="str">
            <v>Tr3-2000</v>
          </cell>
          <cell r="AH291" t="str">
            <v>2000-Tr3</v>
          </cell>
          <cell r="AI291">
            <v>9</v>
          </cell>
          <cell r="AJ291" t="str">
            <v>09</v>
          </cell>
        </row>
        <row r="292">
          <cell r="AA292" t="str">
            <v>Aaa</v>
          </cell>
          <cell r="AB292">
            <v>36797</v>
          </cell>
          <cell r="AC292">
            <v>2000</v>
          </cell>
          <cell r="AD292" t="str">
            <v>St2</v>
          </cell>
          <cell r="AE292" t="str">
            <v>Qd3</v>
          </cell>
          <cell r="AF292" t="str">
            <v>Tr3</v>
          </cell>
          <cell r="AG292" t="str">
            <v>Tr3-2000</v>
          </cell>
          <cell r="AH292" t="str">
            <v>2000-Tr3</v>
          </cell>
          <cell r="AI292">
            <v>9</v>
          </cell>
          <cell r="AJ292" t="str">
            <v>09</v>
          </cell>
        </row>
        <row r="293">
          <cell r="AA293" t="str">
            <v>Aaa</v>
          </cell>
          <cell r="AB293">
            <v>36798</v>
          </cell>
          <cell r="AC293">
            <v>2000</v>
          </cell>
          <cell r="AD293" t="str">
            <v>St2</v>
          </cell>
          <cell r="AE293" t="str">
            <v>Qd3</v>
          </cell>
          <cell r="AF293" t="str">
            <v>Tr3</v>
          </cell>
          <cell r="AG293" t="str">
            <v>Tr3-2000</v>
          </cell>
          <cell r="AH293" t="str">
            <v>2000-Tr3</v>
          </cell>
          <cell r="AI293">
            <v>9</v>
          </cell>
          <cell r="AJ293" t="str">
            <v>09</v>
          </cell>
        </row>
        <row r="294">
          <cell r="AA294" t="str">
            <v>Aaa</v>
          </cell>
          <cell r="AB294">
            <v>36799</v>
          </cell>
          <cell r="AC294">
            <v>2000</v>
          </cell>
          <cell r="AD294" t="str">
            <v>St2</v>
          </cell>
          <cell r="AE294" t="str">
            <v>Qd3</v>
          </cell>
          <cell r="AF294" t="str">
            <v>Tr3</v>
          </cell>
          <cell r="AG294" t="str">
            <v>Tr3-2000</v>
          </cell>
          <cell r="AH294" t="str">
            <v>2000-Tr3</v>
          </cell>
          <cell r="AI294">
            <v>9</v>
          </cell>
          <cell r="AJ294" t="str">
            <v>09</v>
          </cell>
        </row>
        <row r="295">
          <cell r="AA295" t="str">
            <v>Aaa</v>
          </cell>
          <cell r="AB295">
            <v>36800</v>
          </cell>
          <cell r="AC295">
            <v>2000</v>
          </cell>
          <cell r="AD295" t="str">
            <v>St2</v>
          </cell>
          <cell r="AE295" t="str">
            <v>Qd3</v>
          </cell>
          <cell r="AF295" t="str">
            <v>Tr4</v>
          </cell>
          <cell r="AG295" t="str">
            <v>Tr4-2000</v>
          </cell>
          <cell r="AH295" t="str">
            <v>2000-Tr4</v>
          </cell>
          <cell r="AI295">
            <v>10</v>
          </cell>
          <cell r="AJ295" t="str">
            <v>10</v>
          </cell>
        </row>
        <row r="296">
          <cell r="AA296" t="str">
            <v>Aaa</v>
          </cell>
          <cell r="AB296">
            <v>36801</v>
          </cell>
          <cell r="AC296">
            <v>2000</v>
          </cell>
          <cell r="AD296" t="str">
            <v>St2</v>
          </cell>
          <cell r="AE296" t="str">
            <v>Qd3</v>
          </cell>
          <cell r="AF296" t="str">
            <v>Tr4</v>
          </cell>
          <cell r="AG296" t="str">
            <v>Tr4-2000</v>
          </cell>
          <cell r="AH296" t="str">
            <v>2000-Tr4</v>
          </cell>
          <cell r="AI296">
            <v>10</v>
          </cell>
          <cell r="AJ296" t="str">
            <v>10</v>
          </cell>
        </row>
        <row r="297">
          <cell r="AA297" t="str">
            <v>Aaa</v>
          </cell>
          <cell r="AB297">
            <v>36802</v>
          </cell>
          <cell r="AC297">
            <v>2000</v>
          </cell>
          <cell r="AD297" t="str">
            <v>St2</v>
          </cell>
          <cell r="AE297" t="str">
            <v>Qd3</v>
          </cell>
          <cell r="AF297" t="str">
            <v>Tr4</v>
          </cell>
          <cell r="AG297" t="str">
            <v>Tr4-2000</v>
          </cell>
          <cell r="AH297" t="str">
            <v>2000-Tr4</v>
          </cell>
          <cell r="AI297">
            <v>10</v>
          </cell>
          <cell r="AJ297" t="str">
            <v>10</v>
          </cell>
        </row>
        <row r="298">
          <cell r="AA298" t="str">
            <v>Aaa</v>
          </cell>
          <cell r="AB298">
            <v>36803</v>
          </cell>
          <cell r="AC298">
            <v>2000</v>
          </cell>
          <cell r="AD298" t="str">
            <v>St2</v>
          </cell>
          <cell r="AE298" t="str">
            <v>Qd3</v>
          </cell>
          <cell r="AF298" t="str">
            <v>Tr4</v>
          </cell>
          <cell r="AG298" t="str">
            <v>Tr4-2000</v>
          </cell>
          <cell r="AH298" t="str">
            <v>2000-Tr4</v>
          </cell>
          <cell r="AI298">
            <v>10</v>
          </cell>
          <cell r="AJ298" t="str">
            <v>10</v>
          </cell>
        </row>
        <row r="299">
          <cell r="AA299" t="str">
            <v>Aaa</v>
          </cell>
          <cell r="AB299">
            <v>36804</v>
          </cell>
          <cell r="AC299">
            <v>2000</v>
          </cell>
          <cell r="AD299" t="str">
            <v>St2</v>
          </cell>
          <cell r="AE299" t="str">
            <v>Qd3</v>
          </cell>
          <cell r="AF299" t="str">
            <v>Tr4</v>
          </cell>
          <cell r="AG299" t="str">
            <v>Tr4-2000</v>
          </cell>
          <cell r="AH299" t="str">
            <v>2000-Tr4</v>
          </cell>
          <cell r="AI299">
            <v>10</v>
          </cell>
          <cell r="AJ299" t="str">
            <v>10</v>
          </cell>
        </row>
        <row r="300">
          <cell r="AA300" t="str">
            <v>Aaa</v>
          </cell>
          <cell r="AB300">
            <v>36805</v>
          </cell>
          <cell r="AC300">
            <v>2000</v>
          </cell>
          <cell r="AD300" t="str">
            <v>St2</v>
          </cell>
          <cell r="AE300" t="str">
            <v>Qd3</v>
          </cell>
          <cell r="AF300" t="str">
            <v>Tr4</v>
          </cell>
          <cell r="AG300" t="str">
            <v>Tr4-2000</v>
          </cell>
          <cell r="AH300" t="str">
            <v>2000-Tr4</v>
          </cell>
          <cell r="AI300">
            <v>10</v>
          </cell>
          <cell r="AJ300" t="str">
            <v>10</v>
          </cell>
        </row>
        <row r="301">
          <cell r="AA301" t="str">
            <v>Aaa</v>
          </cell>
          <cell r="AB301">
            <v>36806</v>
          </cell>
          <cell r="AC301">
            <v>2000</v>
          </cell>
          <cell r="AD301" t="str">
            <v>St2</v>
          </cell>
          <cell r="AE301" t="str">
            <v>Qd3</v>
          </cell>
          <cell r="AF301" t="str">
            <v>Tr4</v>
          </cell>
          <cell r="AG301" t="str">
            <v>Tr4-2000</v>
          </cell>
          <cell r="AH301" t="str">
            <v>2000-Tr4</v>
          </cell>
          <cell r="AI301">
            <v>10</v>
          </cell>
          <cell r="AJ301" t="str">
            <v>10</v>
          </cell>
        </row>
        <row r="302">
          <cell r="AA302" t="str">
            <v>Aaa</v>
          </cell>
          <cell r="AB302">
            <v>36807</v>
          </cell>
          <cell r="AC302">
            <v>2000</v>
          </cell>
          <cell r="AD302" t="str">
            <v>St2</v>
          </cell>
          <cell r="AE302" t="str">
            <v>Qd3</v>
          </cell>
          <cell r="AF302" t="str">
            <v>Tr4</v>
          </cell>
          <cell r="AG302" t="str">
            <v>Tr4-2000</v>
          </cell>
          <cell r="AH302" t="str">
            <v>2000-Tr4</v>
          </cell>
          <cell r="AI302">
            <v>10</v>
          </cell>
          <cell r="AJ302" t="str">
            <v>10</v>
          </cell>
        </row>
        <row r="303">
          <cell r="AA303" t="str">
            <v>Aaa</v>
          </cell>
          <cell r="AB303">
            <v>36808</v>
          </cell>
          <cell r="AC303">
            <v>2000</v>
          </cell>
          <cell r="AD303" t="str">
            <v>St2</v>
          </cell>
          <cell r="AE303" t="str">
            <v>Qd3</v>
          </cell>
          <cell r="AF303" t="str">
            <v>Tr4</v>
          </cell>
          <cell r="AG303" t="str">
            <v>Tr4-2000</v>
          </cell>
          <cell r="AH303" t="str">
            <v>2000-Tr4</v>
          </cell>
          <cell r="AI303">
            <v>10</v>
          </cell>
          <cell r="AJ303" t="str">
            <v>10</v>
          </cell>
        </row>
        <row r="304">
          <cell r="AA304" t="str">
            <v>Aaa</v>
          </cell>
          <cell r="AB304">
            <v>36809</v>
          </cell>
          <cell r="AC304">
            <v>2000</v>
          </cell>
          <cell r="AD304" t="str">
            <v>St2</v>
          </cell>
          <cell r="AE304" t="str">
            <v>Qd3</v>
          </cell>
          <cell r="AF304" t="str">
            <v>Tr4</v>
          </cell>
          <cell r="AG304" t="str">
            <v>Tr4-2000</v>
          </cell>
          <cell r="AH304" t="str">
            <v>2000-Tr4</v>
          </cell>
          <cell r="AI304">
            <v>10</v>
          </cell>
          <cell r="AJ304" t="str">
            <v>10</v>
          </cell>
        </row>
        <row r="305">
          <cell r="AA305" t="str">
            <v>Aaa</v>
          </cell>
          <cell r="AB305">
            <v>36810</v>
          </cell>
          <cell r="AC305">
            <v>2000</v>
          </cell>
          <cell r="AD305" t="str">
            <v>St2</v>
          </cell>
          <cell r="AE305" t="str">
            <v>Qd3</v>
          </cell>
          <cell r="AF305" t="str">
            <v>Tr4</v>
          </cell>
          <cell r="AG305" t="str">
            <v>Tr4-2000</v>
          </cell>
          <cell r="AH305" t="str">
            <v>2000-Tr4</v>
          </cell>
          <cell r="AI305">
            <v>10</v>
          </cell>
          <cell r="AJ305" t="str">
            <v>10</v>
          </cell>
        </row>
        <row r="306">
          <cell r="AA306" t="str">
            <v>Aaa</v>
          </cell>
          <cell r="AB306">
            <v>36811</v>
          </cell>
          <cell r="AC306">
            <v>2000</v>
          </cell>
          <cell r="AD306" t="str">
            <v>St2</v>
          </cell>
          <cell r="AE306" t="str">
            <v>Qd3</v>
          </cell>
          <cell r="AF306" t="str">
            <v>Tr4</v>
          </cell>
          <cell r="AG306" t="str">
            <v>Tr4-2000</v>
          </cell>
          <cell r="AH306" t="str">
            <v>2000-Tr4</v>
          </cell>
          <cell r="AI306">
            <v>10</v>
          </cell>
          <cell r="AJ306" t="str">
            <v>10</v>
          </cell>
        </row>
        <row r="307">
          <cell r="AA307" t="str">
            <v>Aaa</v>
          </cell>
          <cell r="AB307">
            <v>36812</v>
          </cell>
          <cell r="AC307">
            <v>2000</v>
          </cell>
          <cell r="AD307" t="str">
            <v>St2</v>
          </cell>
          <cell r="AE307" t="str">
            <v>Qd3</v>
          </cell>
          <cell r="AF307" t="str">
            <v>Tr4</v>
          </cell>
          <cell r="AG307" t="str">
            <v>Tr4-2000</v>
          </cell>
          <cell r="AH307" t="str">
            <v>2000-Tr4</v>
          </cell>
          <cell r="AI307">
            <v>10</v>
          </cell>
          <cell r="AJ307" t="str">
            <v>10</v>
          </cell>
        </row>
        <row r="308">
          <cell r="AA308" t="str">
            <v>Aaa</v>
          </cell>
          <cell r="AB308">
            <v>36813</v>
          </cell>
          <cell r="AC308">
            <v>2000</v>
          </cell>
          <cell r="AD308" t="str">
            <v>St2</v>
          </cell>
          <cell r="AE308" t="str">
            <v>Qd3</v>
          </cell>
          <cell r="AF308" t="str">
            <v>Tr4</v>
          </cell>
          <cell r="AG308" t="str">
            <v>Tr4-2000</v>
          </cell>
          <cell r="AH308" t="str">
            <v>2000-Tr4</v>
          </cell>
          <cell r="AI308">
            <v>10</v>
          </cell>
          <cell r="AJ308" t="str">
            <v>10</v>
          </cell>
        </row>
        <row r="309">
          <cell r="AA309" t="str">
            <v>Aaa</v>
          </cell>
          <cell r="AB309">
            <v>36814</v>
          </cell>
          <cell r="AC309">
            <v>2000</v>
          </cell>
          <cell r="AD309" t="str">
            <v>St2</v>
          </cell>
          <cell r="AE309" t="str">
            <v>Qd3</v>
          </cell>
          <cell r="AF309" t="str">
            <v>Tr4</v>
          </cell>
          <cell r="AG309" t="str">
            <v>Tr4-2000</v>
          </cell>
          <cell r="AH309" t="str">
            <v>2000-Tr4</v>
          </cell>
          <cell r="AI309">
            <v>10</v>
          </cell>
          <cell r="AJ309" t="str">
            <v>10</v>
          </cell>
        </row>
        <row r="310">
          <cell r="AA310" t="str">
            <v>Aaa</v>
          </cell>
          <cell r="AB310">
            <v>36815</v>
          </cell>
          <cell r="AC310">
            <v>2000</v>
          </cell>
          <cell r="AD310" t="str">
            <v>St2</v>
          </cell>
          <cell r="AE310" t="str">
            <v>Qd3</v>
          </cell>
          <cell r="AF310" t="str">
            <v>Tr4</v>
          </cell>
          <cell r="AG310" t="str">
            <v>Tr4-2000</v>
          </cell>
          <cell r="AH310" t="str">
            <v>2000-Tr4</v>
          </cell>
          <cell r="AI310">
            <v>10</v>
          </cell>
          <cell r="AJ310" t="str">
            <v>10</v>
          </cell>
        </row>
        <row r="311">
          <cell r="AA311" t="str">
            <v>Aaa</v>
          </cell>
          <cell r="AB311">
            <v>36816</v>
          </cell>
          <cell r="AC311">
            <v>2000</v>
          </cell>
          <cell r="AD311" t="str">
            <v>St2</v>
          </cell>
          <cell r="AE311" t="str">
            <v>Qd3</v>
          </cell>
          <cell r="AF311" t="str">
            <v>Tr4</v>
          </cell>
          <cell r="AG311" t="str">
            <v>Tr4-2000</v>
          </cell>
          <cell r="AH311" t="str">
            <v>2000-Tr4</v>
          </cell>
          <cell r="AI311">
            <v>10</v>
          </cell>
          <cell r="AJ311" t="str">
            <v>10</v>
          </cell>
        </row>
        <row r="312">
          <cell r="AA312" t="str">
            <v>Aaa</v>
          </cell>
          <cell r="AB312">
            <v>36817</v>
          </cell>
          <cell r="AC312">
            <v>2000</v>
          </cell>
          <cell r="AD312" t="str">
            <v>St2</v>
          </cell>
          <cell r="AE312" t="str">
            <v>Qd3</v>
          </cell>
          <cell r="AF312" t="str">
            <v>Tr4</v>
          </cell>
          <cell r="AG312" t="str">
            <v>Tr4-2000</v>
          </cell>
          <cell r="AH312" t="str">
            <v>2000-Tr4</v>
          </cell>
          <cell r="AI312">
            <v>10</v>
          </cell>
          <cell r="AJ312" t="str">
            <v>10</v>
          </cell>
        </row>
        <row r="313">
          <cell r="AA313" t="str">
            <v>Aaa</v>
          </cell>
          <cell r="AB313">
            <v>36818</v>
          </cell>
          <cell r="AC313">
            <v>2000</v>
          </cell>
          <cell r="AD313" t="str">
            <v>St2</v>
          </cell>
          <cell r="AE313" t="str">
            <v>Qd3</v>
          </cell>
          <cell r="AF313" t="str">
            <v>Tr4</v>
          </cell>
          <cell r="AG313" t="str">
            <v>Tr4-2000</v>
          </cell>
          <cell r="AH313" t="str">
            <v>2000-Tr4</v>
          </cell>
          <cell r="AI313">
            <v>10</v>
          </cell>
          <cell r="AJ313" t="str">
            <v>10</v>
          </cell>
        </row>
        <row r="314">
          <cell r="AA314" t="str">
            <v>Aaa</v>
          </cell>
          <cell r="AB314">
            <v>36819</v>
          </cell>
          <cell r="AC314">
            <v>2000</v>
          </cell>
          <cell r="AD314" t="str">
            <v>St2</v>
          </cell>
          <cell r="AE314" t="str">
            <v>Qd3</v>
          </cell>
          <cell r="AF314" t="str">
            <v>Tr4</v>
          </cell>
          <cell r="AG314" t="str">
            <v>Tr4-2000</v>
          </cell>
          <cell r="AH314" t="str">
            <v>2000-Tr4</v>
          </cell>
          <cell r="AI314">
            <v>10</v>
          </cell>
          <cell r="AJ314" t="str">
            <v>10</v>
          </cell>
        </row>
        <row r="315">
          <cell r="AA315" t="str">
            <v>Aaa</v>
          </cell>
          <cell r="AB315">
            <v>36820</v>
          </cell>
          <cell r="AC315">
            <v>2000</v>
          </cell>
          <cell r="AD315" t="str">
            <v>St2</v>
          </cell>
          <cell r="AE315" t="str">
            <v>Qd3</v>
          </cell>
          <cell r="AF315" t="str">
            <v>Tr4</v>
          </cell>
          <cell r="AG315" t="str">
            <v>Tr4-2000</v>
          </cell>
          <cell r="AH315" t="str">
            <v>2000-Tr4</v>
          </cell>
          <cell r="AI315">
            <v>10</v>
          </cell>
          <cell r="AJ315" t="str">
            <v>10</v>
          </cell>
        </row>
        <row r="316">
          <cell r="AA316" t="str">
            <v>Aaa</v>
          </cell>
          <cell r="AB316">
            <v>36821</v>
          </cell>
          <cell r="AC316">
            <v>2000</v>
          </cell>
          <cell r="AD316" t="str">
            <v>St2</v>
          </cell>
          <cell r="AE316" t="str">
            <v>Qd3</v>
          </cell>
          <cell r="AF316" t="str">
            <v>Tr4</v>
          </cell>
          <cell r="AG316" t="str">
            <v>Tr4-2000</v>
          </cell>
          <cell r="AH316" t="str">
            <v>2000-Tr4</v>
          </cell>
          <cell r="AI316">
            <v>10</v>
          </cell>
          <cell r="AJ316" t="str">
            <v>10</v>
          </cell>
        </row>
        <row r="317">
          <cell r="AA317" t="str">
            <v>Aaa</v>
          </cell>
          <cell r="AB317">
            <v>36822</v>
          </cell>
          <cell r="AC317">
            <v>2000</v>
          </cell>
          <cell r="AD317" t="str">
            <v>St2</v>
          </cell>
          <cell r="AE317" t="str">
            <v>Qd3</v>
          </cell>
          <cell r="AF317" t="str">
            <v>Tr4</v>
          </cell>
          <cell r="AG317" t="str">
            <v>Tr4-2000</v>
          </cell>
          <cell r="AH317" t="str">
            <v>2000-Tr4</v>
          </cell>
          <cell r="AI317">
            <v>10</v>
          </cell>
          <cell r="AJ317" t="str">
            <v>10</v>
          </cell>
        </row>
        <row r="318">
          <cell r="AA318" t="str">
            <v>Aaa</v>
          </cell>
          <cell r="AB318">
            <v>36823</v>
          </cell>
          <cell r="AC318">
            <v>2000</v>
          </cell>
          <cell r="AD318" t="str">
            <v>St2</v>
          </cell>
          <cell r="AE318" t="str">
            <v>Qd3</v>
          </cell>
          <cell r="AF318" t="str">
            <v>Tr4</v>
          </cell>
          <cell r="AG318" t="str">
            <v>Tr4-2000</v>
          </cell>
          <cell r="AH318" t="str">
            <v>2000-Tr4</v>
          </cell>
          <cell r="AI318">
            <v>10</v>
          </cell>
          <cell r="AJ318" t="str">
            <v>10</v>
          </cell>
        </row>
        <row r="319">
          <cell r="AA319" t="str">
            <v>Aaa</v>
          </cell>
          <cell r="AB319">
            <v>36824</v>
          </cell>
          <cell r="AC319">
            <v>2000</v>
          </cell>
          <cell r="AD319" t="str">
            <v>St2</v>
          </cell>
          <cell r="AE319" t="str">
            <v>Qd3</v>
          </cell>
          <cell r="AF319" t="str">
            <v>Tr4</v>
          </cell>
          <cell r="AG319" t="str">
            <v>Tr4-2000</v>
          </cell>
          <cell r="AH319" t="str">
            <v>2000-Tr4</v>
          </cell>
          <cell r="AI319">
            <v>10</v>
          </cell>
          <cell r="AJ319" t="str">
            <v>10</v>
          </cell>
        </row>
        <row r="320">
          <cell r="AA320" t="str">
            <v>Aaa</v>
          </cell>
          <cell r="AB320">
            <v>36825</v>
          </cell>
          <cell r="AC320">
            <v>2000</v>
          </cell>
          <cell r="AD320" t="str">
            <v>St2</v>
          </cell>
          <cell r="AE320" t="str">
            <v>Qd3</v>
          </cell>
          <cell r="AF320" t="str">
            <v>Tr4</v>
          </cell>
          <cell r="AG320" t="str">
            <v>Tr4-2000</v>
          </cell>
          <cell r="AH320" t="str">
            <v>2000-Tr4</v>
          </cell>
          <cell r="AI320">
            <v>10</v>
          </cell>
          <cell r="AJ320" t="str">
            <v>10</v>
          </cell>
        </row>
        <row r="321">
          <cell r="AA321" t="str">
            <v>Aaa</v>
          </cell>
          <cell r="AB321">
            <v>36826</v>
          </cell>
          <cell r="AC321">
            <v>2000</v>
          </cell>
          <cell r="AD321" t="str">
            <v>St2</v>
          </cell>
          <cell r="AE321" t="str">
            <v>Qd3</v>
          </cell>
          <cell r="AF321" t="str">
            <v>Tr4</v>
          </cell>
          <cell r="AG321" t="str">
            <v>Tr4-2000</v>
          </cell>
          <cell r="AH321" t="str">
            <v>2000-Tr4</v>
          </cell>
          <cell r="AI321">
            <v>10</v>
          </cell>
          <cell r="AJ321" t="str">
            <v>10</v>
          </cell>
        </row>
        <row r="322">
          <cell r="AA322" t="str">
            <v>Aaa</v>
          </cell>
          <cell r="AB322">
            <v>36827</v>
          </cell>
          <cell r="AC322">
            <v>2000</v>
          </cell>
          <cell r="AD322" t="str">
            <v>St2</v>
          </cell>
          <cell r="AE322" t="str">
            <v>Qd3</v>
          </cell>
          <cell r="AF322" t="str">
            <v>Tr4</v>
          </cell>
          <cell r="AG322" t="str">
            <v>Tr4-2000</v>
          </cell>
          <cell r="AH322" t="str">
            <v>2000-Tr4</v>
          </cell>
          <cell r="AI322">
            <v>10</v>
          </cell>
          <cell r="AJ322" t="str">
            <v>10</v>
          </cell>
        </row>
        <row r="323">
          <cell r="AA323" t="str">
            <v>Aaa</v>
          </cell>
          <cell r="AB323">
            <v>36828</v>
          </cell>
          <cell r="AC323">
            <v>2000</v>
          </cell>
          <cell r="AD323" t="str">
            <v>St2</v>
          </cell>
          <cell r="AE323" t="str">
            <v>Qd3</v>
          </cell>
          <cell r="AF323" t="str">
            <v>Tr4</v>
          </cell>
          <cell r="AG323" t="str">
            <v>Tr4-2000</v>
          </cell>
          <cell r="AH323" t="str">
            <v>2000-Tr4</v>
          </cell>
          <cell r="AI323">
            <v>10</v>
          </cell>
          <cell r="AJ323" t="str">
            <v>10</v>
          </cell>
        </row>
        <row r="324">
          <cell r="AA324" t="str">
            <v>Aaa</v>
          </cell>
          <cell r="AB324">
            <v>36829</v>
          </cell>
          <cell r="AC324">
            <v>2000</v>
          </cell>
          <cell r="AD324" t="str">
            <v>St2</v>
          </cell>
          <cell r="AE324" t="str">
            <v>Qd3</v>
          </cell>
          <cell r="AF324" t="str">
            <v>Tr4</v>
          </cell>
          <cell r="AG324" t="str">
            <v>Tr4-2000</v>
          </cell>
          <cell r="AH324" t="str">
            <v>2000-Tr4</v>
          </cell>
          <cell r="AI324">
            <v>10</v>
          </cell>
          <cell r="AJ324" t="str">
            <v>10</v>
          </cell>
        </row>
        <row r="325">
          <cell r="AA325" t="str">
            <v>Aaa</v>
          </cell>
          <cell r="AB325">
            <v>36830</v>
          </cell>
          <cell r="AC325">
            <v>2000</v>
          </cell>
          <cell r="AD325" t="str">
            <v>St2</v>
          </cell>
          <cell r="AE325" t="str">
            <v>Qd3</v>
          </cell>
          <cell r="AF325" t="str">
            <v>Tr4</v>
          </cell>
          <cell r="AG325" t="str">
            <v>Tr4-2000</v>
          </cell>
          <cell r="AH325" t="str">
            <v>2000-Tr4</v>
          </cell>
          <cell r="AI325">
            <v>10</v>
          </cell>
          <cell r="AJ325" t="str">
            <v>10</v>
          </cell>
        </row>
        <row r="326">
          <cell r="AA326" t="str">
            <v>Aaa</v>
          </cell>
          <cell r="AB326">
            <v>36831</v>
          </cell>
          <cell r="AC326">
            <v>2000</v>
          </cell>
          <cell r="AD326" t="str">
            <v>St2</v>
          </cell>
          <cell r="AE326" t="str">
            <v>Qd3</v>
          </cell>
          <cell r="AF326" t="str">
            <v>Tr4</v>
          </cell>
          <cell r="AG326" t="str">
            <v>Tr4-2000</v>
          </cell>
          <cell r="AH326" t="str">
            <v>2000-Tr4</v>
          </cell>
          <cell r="AI326">
            <v>11</v>
          </cell>
          <cell r="AJ326" t="str">
            <v>11</v>
          </cell>
        </row>
        <row r="327">
          <cell r="AA327" t="str">
            <v>Aaa</v>
          </cell>
          <cell r="AB327">
            <v>36832</v>
          </cell>
          <cell r="AC327">
            <v>2000</v>
          </cell>
          <cell r="AD327" t="str">
            <v>St2</v>
          </cell>
          <cell r="AE327" t="str">
            <v>Qd3</v>
          </cell>
          <cell r="AF327" t="str">
            <v>Tr4</v>
          </cell>
          <cell r="AG327" t="str">
            <v>Tr4-2000</v>
          </cell>
          <cell r="AH327" t="str">
            <v>2000-Tr4</v>
          </cell>
          <cell r="AI327">
            <v>11</v>
          </cell>
          <cell r="AJ327" t="str">
            <v>11</v>
          </cell>
        </row>
        <row r="328">
          <cell r="AA328" t="str">
            <v>Aaa</v>
          </cell>
          <cell r="AB328">
            <v>36833</v>
          </cell>
          <cell r="AC328">
            <v>2000</v>
          </cell>
          <cell r="AD328" t="str">
            <v>St2</v>
          </cell>
          <cell r="AE328" t="str">
            <v>Qd3</v>
          </cell>
          <cell r="AF328" t="str">
            <v>Tr4</v>
          </cell>
          <cell r="AG328" t="str">
            <v>Tr4-2000</v>
          </cell>
          <cell r="AH328" t="str">
            <v>2000-Tr4</v>
          </cell>
          <cell r="AI328">
            <v>11</v>
          </cell>
          <cell r="AJ328" t="str">
            <v>11</v>
          </cell>
        </row>
        <row r="329">
          <cell r="AA329" t="str">
            <v>Aaa</v>
          </cell>
          <cell r="AB329">
            <v>36834</v>
          </cell>
          <cell r="AC329">
            <v>2000</v>
          </cell>
          <cell r="AD329" t="str">
            <v>St2</v>
          </cell>
          <cell r="AE329" t="str">
            <v>Qd3</v>
          </cell>
          <cell r="AF329" t="str">
            <v>Tr4</v>
          </cell>
          <cell r="AG329" t="str">
            <v>Tr4-2000</v>
          </cell>
          <cell r="AH329" t="str">
            <v>2000-Tr4</v>
          </cell>
          <cell r="AI329">
            <v>11</v>
          </cell>
          <cell r="AJ329" t="str">
            <v>11</v>
          </cell>
        </row>
        <row r="330">
          <cell r="AA330" t="str">
            <v>Aaa</v>
          </cell>
          <cell r="AB330">
            <v>36835</v>
          </cell>
          <cell r="AC330">
            <v>2000</v>
          </cell>
          <cell r="AD330" t="str">
            <v>St2</v>
          </cell>
          <cell r="AE330" t="str">
            <v>Qd3</v>
          </cell>
          <cell r="AF330" t="str">
            <v>Tr4</v>
          </cell>
          <cell r="AG330" t="str">
            <v>Tr4-2000</v>
          </cell>
          <cell r="AH330" t="str">
            <v>2000-Tr4</v>
          </cell>
          <cell r="AI330">
            <v>11</v>
          </cell>
          <cell r="AJ330" t="str">
            <v>11</v>
          </cell>
        </row>
        <row r="331">
          <cell r="AA331" t="str">
            <v>Aaa</v>
          </cell>
          <cell r="AB331">
            <v>36836</v>
          </cell>
          <cell r="AC331">
            <v>2000</v>
          </cell>
          <cell r="AD331" t="str">
            <v>St2</v>
          </cell>
          <cell r="AE331" t="str">
            <v>Qd3</v>
          </cell>
          <cell r="AF331" t="str">
            <v>Tr4</v>
          </cell>
          <cell r="AG331" t="str">
            <v>Tr4-2000</v>
          </cell>
          <cell r="AH331" t="str">
            <v>2000-Tr4</v>
          </cell>
          <cell r="AI331">
            <v>11</v>
          </cell>
          <cell r="AJ331" t="str">
            <v>11</v>
          </cell>
        </row>
        <row r="332">
          <cell r="AA332" t="str">
            <v>Aaa</v>
          </cell>
          <cell r="AB332">
            <v>36837</v>
          </cell>
          <cell r="AC332">
            <v>2000</v>
          </cell>
          <cell r="AD332" t="str">
            <v>St2</v>
          </cell>
          <cell r="AE332" t="str">
            <v>Qd3</v>
          </cell>
          <cell r="AF332" t="str">
            <v>Tr4</v>
          </cell>
          <cell r="AG332" t="str">
            <v>Tr4-2000</v>
          </cell>
          <cell r="AH332" t="str">
            <v>2000-Tr4</v>
          </cell>
          <cell r="AI332">
            <v>11</v>
          </cell>
          <cell r="AJ332" t="str">
            <v>11</v>
          </cell>
        </row>
        <row r="333">
          <cell r="AA333" t="str">
            <v>Aaa</v>
          </cell>
          <cell r="AB333">
            <v>36838</v>
          </cell>
          <cell r="AC333">
            <v>2000</v>
          </cell>
          <cell r="AD333" t="str">
            <v>St2</v>
          </cell>
          <cell r="AE333" t="str">
            <v>Qd3</v>
          </cell>
          <cell r="AF333" t="str">
            <v>Tr4</v>
          </cell>
          <cell r="AG333" t="str">
            <v>Tr4-2000</v>
          </cell>
          <cell r="AH333" t="str">
            <v>2000-Tr4</v>
          </cell>
          <cell r="AI333">
            <v>11</v>
          </cell>
          <cell r="AJ333" t="str">
            <v>11</v>
          </cell>
        </row>
        <row r="334">
          <cell r="AA334" t="str">
            <v>Aaa</v>
          </cell>
          <cell r="AB334">
            <v>36839</v>
          </cell>
          <cell r="AC334">
            <v>2000</v>
          </cell>
          <cell r="AD334" t="str">
            <v>St2</v>
          </cell>
          <cell r="AE334" t="str">
            <v>Qd3</v>
          </cell>
          <cell r="AF334" t="str">
            <v>Tr4</v>
          </cell>
          <cell r="AG334" t="str">
            <v>Tr4-2000</v>
          </cell>
          <cell r="AH334" t="str">
            <v>2000-Tr4</v>
          </cell>
          <cell r="AI334">
            <v>11</v>
          </cell>
          <cell r="AJ334" t="str">
            <v>11</v>
          </cell>
        </row>
        <row r="335">
          <cell r="AA335" t="str">
            <v>Aaa</v>
          </cell>
          <cell r="AB335">
            <v>36840</v>
          </cell>
          <cell r="AC335">
            <v>2000</v>
          </cell>
          <cell r="AD335" t="str">
            <v>St2</v>
          </cell>
          <cell r="AE335" t="str">
            <v>Qd3</v>
          </cell>
          <cell r="AF335" t="str">
            <v>Tr4</v>
          </cell>
          <cell r="AG335" t="str">
            <v>Tr4-2000</v>
          </cell>
          <cell r="AH335" t="str">
            <v>2000-Tr4</v>
          </cell>
          <cell r="AI335">
            <v>11</v>
          </cell>
          <cell r="AJ335" t="str">
            <v>11</v>
          </cell>
        </row>
        <row r="336">
          <cell r="AA336" t="str">
            <v>Aaa</v>
          </cell>
          <cell r="AB336">
            <v>36841</v>
          </cell>
          <cell r="AC336">
            <v>2000</v>
          </cell>
          <cell r="AD336" t="str">
            <v>St2</v>
          </cell>
          <cell r="AE336" t="str">
            <v>Qd3</v>
          </cell>
          <cell r="AF336" t="str">
            <v>Tr4</v>
          </cell>
          <cell r="AG336" t="str">
            <v>Tr4-2000</v>
          </cell>
          <cell r="AH336" t="str">
            <v>2000-Tr4</v>
          </cell>
          <cell r="AI336">
            <v>11</v>
          </cell>
          <cell r="AJ336" t="str">
            <v>11</v>
          </cell>
        </row>
        <row r="337">
          <cell r="AA337" t="str">
            <v>Aaa</v>
          </cell>
          <cell r="AB337">
            <v>36842</v>
          </cell>
          <cell r="AC337">
            <v>2000</v>
          </cell>
          <cell r="AD337" t="str">
            <v>St2</v>
          </cell>
          <cell r="AE337" t="str">
            <v>Qd3</v>
          </cell>
          <cell r="AF337" t="str">
            <v>Tr4</v>
          </cell>
          <cell r="AG337" t="str">
            <v>Tr4-2000</v>
          </cell>
          <cell r="AH337" t="str">
            <v>2000-Tr4</v>
          </cell>
          <cell r="AI337">
            <v>11</v>
          </cell>
          <cell r="AJ337" t="str">
            <v>11</v>
          </cell>
        </row>
        <row r="338">
          <cell r="AA338" t="str">
            <v>Aaa</v>
          </cell>
          <cell r="AB338">
            <v>36843</v>
          </cell>
          <cell r="AC338">
            <v>2000</v>
          </cell>
          <cell r="AD338" t="str">
            <v>St2</v>
          </cell>
          <cell r="AE338" t="str">
            <v>Qd3</v>
          </cell>
          <cell r="AF338" t="str">
            <v>Tr4</v>
          </cell>
          <cell r="AG338" t="str">
            <v>Tr4-2000</v>
          </cell>
          <cell r="AH338" t="str">
            <v>2000-Tr4</v>
          </cell>
          <cell r="AI338">
            <v>11</v>
          </cell>
          <cell r="AJ338" t="str">
            <v>11</v>
          </cell>
        </row>
        <row r="339">
          <cell r="AA339" t="str">
            <v>Aaa</v>
          </cell>
          <cell r="AB339">
            <v>36844</v>
          </cell>
          <cell r="AC339">
            <v>2000</v>
          </cell>
          <cell r="AD339" t="str">
            <v>St2</v>
          </cell>
          <cell r="AE339" t="str">
            <v>Qd3</v>
          </cell>
          <cell r="AF339" t="str">
            <v>Tr4</v>
          </cell>
          <cell r="AG339" t="str">
            <v>Tr4-2000</v>
          </cell>
          <cell r="AH339" t="str">
            <v>2000-Tr4</v>
          </cell>
          <cell r="AI339">
            <v>11</v>
          </cell>
          <cell r="AJ339" t="str">
            <v>11</v>
          </cell>
        </row>
        <row r="340">
          <cell r="AA340" t="str">
            <v>Aaa</v>
          </cell>
          <cell r="AB340">
            <v>36845</v>
          </cell>
          <cell r="AC340">
            <v>2000</v>
          </cell>
          <cell r="AD340" t="str">
            <v>St2</v>
          </cell>
          <cell r="AE340" t="str">
            <v>Qd3</v>
          </cell>
          <cell r="AF340" t="str">
            <v>Tr4</v>
          </cell>
          <cell r="AG340" t="str">
            <v>Tr4-2000</v>
          </cell>
          <cell r="AH340" t="str">
            <v>2000-Tr4</v>
          </cell>
          <cell r="AI340">
            <v>11</v>
          </cell>
          <cell r="AJ340" t="str">
            <v>11</v>
          </cell>
        </row>
        <row r="341">
          <cell r="AA341" t="str">
            <v>Aaa</v>
          </cell>
          <cell r="AB341">
            <v>36846</v>
          </cell>
          <cell r="AC341">
            <v>2000</v>
          </cell>
          <cell r="AD341" t="str">
            <v>St2</v>
          </cell>
          <cell r="AE341" t="str">
            <v>Qd3</v>
          </cell>
          <cell r="AF341" t="str">
            <v>Tr4</v>
          </cell>
          <cell r="AG341" t="str">
            <v>Tr4-2000</v>
          </cell>
          <cell r="AH341" t="str">
            <v>2000-Tr4</v>
          </cell>
          <cell r="AI341">
            <v>11</v>
          </cell>
          <cell r="AJ341" t="str">
            <v>11</v>
          </cell>
        </row>
        <row r="342">
          <cell r="AA342" t="str">
            <v>Aaa</v>
          </cell>
          <cell r="AB342">
            <v>36847</v>
          </cell>
          <cell r="AC342">
            <v>2000</v>
          </cell>
          <cell r="AD342" t="str">
            <v>St2</v>
          </cell>
          <cell r="AE342" t="str">
            <v>Qd3</v>
          </cell>
          <cell r="AF342" t="str">
            <v>Tr4</v>
          </cell>
          <cell r="AG342" t="str">
            <v>Tr4-2000</v>
          </cell>
          <cell r="AH342" t="str">
            <v>2000-Tr4</v>
          </cell>
          <cell r="AI342">
            <v>11</v>
          </cell>
          <cell r="AJ342" t="str">
            <v>11</v>
          </cell>
        </row>
        <row r="343">
          <cell r="AA343" t="str">
            <v>Aaa</v>
          </cell>
          <cell r="AB343">
            <v>36848</v>
          </cell>
          <cell r="AC343">
            <v>2000</v>
          </cell>
          <cell r="AD343" t="str">
            <v>St2</v>
          </cell>
          <cell r="AE343" t="str">
            <v>Qd3</v>
          </cell>
          <cell r="AF343" t="str">
            <v>Tr4</v>
          </cell>
          <cell r="AG343" t="str">
            <v>Tr4-2000</v>
          </cell>
          <cell r="AH343" t="str">
            <v>2000-Tr4</v>
          </cell>
          <cell r="AI343">
            <v>11</v>
          </cell>
          <cell r="AJ343" t="str">
            <v>11</v>
          </cell>
        </row>
        <row r="344">
          <cell r="AA344" t="str">
            <v>Aaa</v>
          </cell>
          <cell r="AB344">
            <v>36849</v>
          </cell>
          <cell r="AC344">
            <v>2000</v>
          </cell>
          <cell r="AD344" t="str">
            <v>St2</v>
          </cell>
          <cell r="AE344" t="str">
            <v>Qd3</v>
          </cell>
          <cell r="AF344" t="str">
            <v>Tr4</v>
          </cell>
          <cell r="AG344" t="str">
            <v>Tr4-2000</v>
          </cell>
          <cell r="AH344" t="str">
            <v>2000-Tr4</v>
          </cell>
          <cell r="AI344">
            <v>11</v>
          </cell>
          <cell r="AJ344" t="str">
            <v>11</v>
          </cell>
        </row>
        <row r="345">
          <cell r="AA345" t="str">
            <v>Aaa</v>
          </cell>
          <cell r="AB345">
            <v>36850</v>
          </cell>
          <cell r="AC345">
            <v>2000</v>
          </cell>
          <cell r="AD345" t="str">
            <v>St2</v>
          </cell>
          <cell r="AE345" t="str">
            <v>Qd3</v>
          </cell>
          <cell r="AF345" t="str">
            <v>Tr4</v>
          </cell>
          <cell r="AG345" t="str">
            <v>Tr4-2000</v>
          </cell>
          <cell r="AH345" t="str">
            <v>2000-Tr4</v>
          </cell>
          <cell r="AI345">
            <v>11</v>
          </cell>
          <cell r="AJ345" t="str">
            <v>11</v>
          </cell>
        </row>
        <row r="346">
          <cell r="AA346" t="str">
            <v>Aaa</v>
          </cell>
          <cell r="AB346">
            <v>36851</v>
          </cell>
          <cell r="AC346">
            <v>2000</v>
          </cell>
          <cell r="AD346" t="str">
            <v>St2</v>
          </cell>
          <cell r="AE346" t="str">
            <v>Qd3</v>
          </cell>
          <cell r="AF346" t="str">
            <v>Tr4</v>
          </cell>
          <cell r="AG346" t="str">
            <v>Tr4-2000</v>
          </cell>
          <cell r="AH346" t="str">
            <v>2000-Tr4</v>
          </cell>
          <cell r="AI346">
            <v>11</v>
          </cell>
          <cell r="AJ346" t="str">
            <v>11</v>
          </cell>
        </row>
        <row r="347">
          <cell r="AA347" t="str">
            <v>Aaa</v>
          </cell>
          <cell r="AB347">
            <v>36852</v>
          </cell>
          <cell r="AC347">
            <v>2000</v>
          </cell>
          <cell r="AD347" t="str">
            <v>St2</v>
          </cell>
          <cell r="AE347" t="str">
            <v>Qd3</v>
          </cell>
          <cell r="AF347" t="str">
            <v>Tr4</v>
          </cell>
          <cell r="AG347" t="str">
            <v>Tr4-2000</v>
          </cell>
          <cell r="AH347" t="str">
            <v>2000-Tr4</v>
          </cell>
          <cell r="AI347">
            <v>11</v>
          </cell>
          <cell r="AJ347" t="str">
            <v>11</v>
          </cell>
        </row>
        <row r="348">
          <cell r="AA348" t="str">
            <v>Aaa</v>
          </cell>
          <cell r="AB348">
            <v>36853</v>
          </cell>
          <cell r="AC348">
            <v>2000</v>
          </cell>
          <cell r="AD348" t="str">
            <v>St2</v>
          </cell>
          <cell r="AE348" t="str">
            <v>Qd3</v>
          </cell>
          <cell r="AF348" t="str">
            <v>Tr4</v>
          </cell>
          <cell r="AG348" t="str">
            <v>Tr4-2000</v>
          </cell>
          <cell r="AH348" t="str">
            <v>2000-Tr4</v>
          </cell>
          <cell r="AI348">
            <v>11</v>
          </cell>
          <cell r="AJ348" t="str">
            <v>11</v>
          </cell>
        </row>
        <row r="349">
          <cell r="AA349" t="str">
            <v>Aaa</v>
          </cell>
          <cell r="AB349">
            <v>36854</v>
          </cell>
          <cell r="AC349">
            <v>2000</v>
          </cell>
          <cell r="AD349" t="str">
            <v>St2</v>
          </cell>
          <cell r="AE349" t="str">
            <v>Qd3</v>
          </cell>
          <cell r="AF349" t="str">
            <v>Tr4</v>
          </cell>
          <cell r="AG349" t="str">
            <v>Tr4-2000</v>
          </cell>
          <cell r="AH349" t="str">
            <v>2000-Tr4</v>
          </cell>
          <cell r="AI349">
            <v>11</v>
          </cell>
          <cell r="AJ349" t="str">
            <v>11</v>
          </cell>
        </row>
        <row r="350">
          <cell r="AA350" t="str">
            <v>Aaa</v>
          </cell>
          <cell r="AB350">
            <v>36855</v>
          </cell>
          <cell r="AC350">
            <v>2000</v>
          </cell>
          <cell r="AD350" t="str">
            <v>St2</v>
          </cell>
          <cell r="AE350" t="str">
            <v>Qd3</v>
          </cell>
          <cell r="AF350" t="str">
            <v>Tr4</v>
          </cell>
          <cell r="AG350" t="str">
            <v>Tr4-2000</v>
          </cell>
          <cell r="AH350" t="str">
            <v>2000-Tr4</v>
          </cell>
          <cell r="AI350">
            <v>11</v>
          </cell>
          <cell r="AJ350" t="str">
            <v>11</v>
          </cell>
        </row>
        <row r="351">
          <cell r="AA351" t="str">
            <v>Aaa</v>
          </cell>
          <cell r="AB351">
            <v>36856</v>
          </cell>
          <cell r="AC351">
            <v>2000</v>
          </cell>
          <cell r="AD351" t="str">
            <v>St2</v>
          </cell>
          <cell r="AE351" t="str">
            <v>Qd3</v>
          </cell>
          <cell r="AF351" t="str">
            <v>Tr4</v>
          </cell>
          <cell r="AG351" t="str">
            <v>Tr4-2000</v>
          </cell>
          <cell r="AH351" t="str">
            <v>2000-Tr4</v>
          </cell>
          <cell r="AI351">
            <v>11</v>
          </cell>
          <cell r="AJ351" t="str">
            <v>11</v>
          </cell>
        </row>
        <row r="352">
          <cell r="AA352" t="str">
            <v>Aaa</v>
          </cell>
          <cell r="AB352">
            <v>36857</v>
          </cell>
          <cell r="AC352">
            <v>2000</v>
          </cell>
          <cell r="AD352" t="str">
            <v>St2</v>
          </cell>
          <cell r="AE352" t="str">
            <v>Qd3</v>
          </cell>
          <cell r="AF352" t="str">
            <v>Tr4</v>
          </cell>
          <cell r="AG352" t="str">
            <v>Tr4-2000</v>
          </cell>
          <cell r="AH352" t="str">
            <v>2000-Tr4</v>
          </cell>
          <cell r="AI352">
            <v>11</v>
          </cell>
          <cell r="AJ352" t="str">
            <v>11</v>
          </cell>
        </row>
        <row r="353">
          <cell r="AA353" t="str">
            <v>Aaa</v>
          </cell>
          <cell r="AB353">
            <v>36858</v>
          </cell>
          <cell r="AC353">
            <v>2000</v>
          </cell>
          <cell r="AD353" t="str">
            <v>St2</v>
          </cell>
          <cell r="AE353" t="str">
            <v>Qd3</v>
          </cell>
          <cell r="AF353" t="str">
            <v>Tr4</v>
          </cell>
          <cell r="AG353" t="str">
            <v>Tr4-2000</v>
          </cell>
          <cell r="AH353" t="str">
            <v>2000-Tr4</v>
          </cell>
          <cell r="AI353">
            <v>11</v>
          </cell>
          <cell r="AJ353" t="str">
            <v>11</v>
          </cell>
        </row>
        <row r="354">
          <cell r="AA354" t="str">
            <v>Aaa</v>
          </cell>
          <cell r="AB354">
            <v>36859</v>
          </cell>
          <cell r="AC354">
            <v>2000</v>
          </cell>
          <cell r="AD354" t="str">
            <v>St2</v>
          </cell>
          <cell r="AE354" t="str">
            <v>Qd3</v>
          </cell>
          <cell r="AF354" t="str">
            <v>Tr4</v>
          </cell>
          <cell r="AG354" t="str">
            <v>Tr4-2000</v>
          </cell>
          <cell r="AH354" t="str">
            <v>2000-Tr4</v>
          </cell>
          <cell r="AI354">
            <v>11</v>
          </cell>
          <cell r="AJ354" t="str">
            <v>11</v>
          </cell>
        </row>
        <row r="355">
          <cell r="AA355" t="str">
            <v>Aaa</v>
          </cell>
          <cell r="AB355">
            <v>36860</v>
          </cell>
          <cell r="AC355">
            <v>2000</v>
          </cell>
          <cell r="AD355" t="str">
            <v>St2</v>
          </cell>
          <cell r="AE355" t="str">
            <v>Qd3</v>
          </cell>
          <cell r="AF355" t="str">
            <v>Tr4</v>
          </cell>
          <cell r="AG355" t="str">
            <v>Tr4-2000</v>
          </cell>
          <cell r="AH355" t="str">
            <v>2000-Tr4</v>
          </cell>
          <cell r="AI355">
            <v>11</v>
          </cell>
          <cell r="AJ355" t="str">
            <v>11</v>
          </cell>
        </row>
        <row r="356">
          <cell r="AA356" t="str">
            <v>Aaa</v>
          </cell>
          <cell r="AB356">
            <v>36861</v>
          </cell>
          <cell r="AC356">
            <v>2000</v>
          </cell>
          <cell r="AD356" t="str">
            <v>St2</v>
          </cell>
          <cell r="AE356" t="str">
            <v>Qd3</v>
          </cell>
          <cell r="AF356" t="str">
            <v>Tr4</v>
          </cell>
          <cell r="AG356" t="str">
            <v>Tr4-2000</v>
          </cell>
          <cell r="AH356" t="str">
            <v>2000-Tr4</v>
          </cell>
          <cell r="AI356">
            <v>12</v>
          </cell>
          <cell r="AJ356" t="str">
            <v>12</v>
          </cell>
        </row>
        <row r="357">
          <cell r="AA357" t="str">
            <v>Aaa</v>
          </cell>
          <cell r="AB357">
            <v>36862</v>
          </cell>
          <cell r="AC357">
            <v>2000</v>
          </cell>
          <cell r="AD357" t="str">
            <v>St2</v>
          </cell>
          <cell r="AE357" t="str">
            <v>Qd3</v>
          </cell>
          <cell r="AF357" t="str">
            <v>Tr4</v>
          </cell>
          <cell r="AG357" t="str">
            <v>Tr4-2000</v>
          </cell>
          <cell r="AH357" t="str">
            <v>2000-Tr4</v>
          </cell>
          <cell r="AI357">
            <v>12</v>
          </cell>
          <cell r="AJ357" t="str">
            <v>12</v>
          </cell>
        </row>
        <row r="358">
          <cell r="AA358" t="str">
            <v>Aaa</v>
          </cell>
          <cell r="AB358">
            <v>36863</v>
          </cell>
          <cell r="AC358">
            <v>2000</v>
          </cell>
          <cell r="AD358" t="str">
            <v>St2</v>
          </cell>
          <cell r="AE358" t="str">
            <v>Qd3</v>
          </cell>
          <cell r="AF358" t="str">
            <v>Tr4</v>
          </cell>
          <cell r="AG358" t="str">
            <v>Tr4-2000</v>
          </cell>
          <cell r="AH358" t="str">
            <v>2000-Tr4</v>
          </cell>
          <cell r="AI358">
            <v>12</v>
          </cell>
          <cell r="AJ358" t="str">
            <v>12</v>
          </cell>
        </row>
        <row r="359">
          <cell r="AA359" t="str">
            <v>Aaa</v>
          </cell>
          <cell r="AB359">
            <v>36864</v>
          </cell>
          <cell r="AC359">
            <v>2000</v>
          </cell>
          <cell r="AD359" t="str">
            <v>St2</v>
          </cell>
          <cell r="AE359" t="str">
            <v>Qd3</v>
          </cell>
          <cell r="AF359" t="str">
            <v>Tr4</v>
          </cell>
          <cell r="AG359" t="str">
            <v>Tr4-2000</v>
          </cell>
          <cell r="AH359" t="str">
            <v>2000-Tr4</v>
          </cell>
          <cell r="AI359">
            <v>12</v>
          </cell>
          <cell r="AJ359" t="str">
            <v>12</v>
          </cell>
        </row>
        <row r="360">
          <cell r="AA360" t="str">
            <v>Aaa</v>
          </cell>
          <cell r="AB360">
            <v>36865</v>
          </cell>
          <cell r="AC360">
            <v>2000</v>
          </cell>
          <cell r="AD360" t="str">
            <v>St2</v>
          </cell>
          <cell r="AE360" t="str">
            <v>Qd3</v>
          </cell>
          <cell r="AF360" t="str">
            <v>Tr4</v>
          </cell>
          <cell r="AG360" t="str">
            <v>Tr4-2000</v>
          </cell>
          <cell r="AH360" t="str">
            <v>2000-Tr4</v>
          </cell>
          <cell r="AI360">
            <v>12</v>
          </cell>
          <cell r="AJ360" t="str">
            <v>12</v>
          </cell>
        </row>
        <row r="361">
          <cell r="AA361" t="str">
            <v>Aaa</v>
          </cell>
          <cell r="AB361">
            <v>36866</v>
          </cell>
          <cell r="AC361">
            <v>2000</v>
          </cell>
          <cell r="AD361" t="str">
            <v>St2</v>
          </cell>
          <cell r="AE361" t="str">
            <v>Qd3</v>
          </cell>
          <cell r="AF361" t="str">
            <v>Tr4</v>
          </cell>
          <cell r="AG361" t="str">
            <v>Tr4-2000</v>
          </cell>
          <cell r="AH361" t="str">
            <v>2000-Tr4</v>
          </cell>
          <cell r="AI361">
            <v>12</v>
          </cell>
          <cell r="AJ361" t="str">
            <v>12</v>
          </cell>
        </row>
        <row r="362">
          <cell r="AA362" t="str">
            <v>Aaa</v>
          </cell>
          <cell r="AB362">
            <v>36867</v>
          </cell>
          <cell r="AC362">
            <v>2000</v>
          </cell>
          <cell r="AD362" t="str">
            <v>St2</v>
          </cell>
          <cell r="AE362" t="str">
            <v>Qd3</v>
          </cell>
          <cell r="AF362" t="str">
            <v>Tr4</v>
          </cell>
          <cell r="AG362" t="str">
            <v>Tr4-2000</v>
          </cell>
          <cell r="AH362" t="str">
            <v>2000-Tr4</v>
          </cell>
          <cell r="AI362">
            <v>12</v>
          </cell>
          <cell r="AJ362" t="str">
            <v>12</v>
          </cell>
        </row>
        <row r="363">
          <cell r="AA363" t="str">
            <v>Aaa</v>
          </cell>
          <cell r="AB363">
            <v>36868</v>
          </cell>
          <cell r="AC363">
            <v>2000</v>
          </cell>
          <cell r="AD363" t="str">
            <v>St2</v>
          </cell>
          <cell r="AE363" t="str">
            <v>Qd3</v>
          </cell>
          <cell r="AF363" t="str">
            <v>Tr4</v>
          </cell>
          <cell r="AG363" t="str">
            <v>Tr4-2000</v>
          </cell>
          <cell r="AH363" t="str">
            <v>2000-Tr4</v>
          </cell>
          <cell r="AI363">
            <v>12</v>
          </cell>
          <cell r="AJ363" t="str">
            <v>12</v>
          </cell>
        </row>
        <row r="364">
          <cell r="AA364" t="str">
            <v>Aaa</v>
          </cell>
          <cell r="AB364">
            <v>36869</v>
          </cell>
          <cell r="AC364">
            <v>2000</v>
          </cell>
          <cell r="AD364" t="str">
            <v>St2</v>
          </cell>
          <cell r="AE364" t="str">
            <v>Qd3</v>
          </cell>
          <cell r="AF364" t="str">
            <v>Tr4</v>
          </cell>
          <cell r="AG364" t="str">
            <v>Tr4-2000</v>
          </cell>
          <cell r="AH364" t="str">
            <v>2000-Tr4</v>
          </cell>
          <cell r="AI364">
            <v>12</v>
          </cell>
          <cell r="AJ364" t="str">
            <v>12</v>
          </cell>
        </row>
        <row r="365">
          <cell r="AA365" t="str">
            <v>Aaa</v>
          </cell>
          <cell r="AB365">
            <v>36870</v>
          </cell>
          <cell r="AC365">
            <v>2000</v>
          </cell>
          <cell r="AD365" t="str">
            <v>St2</v>
          </cell>
          <cell r="AE365" t="str">
            <v>Qd3</v>
          </cell>
          <cell r="AF365" t="str">
            <v>Tr4</v>
          </cell>
          <cell r="AG365" t="str">
            <v>Tr4-2000</v>
          </cell>
          <cell r="AH365" t="str">
            <v>2000-Tr4</v>
          </cell>
          <cell r="AI365">
            <v>12</v>
          </cell>
          <cell r="AJ365" t="str">
            <v>12</v>
          </cell>
        </row>
        <row r="366">
          <cell r="AA366" t="str">
            <v>Aaa</v>
          </cell>
          <cell r="AB366">
            <v>36871</v>
          </cell>
          <cell r="AC366">
            <v>2000</v>
          </cell>
          <cell r="AD366" t="str">
            <v>St2</v>
          </cell>
          <cell r="AE366" t="str">
            <v>Qd3</v>
          </cell>
          <cell r="AF366" t="str">
            <v>Tr4</v>
          </cell>
          <cell r="AG366" t="str">
            <v>Tr4-2000</v>
          </cell>
          <cell r="AH366" t="str">
            <v>2000-Tr4</v>
          </cell>
          <cell r="AI366">
            <v>12</v>
          </cell>
          <cell r="AJ366" t="str">
            <v>12</v>
          </cell>
        </row>
        <row r="367">
          <cell r="AA367" t="str">
            <v>Aaa</v>
          </cell>
          <cell r="AB367">
            <v>36872</v>
          </cell>
          <cell r="AC367">
            <v>2000</v>
          </cell>
          <cell r="AD367" t="str">
            <v>St2</v>
          </cell>
          <cell r="AE367" t="str">
            <v>Qd3</v>
          </cell>
          <cell r="AF367" t="str">
            <v>Tr4</v>
          </cell>
          <cell r="AG367" t="str">
            <v>Tr4-2000</v>
          </cell>
          <cell r="AH367" t="str">
            <v>2000-Tr4</v>
          </cell>
          <cell r="AI367">
            <v>12</v>
          </cell>
          <cell r="AJ367" t="str">
            <v>12</v>
          </cell>
        </row>
        <row r="368">
          <cell r="AA368" t="str">
            <v>Aaa</v>
          </cell>
          <cell r="AB368">
            <v>36873</v>
          </cell>
          <cell r="AC368">
            <v>2000</v>
          </cell>
          <cell r="AD368" t="str">
            <v>St2</v>
          </cell>
          <cell r="AE368" t="str">
            <v>Qd3</v>
          </cell>
          <cell r="AF368" t="str">
            <v>Tr4</v>
          </cell>
          <cell r="AG368" t="str">
            <v>Tr4-2000</v>
          </cell>
          <cell r="AH368" t="str">
            <v>2000-Tr4</v>
          </cell>
          <cell r="AI368">
            <v>12</v>
          </cell>
          <cell r="AJ368" t="str">
            <v>12</v>
          </cell>
        </row>
        <row r="369">
          <cell r="AA369" t="str">
            <v>Aaa</v>
          </cell>
          <cell r="AB369">
            <v>36874</v>
          </cell>
          <cell r="AC369">
            <v>2000</v>
          </cell>
          <cell r="AD369" t="str">
            <v>St2</v>
          </cell>
          <cell r="AE369" t="str">
            <v>Qd3</v>
          </cell>
          <cell r="AF369" t="str">
            <v>Tr4</v>
          </cell>
          <cell r="AG369" t="str">
            <v>Tr4-2000</v>
          </cell>
          <cell r="AH369" t="str">
            <v>2000-Tr4</v>
          </cell>
          <cell r="AI369">
            <v>12</v>
          </cell>
          <cell r="AJ369" t="str">
            <v>12</v>
          </cell>
        </row>
        <row r="370">
          <cell r="AA370" t="str">
            <v>Aaa</v>
          </cell>
          <cell r="AB370">
            <v>36875</v>
          </cell>
          <cell r="AC370">
            <v>2000</v>
          </cell>
          <cell r="AD370" t="str">
            <v>St2</v>
          </cell>
          <cell r="AE370" t="str">
            <v>Qd3</v>
          </cell>
          <cell r="AF370" t="str">
            <v>Tr4</v>
          </cell>
          <cell r="AG370" t="str">
            <v>Tr4-2000</v>
          </cell>
          <cell r="AH370" t="str">
            <v>2000-Tr4</v>
          </cell>
          <cell r="AI370">
            <v>12</v>
          </cell>
          <cell r="AJ370" t="str">
            <v>12</v>
          </cell>
        </row>
        <row r="371">
          <cell r="AA371" t="str">
            <v>Aaa</v>
          </cell>
          <cell r="AB371">
            <v>36876</v>
          </cell>
          <cell r="AC371">
            <v>2000</v>
          </cell>
          <cell r="AD371" t="str">
            <v>St2</v>
          </cell>
          <cell r="AE371" t="str">
            <v>Qd3</v>
          </cell>
          <cell r="AF371" t="str">
            <v>Tr4</v>
          </cell>
          <cell r="AG371" t="str">
            <v>Tr4-2000</v>
          </cell>
          <cell r="AH371" t="str">
            <v>2000-Tr4</v>
          </cell>
          <cell r="AI371">
            <v>12</v>
          </cell>
          <cell r="AJ371" t="str">
            <v>12</v>
          </cell>
        </row>
        <row r="372">
          <cell r="AA372" t="str">
            <v>Aaa</v>
          </cell>
          <cell r="AB372">
            <v>36877</v>
          </cell>
          <cell r="AC372">
            <v>2000</v>
          </cell>
          <cell r="AD372" t="str">
            <v>St2</v>
          </cell>
          <cell r="AE372" t="str">
            <v>Qd3</v>
          </cell>
          <cell r="AF372" t="str">
            <v>Tr4</v>
          </cell>
          <cell r="AG372" t="str">
            <v>Tr4-2000</v>
          </cell>
          <cell r="AH372" t="str">
            <v>2000-Tr4</v>
          </cell>
          <cell r="AI372">
            <v>12</v>
          </cell>
          <cell r="AJ372" t="str">
            <v>12</v>
          </cell>
        </row>
        <row r="373">
          <cell r="AA373" t="str">
            <v>Aaa</v>
          </cell>
          <cell r="AB373">
            <v>36878</v>
          </cell>
          <cell r="AC373">
            <v>2000</v>
          </cell>
          <cell r="AD373" t="str">
            <v>St2</v>
          </cell>
          <cell r="AE373" t="str">
            <v>Qd3</v>
          </cell>
          <cell r="AF373" t="str">
            <v>Tr4</v>
          </cell>
          <cell r="AG373" t="str">
            <v>Tr4-2000</v>
          </cell>
          <cell r="AH373" t="str">
            <v>2000-Tr4</v>
          </cell>
          <cell r="AI373">
            <v>12</v>
          </cell>
          <cell r="AJ373" t="str">
            <v>12</v>
          </cell>
        </row>
        <row r="374">
          <cell r="AA374" t="str">
            <v>Aaa</v>
          </cell>
          <cell r="AB374">
            <v>36879</v>
          </cell>
          <cell r="AC374">
            <v>2000</v>
          </cell>
          <cell r="AD374" t="str">
            <v>St2</v>
          </cell>
          <cell r="AE374" t="str">
            <v>Qd3</v>
          </cell>
          <cell r="AF374" t="str">
            <v>Tr4</v>
          </cell>
          <cell r="AG374" t="str">
            <v>Tr4-2000</v>
          </cell>
          <cell r="AH374" t="str">
            <v>2000-Tr4</v>
          </cell>
          <cell r="AI374">
            <v>12</v>
          </cell>
          <cell r="AJ374" t="str">
            <v>12</v>
          </cell>
        </row>
        <row r="375">
          <cell r="AA375" t="str">
            <v>Aaa</v>
          </cell>
          <cell r="AB375">
            <v>36880</v>
          </cell>
          <cell r="AC375">
            <v>2000</v>
          </cell>
          <cell r="AD375" t="str">
            <v>St2</v>
          </cell>
          <cell r="AE375" t="str">
            <v>Qd3</v>
          </cell>
          <cell r="AF375" t="str">
            <v>Tr4</v>
          </cell>
          <cell r="AG375" t="str">
            <v>Tr4-2000</v>
          </cell>
          <cell r="AH375" t="str">
            <v>2000-Tr4</v>
          </cell>
          <cell r="AI375">
            <v>12</v>
          </cell>
          <cell r="AJ375" t="str">
            <v>12</v>
          </cell>
        </row>
        <row r="376">
          <cell r="AA376" t="str">
            <v>Aaa</v>
          </cell>
          <cell r="AB376">
            <v>36881</v>
          </cell>
          <cell r="AC376">
            <v>2000</v>
          </cell>
          <cell r="AD376" t="str">
            <v>St2</v>
          </cell>
          <cell r="AE376" t="str">
            <v>Qd3</v>
          </cell>
          <cell r="AF376" t="str">
            <v>Tr4</v>
          </cell>
          <cell r="AG376" t="str">
            <v>Tr4-2000</v>
          </cell>
          <cell r="AH376" t="str">
            <v>2000-Tr4</v>
          </cell>
          <cell r="AI376">
            <v>12</v>
          </cell>
          <cell r="AJ376" t="str">
            <v>12</v>
          </cell>
        </row>
        <row r="377">
          <cell r="AA377" t="str">
            <v>Aaa</v>
          </cell>
          <cell r="AB377">
            <v>36882</v>
          </cell>
          <cell r="AC377">
            <v>2000</v>
          </cell>
          <cell r="AD377" t="str">
            <v>St2</v>
          </cell>
          <cell r="AE377" t="str">
            <v>Qd3</v>
          </cell>
          <cell r="AF377" t="str">
            <v>Tr4</v>
          </cell>
          <cell r="AG377" t="str">
            <v>Tr4-2000</v>
          </cell>
          <cell r="AH377" t="str">
            <v>2000-Tr4</v>
          </cell>
          <cell r="AI377">
            <v>12</v>
          </cell>
          <cell r="AJ377" t="str">
            <v>12</v>
          </cell>
        </row>
        <row r="378">
          <cell r="AA378" t="str">
            <v>Aaa</v>
          </cell>
          <cell r="AB378">
            <v>36883</v>
          </cell>
          <cell r="AC378">
            <v>2000</v>
          </cell>
          <cell r="AD378" t="str">
            <v>St2</v>
          </cell>
          <cell r="AE378" t="str">
            <v>Qd3</v>
          </cell>
          <cell r="AF378" t="str">
            <v>Tr4</v>
          </cell>
          <cell r="AG378" t="str">
            <v>Tr4-2000</v>
          </cell>
          <cell r="AH378" t="str">
            <v>2000-Tr4</v>
          </cell>
          <cell r="AI378">
            <v>12</v>
          </cell>
          <cell r="AJ378" t="str">
            <v>12</v>
          </cell>
        </row>
        <row r="379">
          <cell r="AA379" t="str">
            <v>Aaa</v>
          </cell>
          <cell r="AB379">
            <v>36884</v>
          </cell>
          <cell r="AC379">
            <v>2000</v>
          </cell>
          <cell r="AD379" t="str">
            <v>St2</v>
          </cell>
          <cell r="AE379" t="str">
            <v>Qd3</v>
          </cell>
          <cell r="AF379" t="str">
            <v>Tr4</v>
          </cell>
          <cell r="AG379" t="str">
            <v>Tr4-2000</v>
          </cell>
          <cell r="AH379" t="str">
            <v>2000-Tr4</v>
          </cell>
          <cell r="AI379">
            <v>12</v>
          </cell>
          <cell r="AJ379" t="str">
            <v>12</v>
          </cell>
        </row>
        <row r="380">
          <cell r="AA380" t="str">
            <v>Aaa</v>
          </cell>
          <cell r="AB380">
            <v>36885</v>
          </cell>
          <cell r="AC380">
            <v>2000</v>
          </cell>
          <cell r="AD380" t="str">
            <v>St2</v>
          </cell>
          <cell r="AE380" t="str">
            <v>Qd3</v>
          </cell>
          <cell r="AF380" t="str">
            <v>Tr4</v>
          </cell>
          <cell r="AG380" t="str">
            <v>Tr4-2000</v>
          </cell>
          <cell r="AH380" t="str">
            <v>2000-Tr4</v>
          </cell>
          <cell r="AI380">
            <v>12</v>
          </cell>
          <cell r="AJ380" t="str">
            <v>12</v>
          </cell>
        </row>
        <row r="381">
          <cell r="AA381" t="str">
            <v>Aaa</v>
          </cell>
          <cell r="AB381">
            <v>36886</v>
          </cell>
          <cell r="AC381">
            <v>2000</v>
          </cell>
          <cell r="AD381" t="str">
            <v>St2</v>
          </cell>
          <cell r="AE381" t="str">
            <v>Qd3</v>
          </cell>
          <cell r="AF381" t="str">
            <v>Tr4</v>
          </cell>
          <cell r="AG381" t="str">
            <v>Tr4-2000</v>
          </cell>
          <cell r="AH381" t="str">
            <v>2000-Tr4</v>
          </cell>
          <cell r="AI381">
            <v>12</v>
          </cell>
          <cell r="AJ381" t="str">
            <v>12</v>
          </cell>
        </row>
        <row r="382">
          <cell r="AA382" t="str">
            <v>Aaa</v>
          </cell>
          <cell r="AB382">
            <v>36887</v>
          </cell>
          <cell r="AC382">
            <v>2000</v>
          </cell>
          <cell r="AD382" t="str">
            <v>St2</v>
          </cell>
          <cell r="AE382" t="str">
            <v>Qd3</v>
          </cell>
          <cell r="AF382" t="str">
            <v>Tr4</v>
          </cell>
          <cell r="AG382" t="str">
            <v>Tr4-2000</v>
          </cell>
          <cell r="AH382" t="str">
            <v>2000-Tr4</v>
          </cell>
          <cell r="AI382">
            <v>12</v>
          </cell>
          <cell r="AJ382" t="str">
            <v>12</v>
          </cell>
        </row>
        <row r="383">
          <cell r="AA383" t="str">
            <v>Aaa</v>
          </cell>
          <cell r="AB383">
            <v>36888</v>
          </cell>
          <cell r="AC383">
            <v>2000</v>
          </cell>
          <cell r="AD383" t="str">
            <v>St2</v>
          </cell>
          <cell r="AE383" t="str">
            <v>Qd3</v>
          </cell>
          <cell r="AF383" t="str">
            <v>Tr4</v>
          </cell>
          <cell r="AG383" t="str">
            <v>Tr4-2000</v>
          </cell>
          <cell r="AH383" t="str">
            <v>2000-Tr4</v>
          </cell>
          <cell r="AI383">
            <v>12</v>
          </cell>
          <cell r="AJ383" t="str">
            <v>12</v>
          </cell>
        </row>
        <row r="384">
          <cell r="AA384" t="str">
            <v>Aaa</v>
          </cell>
          <cell r="AB384">
            <v>36889</v>
          </cell>
          <cell r="AC384">
            <v>2000</v>
          </cell>
          <cell r="AD384" t="str">
            <v>St2</v>
          </cell>
          <cell r="AE384" t="str">
            <v>Qd3</v>
          </cell>
          <cell r="AF384" t="str">
            <v>Tr4</v>
          </cell>
          <cell r="AG384" t="str">
            <v>Tr4-2000</v>
          </cell>
          <cell r="AH384" t="str">
            <v>2000-Tr4</v>
          </cell>
          <cell r="AI384">
            <v>12</v>
          </cell>
          <cell r="AJ384" t="str">
            <v>12</v>
          </cell>
        </row>
        <row r="385">
          <cell r="AA385" t="str">
            <v>Aaa</v>
          </cell>
          <cell r="AB385">
            <v>36890</v>
          </cell>
          <cell r="AC385">
            <v>2000</v>
          </cell>
          <cell r="AD385" t="str">
            <v>St2</v>
          </cell>
          <cell r="AE385" t="str">
            <v>Qd3</v>
          </cell>
          <cell r="AF385" t="str">
            <v>Tr4</v>
          </cell>
          <cell r="AG385" t="str">
            <v>Tr4-2000</v>
          </cell>
          <cell r="AH385" t="str">
            <v>2000-Tr4</v>
          </cell>
          <cell r="AI385">
            <v>12</v>
          </cell>
          <cell r="AJ385" t="str">
            <v>12</v>
          </cell>
        </row>
        <row r="386">
          <cell r="AA386" t="str">
            <v>Aaa</v>
          </cell>
          <cell r="AB386">
            <v>36891</v>
          </cell>
          <cell r="AC386">
            <v>2000</v>
          </cell>
          <cell r="AD386" t="str">
            <v>St2</v>
          </cell>
          <cell r="AE386" t="str">
            <v>Qd3</v>
          </cell>
          <cell r="AF386" t="str">
            <v>Tr4</v>
          </cell>
          <cell r="AG386" t="str">
            <v>Tr4-2000</v>
          </cell>
          <cell r="AH386" t="str">
            <v>2000-Tr4</v>
          </cell>
          <cell r="AI386">
            <v>12</v>
          </cell>
          <cell r="AJ386" t="str">
            <v>12</v>
          </cell>
        </row>
        <row r="387">
          <cell r="AA387" t="str">
            <v>Aaa</v>
          </cell>
          <cell r="AB387">
            <v>36892</v>
          </cell>
          <cell r="AC387">
            <v>2001</v>
          </cell>
          <cell r="AD387" t="str">
            <v>St1</v>
          </cell>
          <cell r="AE387" t="str">
            <v>Qd1</v>
          </cell>
          <cell r="AF387" t="str">
            <v>Tr1</v>
          </cell>
          <cell r="AG387" t="str">
            <v>Tr1-2001</v>
          </cell>
          <cell r="AH387" t="str">
            <v>2001-Tr1</v>
          </cell>
          <cell r="AI387">
            <v>1</v>
          </cell>
          <cell r="AJ387" t="str">
            <v>01</v>
          </cell>
        </row>
        <row r="388">
          <cell r="AA388" t="str">
            <v>Aaa</v>
          </cell>
          <cell r="AB388">
            <v>36893</v>
          </cell>
          <cell r="AC388">
            <v>2001</v>
          </cell>
          <cell r="AD388" t="str">
            <v>St1</v>
          </cell>
          <cell r="AE388" t="str">
            <v>Qd1</v>
          </cell>
          <cell r="AF388" t="str">
            <v>Tr1</v>
          </cell>
          <cell r="AG388" t="str">
            <v>Tr1-2001</v>
          </cell>
          <cell r="AH388" t="str">
            <v>2001-Tr1</v>
          </cell>
          <cell r="AI388">
            <v>1</v>
          </cell>
          <cell r="AJ388" t="str">
            <v>01</v>
          </cell>
        </row>
        <row r="389">
          <cell r="AA389" t="str">
            <v>Aaa</v>
          </cell>
          <cell r="AB389">
            <v>36894</v>
          </cell>
          <cell r="AC389">
            <v>2001</v>
          </cell>
          <cell r="AD389" t="str">
            <v>St1</v>
          </cell>
          <cell r="AE389" t="str">
            <v>Qd1</v>
          </cell>
          <cell r="AF389" t="str">
            <v>Tr1</v>
          </cell>
          <cell r="AG389" t="str">
            <v>Tr1-2001</v>
          </cell>
          <cell r="AH389" t="str">
            <v>2001-Tr1</v>
          </cell>
          <cell r="AI389">
            <v>1</v>
          </cell>
          <cell r="AJ389" t="str">
            <v>01</v>
          </cell>
        </row>
        <row r="390">
          <cell r="AA390" t="str">
            <v>Aaa</v>
          </cell>
          <cell r="AB390">
            <v>36895</v>
          </cell>
          <cell r="AC390">
            <v>2001</v>
          </cell>
          <cell r="AD390" t="str">
            <v>St1</v>
          </cell>
          <cell r="AE390" t="str">
            <v>Qd1</v>
          </cell>
          <cell r="AF390" t="str">
            <v>Tr1</v>
          </cell>
          <cell r="AG390" t="str">
            <v>Tr1-2001</v>
          </cell>
          <cell r="AH390" t="str">
            <v>2001-Tr1</v>
          </cell>
          <cell r="AI390">
            <v>1</v>
          </cell>
          <cell r="AJ390" t="str">
            <v>01</v>
          </cell>
        </row>
        <row r="391">
          <cell r="AA391" t="str">
            <v>Aaa</v>
          </cell>
          <cell r="AB391">
            <v>36896</v>
          </cell>
          <cell r="AC391">
            <v>2001</v>
          </cell>
          <cell r="AD391" t="str">
            <v>St1</v>
          </cell>
          <cell r="AE391" t="str">
            <v>Qd1</v>
          </cell>
          <cell r="AF391" t="str">
            <v>Tr1</v>
          </cell>
          <cell r="AG391" t="str">
            <v>Tr1-2001</v>
          </cell>
          <cell r="AH391" t="str">
            <v>2001-Tr1</v>
          </cell>
          <cell r="AI391">
            <v>1</v>
          </cell>
          <cell r="AJ391" t="str">
            <v>01</v>
          </cell>
        </row>
        <row r="392">
          <cell r="AA392" t="str">
            <v>Aaa</v>
          </cell>
          <cell r="AB392">
            <v>36897</v>
          </cell>
          <cell r="AC392">
            <v>2001</v>
          </cell>
          <cell r="AD392" t="str">
            <v>St1</v>
          </cell>
          <cell r="AE392" t="str">
            <v>Qd1</v>
          </cell>
          <cell r="AF392" t="str">
            <v>Tr1</v>
          </cell>
          <cell r="AG392" t="str">
            <v>Tr1-2001</v>
          </cell>
          <cell r="AH392" t="str">
            <v>2001-Tr1</v>
          </cell>
          <cell r="AI392">
            <v>1</v>
          </cell>
          <cell r="AJ392" t="str">
            <v>01</v>
          </cell>
        </row>
        <row r="393">
          <cell r="AA393" t="str">
            <v>Aaa</v>
          </cell>
          <cell r="AB393">
            <v>36898</v>
          </cell>
          <cell r="AC393">
            <v>2001</v>
          </cell>
          <cell r="AD393" t="str">
            <v>St1</v>
          </cell>
          <cell r="AE393" t="str">
            <v>Qd1</v>
          </cell>
          <cell r="AF393" t="str">
            <v>Tr1</v>
          </cell>
          <cell r="AG393" t="str">
            <v>Tr1-2001</v>
          </cell>
          <cell r="AH393" t="str">
            <v>2001-Tr1</v>
          </cell>
          <cell r="AI393">
            <v>1</v>
          </cell>
          <cell r="AJ393" t="str">
            <v>01</v>
          </cell>
        </row>
        <row r="394">
          <cell r="AA394" t="str">
            <v>Aaa</v>
          </cell>
          <cell r="AB394">
            <v>36899</v>
          </cell>
          <cell r="AC394">
            <v>2001</v>
          </cell>
          <cell r="AD394" t="str">
            <v>St1</v>
          </cell>
          <cell r="AE394" t="str">
            <v>Qd1</v>
          </cell>
          <cell r="AF394" t="str">
            <v>Tr1</v>
          </cell>
          <cell r="AG394" t="str">
            <v>Tr1-2001</v>
          </cell>
          <cell r="AH394" t="str">
            <v>2001-Tr1</v>
          </cell>
          <cell r="AI394">
            <v>1</v>
          </cell>
          <cell r="AJ394" t="str">
            <v>01</v>
          </cell>
        </row>
        <row r="395">
          <cell r="AA395" t="str">
            <v>Aaa</v>
          </cell>
          <cell r="AB395">
            <v>36900</v>
          </cell>
          <cell r="AC395">
            <v>2001</v>
          </cell>
          <cell r="AD395" t="str">
            <v>St1</v>
          </cell>
          <cell r="AE395" t="str">
            <v>Qd1</v>
          </cell>
          <cell r="AF395" t="str">
            <v>Tr1</v>
          </cell>
          <cell r="AG395" t="str">
            <v>Tr1-2001</v>
          </cell>
          <cell r="AH395" t="str">
            <v>2001-Tr1</v>
          </cell>
          <cell r="AI395">
            <v>1</v>
          </cell>
          <cell r="AJ395" t="str">
            <v>01</v>
          </cell>
        </row>
        <row r="396">
          <cell r="AA396" t="str">
            <v>Aaa</v>
          </cell>
          <cell r="AB396">
            <v>36901</v>
          </cell>
          <cell r="AC396">
            <v>2001</v>
          </cell>
          <cell r="AD396" t="str">
            <v>St1</v>
          </cell>
          <cell r="AE396" t="str">
            <v>Qd1</v>
          </cell>
          <cell r="AF396" t="str">
            <v>Tr1</v>
          </cell>
          <cell r="AG396" t="str">
            <v>Tr1-2001</v>
          </cell>
          <cell r="AH396" t="str">
            <v>2001-Tr1</v>
          </cell>
          <cell r="AI396">
            <v>1</v>
          </cell>
          <cell r="AJ396" t="str">
            <v>01</v>
          </cell>
        </row>
        <row r="397">
          <cell r="AA397" t="str">
            <v>Aaa</v>
          </cell>
          <cell r="AB397">
            <v>36902</v>
          </cell>
          <cell r="AC397">
            <v>2001</v>
          </cell>
          <cell r="AD397" t="str">
            <v>St1</v>
          </cell>
          <cell r="AE397" t="str">
            <v>Qd1</v>
          </cell>
          <cell r="AF397" t="str">
            <v>Tr1</v>
          </cell>
          <cell r="AG397" t="str">
            <v>Tr1-2001</v>
          </cell>
          <cell r="AH397" t="str">
            <v>2001-Tr1</v>
          </cell>
          <cell r="AI397">
            <v>1</v>
          </cell>
          <cell r="AJ397" t="str">
            <v>01</v>
          </cell>
        </row>
        <row r="398">
          <cell r="AA398" t="str">
            <v>Aaa</v>
          </cell>
          <cell r="AB398">
            <v>36903</v>
          </cell>
          <cell r="AC398">
            <v>2001</v>
          </cell>
          <cell r="AD398" t="str">
            <v>St1</v>
          </cell>
          <cell r="AE398" t="str">
            <v>Qd1</v>
          </cell>
          <cell r="AF398" t="str">
            <v>Tr1</v>
          </cell>
          <cell r="AG398" t="str">
            <v>Tr1-2001</v>
          </cell>
          <cell r="AH398" t="str">
            <v>2001-Tr1</v>
          </cell>
          <cell r="AI398">
            <v>1</v>
          </cell>
          <cell r="AJ398" t="str">
            <v>01</v>
          </cell>
        </row>
        <row r="399">
          <cell r="AA399" t="str">
            <v>Aaa</v>
          </cell>
          <cell r="AB399">
            <v>36904</v>
          </cell>
          <cell r="AC399">
            <v>2001</v>
          </cell>
          <cell r="AD399" t="str">
            <v>St1</v>
          </cell>
          <cell r="AE399" t="str">
            <v>Qd1</v>
          </cell>
          <cell r="AF399" t="str">
            <v>Tr1</v>
          </cell>
          <cell r="AG399" t="str">
            <v>Tr1-2001</v>
          </cell>
          <cell r="AH399" t="str">
            <v>2001-Tr1</v>
          </cell>
          <cell r="AI399">
            <v>1</v>
          </cell>
          <cell r="AJ399" t="str">
            <v>01</v>
          </cell>
        </row>
        <row r="400">
          <cell r="AA400" t="str">
            <v>Aaa</v>
          </cell>
          <cell r="AB400">
            <v>36905</v>
          </cell>
          <cell r="AC400">
            <v>2001</v>
          </cell>
          <cell r="AD400" t="str">
            <v>St1</v>
          </cell>
          <cell r="AE400" t="str">
            <v>Qd1</v>
          </cell>
          <cell r="AF400" t="str">
            <v>Tr1</v>
          </cell>
          <cell r="AG400" t="str">
            <v>Tr1-2001</v>
          </cell>
          <cell r="AH400" t="str">
            <v>2001-Tr1</v>
          </cell>
          <cell r="AI400">
            <v>1</v>
          </cell>
          <cell r="AJ400" t="str">
            <v>01</v>
          </cell>
        </row>
        <row r="401">
          <cell r="AA401" t="str">
            <v>Aaa</v>
          </cell>
          <cell r="AB401">
            <v>36906</v>
          </cell>
          <cell r="AC401">
            <v>2001</v>
          </cell>
          <cell r="AD401" t="str">
            <v>St1</v>
          </cell>
          <cell r="AE401" t="str">
            <v>Qd1</v>
          </cell>
          <cell r="AF401" t="str">
            <v>Tr1</v>
          </cell>
          <cell r="AG401" t="str">
            <v>Tr1-2001</v>
          </cell>
          <cell r="AH401" t="str">
            <v>2001-Tr1</v>
          </cell>
          <cell r="AI401">
            <v>1</v>
          </cell>
          <cell r="AJ401" t="str">
            <v>01</v>
          </cell>
        </row>
        <row r="402">
          <cell r="AA402" t="str">
            <v>Aaa</v>
          </cell>
          <cell r="AB402">
            <v>36907</v>
          </cell>
          <cell r="AC402">
            <v>2001</v>
          </cell>
          <cell r="AD402" t="str">
            <v>St1</v>
          </cell>
          <cell r="AE402" t="str">
            <v>Qd1</v>
          </cell>
          <cell r="AF402" t="str">
            <v>Tr1</v>
          </cell>
          <cell r="AG402" t="str">
            <v>Tr1-2001</v>
          </cell>
          <cell r="AH402" t="str">
            <v>2001-Tr1</v>
          </cell>
          <cell r="AI402">
            <v>1</v>
          </cell>
          <cell r="AJ402" t="str">
            <v>01</v>
          </cell>
        </row>
        <row r="403">
          <cell r="AA403" t="str">
            <v>Aaa</v>
          </cell>
          <cell r="AB403">
            <v>36908</v>
          </cell>
          <cell r="AC403">
            <v>2001</v>
          </cell>
          <cell r="AD403" t="str">
            <v>St1</v>
          </cell>
          <cell r="AE403" t="str">
            <v>Qd1</v>
          </cell>
          <cell r="AF403" t="str">
            <v>Tr1</v>
          </cell>
          <cell r="AG403" t="str">
            <v>Tr1-2001</v>
          </cell>
          <cell r="AH403" t="str">
            <v>2001-Tr1</v>
          </cell>
          <cell r="AI403">
            <v>1</v>
          </cell>
          <cell r="AJ403" t="str">
            <v>01</v>
          </cell>
        </row>
        <row r="404">
          <cell r="AA404" t="str">
            <v>Aaa</v>
          </cell>
          <cell r="AB404">
            <v>36909</v>
          </cell>
          <cell r="AC404">
            <v>2001</v>
          </cell>
          <cell r="AD404" t="str">
            <v>St1</v>
          </cell>
          <cell r="AE404" t="str">
            <v>Qd1</v>
          </cell>
          <cell r="AF404" t="str">
            <v>Tr1</v>
          </cell>
          <cell r="AG404" t="str">
            <v>Tr1-2001</v>
          </cell>
          <cell r="AH404" t="str">
            <v>2001-Tr1</v>
          </cell>
          <cell r="AI404">
            <v>1</v>
          </cell>
          <cell r="AJ404" t="str">
            <v>01</v>
          </cell>
        </row>
        <row r="405">
          <cell r="AA405" t="str">
            <v>Aaa</v>
          </cell>
          <cell r="AB405">
            <v>36910</v>
          </cell>
          <cell r="AC405">
            <v>2001</v>
          </cell>
          <cell r="AD405" t="str">
            <v>St1</v>
          </cell>
          <cell r="AE405" t="str">
            <v>Qd1</v>
          </cell>
          <cell r="AF405" t="str">
            <v>Tr1</v>
          </cell>
          <cell r="AG405" t="str">
            <v>Tr1-2001</v>
          </cell>
          <cell r="AH405" t="str">
            <v>2001-Tr1</v>
          </cell>
          <cell r="AI405">
            <v>1</v>
          </cell>
          <cell r="AJ405" t="str">
            <v>01</v>
          </cell>
        </row>
        <row r="406">
          <cell r="AA406" t="str">
            <v>Aaa</v>
          </cell>
          <cell r="AB406">
            <v>36911</v>
          </cell>
          <cell r="AC406">
            <v>2001</v>
          </cell>
          <cell r="AD406" t="str">
            <v>St1</v>
          </cell>
          <cell r="AE406" t="str">
            <v>Qd1</v>
          </cell>
          <cell r="AF406" t="str">
            <v>Tr1</v>
          </cell>
          <cell r="AG406" t="str">
            <v>Tr1-2001</v>
          </cell>
          <cell r="AH406" t="str">
            <v>2001-Tr1</v>
          </cell>
          <cell r="AI406">
            <v>1</v>
          </cell>
          <cell r="AJ406" t="str">
            <v>01</v>
          </cell>
        </row>
        <row r="407">
          <cell r="AA407" t="str">
            <v>Aaa</v>
          </cell>
          <cell r="AB407">
            <v>36912</v>
          </cell>
          <cell r="AC407">
            <v>2001</v>
          </cell>
          <cell r="AD407" t="str">
            <v>St1</v>
          </cell>
          <cell r="AE407" t="str">
            <v>Qd1</v>
          </cell>
          <cell r="AF407" t="str">
            <v>Tr1</v>
          </cell>
          <cell r="AG407" t="str">
            <v>Tr1-2001</v>
          </cell>
          <cell r="AH407" t="str">
            <v>2001-Tr1</v>
          </cell>
          <cell r="AI407">
            <v>1</v>
          </cell>
          <cell r="AJ407" t="str">
            <v>01</v>
          </cell>
        </row>
        <row r="408">
          <cell r="AA408" t="str">
            <v>Aaa</v>
          </cell>
          <cell r="AB408">
            <v>36913</v>
          </cell>
          <cell r="AC408">
            <v>2001</v>
          </cell>
          <cell r="AD408" t="str">
            <v>St1</v>
          </cell>
          <cell r="AE408" t="str">
            <v>Qd1</v>
          </cell>
          <cell r="AF408" t="str">
            <v>Tr1</v>
          </cell>
          <cell r="AG408" t="str">
            <v>Tr1-2001</v>
          </cell>
          <cell r="AH408" t="str">
            <v>2001-Tr1</v>
          </cell>
          <cell r="AI408">
            <v>1</v>
          </cell>
          <cell r="AJ408" t="str">
            <v>01</v>
          </cell>
        </row>
        <row r="409">
          <cell r="AA409" t="str">
            <v>Aaa</v>
          </cell>
          <cell r="AB409">
            <v>36914</v>
          </cell>
          <cell r="AC409">
            <v>2001</v>
          </cell>
          <cell r="AD409" t="str">
            <v>St1</v>
          </cell>
          <cell r="AE409" t="str">
            <v>Qd1</v>
          </cell>
          <cell r="AF409" t="str">
            <v>Tr1</v>
          </cell>
          <cell r="AG409" t="str">
            <v>Tr1-2001</v>
          </cell>
          <cell r="AH409" t="str">
            <v>2001-Tr1</v>
          </cell>
          <cell r="AI409">
            <v>1</v>
          </cell>
          <cell r="AJ409" t="str">
            <v>01</v>
          </cell>
        </row>
        <row r="410">
          <cell r="AA410" t="str">
            <v>Aaa</v>
          </cell>
          <cell r="AB410">
            <v>36915</v>
          </cell>
          <cell r="AC410">
            <v>2001</v>
          </cell>
          <cell r="AD410" t="str">
            <v>St1</v>
          </cell>
          <cell r="AE410" t="str">
            <v>Qd1</v>
          </cell>
          <cell r="AF410" t="str">
            <v>Tr1</v>
          </cell>
          <cell r="AG410" t="str">
            <v>Tr1-2001</v>
          </cell>
          <cell r="AH410" t="str">
            <v>2001-Tr1</v>
          </cell>
          <cell r="AI410">
            <v>1</v>
          </cell>
          <cell r="AJ410" t="str">
            <v>01</v>
          </cell>
        </row>
        <row r="411">
          <cell r="AA411" t="str">
            <v>Aaa</v>
          </cell>
          <cell r="AB411">
            <v>36916</v>
          </cell>
          <cell r="AC411">
            <v>2001</v>
          </cell>
          <cell r="AD411" t="str">
            <v>St1</v>
          </cell>
          <cell r="AE411" t="str">
            <v>Qd1</v>
          </cell>
          <cell r="AF411" t="str">
            <v>Tr1</v>
          </cell>
          <cell r="AG411" t="str">
            <v>Tr1-2001</v>
          </cell>
          <cell r="AH411" t="str">
            <v>2001-Tr1</v>
          </cell>
          <cell r="AI411">
            <v>1</v>
          </cell>
          <cell r="AJ411" t="str">
            <v>01</v>
          </cell>
        </row>
        <row r="412">
          <cell r="AA412" t="str">
            <v>Aaa</v>
          </cell>
          <cell r="AB412">
            <v>36917</v>
          </cell>
          <cell r="AC412">
            <v>2001</v>
          </cell>
          <cell r="AD412" t="str">
            <v>St1</v>
          </cell>
          <cell r="AE412" t="str">
            <v>Qd1</v>
          </cell>
          <cell r="AF412" t="str">
            <v>Tr1</v>
          </cell>
          <cell r="AG412" t="str">
            <v>Tr1-2001</v>
          </cell>
          <cell r="AH412" t="str">
            <v>2001-Tr1</v>
          </cell>
          <cell r="AI412">
            <v>1</v>
          </cell>
          <cell r="AJ412" t="str">
            <v>01</v>
          </cell>
        </row>
        <row r="413">
          <cell r="AA413" t="str">
            <v>Aaa</v>
          </cell>
          <cell r="AB413">
            <v>36918</v>
          </cell>
          <cell r="AC413">
            <v>2001</v>
          </cell>
          <cell r="AD413" t="str">
            <v>St1</v>
          </cell>
          <cell r="AE413" t="str">
            <v>Qd1</v>
          </cell>
          <cell r="AF413" t="str">
            <v>Tr1</v>
          </cell>
          <cell r="AG413" t="str">
            <v>Tr1-2001</v>
          </cell>
          <cell r="AH413" t="str">
            <v>2001-Tr1</v>
          </cell>
          <cell r="AI413">
            <v>1</v>
          </cell>
          <cell r="AJ413" t="str">
            <v>01</v>
          </cell>
        </row>
        <row r="414">
          <cell r="AA414" t="str">
            <v>Aaa</v>
          </cell>
          <cell r="AB414">
            <v>36919</v>
          </cell>
          <cell r="AC414">
            <v>2001</v>
          </cell>
          <cell r="AD414" t="str">
            <v>St1</v>
          </cell>
          <cell r="AE414" t="str">
            <v>Qd1</v>
          </cell>
          <cell r="AF414" t="str">
            <v>Tr1</v>
          </cell>
          <cell r="AG414" t="str">
            <v>Tr1-2001</v>
          </cell>
          <cell r="AH414" t="str">
            <v>2001-Tr1</v>
          </cell>
          <cell r="AI414">
            <v>1</v>
          </cell>
          <cell r="AJ414" t="str">
            <v>01</v>
          </cell>
        </row>
        <row r="415">
          <cell r="AA415" t="str">
            <v>Aaa</v>
          </cell>
          <cell r="AB415">
            <v>36920</v>
          </cell>
          <cell r="AC415">
            <v>2001</v>
          </cell>
          <cell r="AD415" t="str">
            <v>St1</v>
          </cell>
          <cell r="AE415" t="str">
            <v>Qd1</v>
          </cell>
          <cell r="AF415" t="str">
            <v>Tr1</v>
          </cell>
          <cell r="AG415" t="str">
            <v>Tr1-2001</v>
          </cell>
          <cell r="AH415" t="str">
            <v>2001-Tr1</v>
          </cell>
          <cell r="AI415">
            <v>1</v>
          </cell>
          <cell r="AJ415" t="str">
            <v>01</v>
          </cell>
        </row>
        <row r="416">
          <cell r="AA416" t="str">
            <v>Aaa</v>
          </cell>
          <cell r="AB416">
            <v>36921</v>
          </cell>
          <cell r="AC416">
            <v>2001</v>
          </cell>
          <cell r="AD416" t="str">
            <v>St1</v>
          </cell>
          <cell r="AE416" t="str">
            <v>Qd1</v>
          </cell>
          <cell r="AF416" t="str">
            <v>Tr1</v>
          </cell>
          <cell r="AG416" t="str">
            <v>Tr1-2001</v>
          </cell>
          <cell r="AH416" t="str">
            <v>2001-Tr1</v>
          </cell>
          <cell r="AI416">
            <v>1</v>
          </cell>
          <cell r="AJ416" t="str">
            <v>01</v>
          </cell>
        </row>
        <row r="417">
          <cell r="AA417" t="str">
            <v>Aaa</v>
          </cell>
          <cell r="AB417">
            <v>36922</v>
          </cell>
          <cell r="AC417">
            <v>2001</v>
          </cell>
          <cell r="AD417" t="str">
            <v>St1</v>
          </cell>
          <cell r="AE417" t="str">
            <v>Qd1</v>
          </cell>
          <cell r="AF417" t="str">
            <v>Tr1</v>
          </cell>
          <cell r="AG417" t="str">
            <v>Tr1-2001</v>
          </cell>
          <cell r="AH417" t="str">
            <v>2001-Tr1</v>
          </cell>
          <cell r="AI417">
            <v>1</v>
          </cell>
          <cell r="AJ417" t="str">
            <v>01</v>
          </cell>
        </row>
        <row r="418">
          <cell r="AA418" t="str">
            <v>Aaa</v>
          </cell>
          <cell r="AB418">
            <v>36923</v>
          </cell>
          <cell r="AC418">
            <v>2001</v>
          </cell>
          <cell r="AD418" t="str">
            <v>St1</v>
          </cell>
          <cell r="AE418" t="str">
            <v>Qd1</v>
          </cell>
          <cell r="AF418" t="str">
            <v>Tr1</v>
          </cell>
          <cell r="AG418" t="str">
            <v>Tr1-2001</v>
          </cell>
          <cell r="AH418" t="str">
            <v>2001-Tr1</v>
          </cell>
          <cell r="AI418">
            <v>2</v>
          </cell>
          <cell r="AJ418" t="str">
            <v>02</v>
          </cell>
        </row>
        <row r="419">
          <cell r="AA419" t="str">
            <v>Aaa</v>
          </cell>
          <cell r="AB419">
            <v>36924</v>
          </cell>
          <cell r="AC419">
            <v>2001</v>
          </cell>
          <cell r="AD419" t="str">
            <v>St1</v>
          </cell>
          <cell r="AE419" t="str">
            <v>Qd1</v>
          </cell>
          <cell r="AF419" t="str">
            <v>Tr1</v>
          </cell>
          <cell r="AG419" t="str">
            <v>Tr1-2001</v>
          </cell>
          <cell r="AH419" t="str">
            <v>2001-Tr1</v>
          </cell>
          <cell r="AI419">
            <v>2</v>
          </cell>
          <cell r="AJ419" t="str">
            <v>02</v>
          </cell>
        </row>
        <row r="420">
          <cell r="AA420" t="str">
            <v>Aaa</v>
          </cell>
          <cell r="AB420">
            <v>36925</v>
          </cell>
          <cell r="AC420">
            <v>2001</v>
          </cell>
          <cell r="AD420" t="str">
            <v>St1</v>
          </cell>
          <cell r="AE420" t="str">
            <v>Qd1</v>
          </cell>
          <cell r="AF420" t="str">
            <v>Tr1</v>
          </cell>
          <cell r="AG420" t="str">
            <v>Tr1-2001</v>
          </cell>
          <cell r="AH420" t="str">
            <v>2001-Tr1</v>
          </cell>
          <cell r="AI420">
            <v>2</v>
          </cell>
          <cell r="AJ420" t="str">
            <v>02</v>
          </cell>
        </row>
        <row r="421">
          <cell r="AA421" t="str">
            <v>Aaa</v>
          </cell>
          <cell r="AB421">
            <v>36926</v>
          </cell>
          <cell r="AC421">
            <v>2001</v>
          </cell>
          <cell r="AD421" t="str">
            <v>St1</v>
          </cell>
          <cell r="AE421" t="str">
            <v>Qd1</v>
          </cell>
          <cell r="AF421" t="str">
            <v>Tr1</v>
          </cell>
          <cell r="AG421" t="str">
            <v>Tr1-2001</v>
          </cell>
          <cell r="AH421" t="str">
            <v>2001-Tr1</v>
          </cell>
          <cell r="AI421">
            <v>2</v>
          </cell>
          <cell r="AJ421" t="str">
            <v>02</v>
          </cell>
        </row>
        <row r="422">
          <cell r="AA422" t="str">
            <v>Aaa</v>
          </cell>
          <cell r="AB422">
            <v>36927</v>
          </cell>
          <cell r="AC422">
            <v>2001</v>
          </cell>
          <cell r="AD422" t="str">
            <v>St1</v>
          </cell>
          <cell r="AE422" t="str">
            <v>Qd1</v>
          </cell>
          <cell r="AF422" t="str">
            <v>Tr1</v>
          </cell>
          <cell r="AG422" t="str">
            <v>Tr1-2001</v>
          </cell>
          <cell r="AH422" t="str">
            <v>2001-Tr1</v>
          </cell>
          <cell r="AI422">
            <v>2</v>
          </cell>
          <cell r="AJ422" t="str">
            <v>02</v>
          </cell>
        </row>
        <row r="423">
          <cell r="AA423" t="str">
            <v>Aaa</v>
          </cell>
          <cell r="AB423">
            <v>36928</v>
          </cell>
          <cell r="AC423">
            <v>2001</v>
          </cell>
          <cell r="AD423" t="str">
            <v>St1</v>
          </cell>
          <cell r="AE423" t="str">
            <v>Qd1</v>
          </cell>
          <cell r="AF423" t="str">
            <v>Tr1</v>
          </cell>
          <cell r="AG423" t="str">
            <v>Tr1-2001</v>
          </cell>
          <cell r="AH423" t="str">
            <v>2001-Tr1</v>
          </cell>
          <cell r="AI423">
            <v>2</v>
          </cell>
          <cell r="AJ423" t="str">
            <v>02</v>
          </cell>
        </row>
        <row r="424">
          <cell r="AA424" t="str">
            <v>Aaa</v>
          </cell>
          <cell r="AB424">
            <v>36929</v>
          </cell>
          <cell r="AC424">
            <v>2001</v>
          </cell>
          <cell r="AD424" t="str">
            <v>St1</v>
          </cell>
          <cell r="AE424" t="str">
            <v>Qd1</v>
          </cell>
          <cell r="AF424" t="str">
            <v>Tr1</v>
          </cell>
          <cell r="AG424" t="str">
            <v>Tr1-2001</v>
          </cell>
          <cell r="AH424" t="str">
            <v>2001-Tr1</v>
          </cell>
          <cell r="AI424">
            <v>2</v>
          </cell>
          <cell r="AJ424" t="str">
            <v>02</v>
          </cell>
        </row>
        <row r="425">
          <cell r="AA425" t="str">
            <v>Aaa</v>
          </cell>
          <cell r="AB425">
            <v>36930</v>
          </cell>
          <cell r="AC425">
            <v>2001</v>
          </cell>
          <cell r="AD425" t="str">
            <v>St1</v>
          </cell>
          <cell r="AE425" t="str">
            <v>Qd1</v>
          </cell>
          <cell r="AF425" t="str">
            <v>Tr1</v>
          </cell>
          <cell r="AG425" t="str">
            <v>Tr1-2001</v>
          </cell>
          <cell r="AH425" t="str">
            <v>2001-Tr1</v>
          </cell>
          <cell r="AI425">
            <v>2</v>
          </cell>
          <cell r="AJ425" t="str">
            <v>02</v>
          </cell>
        </row>
        <row r="426">
          <cell r="AA426" t="str">
            <v>Aaa</v>
          </cell>
          <cell r="AB426">
            <v>36931</v>
          </cell>
          <cell r="AC426">
            <v>2001</v>
          </cell>
          <cell r="AD426" t="str">
            <v>St1</v>
          </cell>
          <cell r="AE426" t="str">
            <v>Qd1</v>
          </cell>
          <cell r="AF426" t="str">
            <v>Tr1</v>
          </cell>
          <cell r="AG426" t="str">
            <v>Tr1-2001</v>
          </cell>
          <cell r="AH426" t="str">
            <v>2001-Tr1</v>
          </cell>
          <cell r="AI426">
            <v>2</v>
          </cell>
          <cell r="AJ426" t="str">
            <v>02</v>
          </cell>
        </row>
        <row r="427">
          <cell r="AA427" t="str">
            <v>Aaa</v>
          </cell>
          <cell r="AB427">
            <v>36932</v>
          </cell>
          <cell r="AC427">
            <v>2001</v>
          </cell>
          <cell r="AD427" t="str">
            <v>St1</v>
          </cell>
          <cell r="AE427" t="str">
            <v>Qd1</v>
          </cell>
          <cell r="AF427" t="str">
            <v>Tr1</v>
          </cell>
          <cell r="AG427" t="str">
            <v>Tr1-2001</v>
          </cell>
          <cell r="AH427" t="str">
            <v>2001-Tr1</v>
          </cell>
          <cell r="AI427">
            <v>2</v>
          </cell>
          <cell r="AJ427" t="str">
            <v>02</v>
          </cell>
        </row>
        <row r="428">
          <cell r="AA428" t="str">
            <v>Aaa</v>
          </cell>
          <cell r="AB428">
            <v>36933</v>
          </cell>
          <cell r="AC428">
            <v>2001</v>
          </cell>
          <cell r="AD428" t="str">
            <v>St1</v>
          </cell>
          <cell r="AE428" t="str">
            <v>Qd1</v>
          </cell>
          <cell r="AF428" t="str">
            <v>Tr1</v>
          </cell>
          <cell r="AG428" t="str">
            <v>Tr1-2001</v>
          </cell>
          <cell r="AH428" t="str">
            <v>2001-Tr1</v>
          </cell>
          <cell r="AI428">
            <v>2</v>
          </cell>
          <cell r="AJ428" t="str">
            <v>02</v>
          </cell>
        </row>
        <row r="429">
          <cell r="AA429" t="str">
            <v>Aaa</v>
          </cell>
          <cell r="AB429">
            <v>36934</v>
          </cell>
          <cell r="AC429">
            <v>2001</v>
          </cell>
          <cell r="AD429" t="str">
            <v>St1</v>
          </cell>
          <cell r="AE429" t="str">
            <v>Qd1</v>
          </cell>
          <cell r="AF429" t="str">
            <v>Tr1</v>
          </cell>
          <cell r="AG429" t="str">
            <v>Tr1-2001</v>
          </cell>
          <cell r="AH429" t="str">
            <v>2001-Tr1</v>
          </cell>
          <cell r="AI429">
            <v>2</v>
          </cell>
          <cell r="AJ429" t="str">
            <v>02</v>
          </cell>
        </row>
        <row r="430">
          <cell r="AA430" t="str">
            <v>Aaa</v>
          </cell>
          <cell r="AB430">
            <v>36935</v>
          </cell>
          <cell r="AC430">
            <v>2001</v>
          </cell>
          <cell r="AD430" t="str">
            <v>St1</v>
          </cell>
          <cell r="AE430" t="str">
            <v>Qd1</v>
          </cell>
          <cell r="AF430" t="str">
            <v>Tr1</v>
          </cell>
          <cell r="AG430" t="str">
            <v>Tr1-2001</v>
          </cell>
          <cell r="AH430" t="str">
            <v>2001-Tr1</v>
          </cell>
          <cell r="AI430">
            <v>2</v>
          </cell>
          <cell r="AJ430" t="str">
            <v>02</v>
          </cell>
        </row>
        <row r="431">
          <cell r="AA431" t="str">
            <v>Aaa</v>
          </cell>
          <cell r="AB431">
            <v>36936</v>
          </cell>
          <cell r="AC431">
            <v>2001</v>
          </cell>
          <cell r="AD431" t="str">
            <v>St1</v>
          </cell>
          <cell r="AE431" t="str">
            <v>Qd1</v>
          </cell>
          <cell r="AF431" t="str">
            <v>Tr1</v>
          </cell>
          <cell r="AG431" t="str">
            <v>Tr1-2001</v>
          </cell>
          <cell r="AH431" t="str">
            <v>2001-Tr1</v>
          </cell>
          <cell r="AI431">
            <v>2</v>
          </cell>
          <cell r="AJ431" t="str">
            <v>02</v>
          </cell>
        </row>
        <row r="432">
          <cell r="AA432" t="str">
            <v>Aaa</v>
          </cell>
          <cell r="AB432">
            <v>36937</v>
          </cell>
          <cell r="AC432">
            <v>2001</v>
          </cell>
          <cell r="AD432" t="str">
            <v>St1</v>
          </cell>
          <cell r="AE432" t="str">
            <v>Qd1</v>
          </cell>
          <cell r="AF432" t="str">
            <v>Tr1</v>
          </cell>
          <cell r="AG432" t="str">
            <v>Tr1-2001</v>
          </cell>
          <cell r="AH432" t="str">
            <v>2001-Tr1</v>
          </cell>
          <cell r="AI432">
            <v>2</v>
          </cell>
          <cell r="AJ432" t="str">
            <v>02</v>
          </cell>
        </row>
        <row r="433">
          <cell r="AA433" t="str">
            <v>Aaa</v>
          </cell>
          <cell r="AB433">
            <v>36938</v>
          </cell>
          <cell r="AC433">
            <v>2001</v>
          </cell>
          <cell r="AD433" t="str">
            <v>St1</v>
          </cell>
          <cell r="AE433" t="str">
            <v>Qd1</v>
          </cell>
          <cell r="AF433" t="str">
            <v>Tr1</v>
          </cell>
          <cell r="AG433" t="str">
            <v>Tr1-2001</v>
          </cell>
          <cell r="AH433" t="str">
            <v>2001-Tr1</v>
          </cell>
          <cell r="AI433">
            <v>2</v>
          </cell>
          <cell r="AJ433" t="str">
            <v>02</v>
          </cell>
        </row>
        <row r="434">
          <cell r="AA434" t="str">
            <v>Aaa</v>
          </cell>
          <cell r="AB434">
            <v>36939</v>
          </cell>
          <cell r="AC434">
            <v>2001</v>
          </cell>
          <cell r="AD434" t="str">
            <v>St1</v>
          </cell>
          <cell r="AE434" t="str">
            <v>Qd1</v>
          </cell>
          <cell r="AF434" t="str">
            <v>Tr1</v>
          </cell>
          <cell r="AG434" t="str">
            <v>Tr1-2001</v>
          </cell>
          <cell r="AH434" t="str">
            <v>2001-Tr1</v>
          </cell>
          <cell r="AI434">
            <v>2</v>
          </cell>
          <cell r="AJ434" t="str">
            <v>02</v>
          </cell>
        </row>
        <row r="435">
          <cell r="AA435" t="str">
            <v>Aaa</v>
          </cell>
          <cell r="AB435">
            <v>36940</v>
          </cell>
          <cell r="AC435">
            <v>2001</v>
          </cell>
          <cell r="AD435" t="str">
            <v>St1</v>
          </cell>
          <cell r="AE435" t="str">
            <v>Qd1</v>
          </cell>
          <cell r="AF435" t="str">
            <v>Tr1</v>
          </cell>
          <cell r="AG435" t="str">
            <v>Tr1-2001</v>
          </cell>
          <cell r="AH435" t="str">
            <v>2001-Tr1</v>
          </cell>
          <cell r="AI435">
            <v>2</v>
          </cell>
          <cell r="AJ435" t="str">
            <v>02</v>
          </cell>
        </row>
        <row r="436">
          <cell r="AA436" t="str">
            <v>Aaa</v>
          </cell>
          <cell r="AB436">
            <v>36941</v>
          </cell>
          <cell r="AC436">
            <v>2001</v>
          </cell>
          <cell r="AD436" t="str">
            <v>St1</v>
          </cell>
          <cell r="AE436" t="str">
            <v>Qd1</v>
          </cell>
          <cell r="AF436" t="str">
            <v>Tr1</v>
          </cell>
          <cell r="AG436" t="str">
            <v>Tr1-2001</v>
          </cell>
          <cell r="AH436" t="str">
            <v>2001-Tr1</v>
          </cell>
          <cell r="AI436">
            <v>2</v>
          </cell>
          <cell r="AJ436" t="str">
            <v>02</v>
          </cell>
        </row>
        <row r="437">
          <cell r="AA437" t="str">
            <v>Aaa</v>
          </cell>
          <cell r="AB437">
            <v>36942</v>
          </cell>
          <cell r="AC437">
            <v>2001</v>
          </cell>
          <cell r="AD437" t="str">
            <v>St1</v>
          </cell>
          <cell r="AE437" t="str">
            <v>Qd1</v>
          </cell>
          <cell r="AF437" t="str">
            <v>Tr1</v>
          </cell>
          <cell r="AG437" t="str">
            <v>Tr1-2001</v>
          </cell>
          <cell r="AH437" t="str">
            <v>2001-Tr1</v>
          </cell>
          <cell r="AI437">
            <v>2</v>
          </cell>
          <cell r="AJ437" t="str">
            <v>02</v>
          </cell>
        </row>
        <row r="438">
          <cell r="AA438" t="str">
            <v>Aaa</v>
          </cell>
          <cell r="AB438">
            <v>36943</v>
          </cell>
          <cell r="AC438">
            <v>2001</v>
          </cell>
          <cell r="AD438" t="str">
            <v>St1</v>
          </cell>
          <cell r="AE438" t="str">
            <v>Qd1</v>
          </cell>
          <cell r="AF438" t="str">
            <v>Tr1</v>
          </cell>
          <cell r="AG438" t="str">
            <v>Tr1-2001</v>
          </cell>
          <cell r="AH438" t="str">
            <v>2001-Tr1</v>
          </cell>
          <cell r="AI438">
            <v>2</v>
          </cell>
          <cell r="AJ438" t="str">
            <v>02</v>
          </cell>
        </row>
        <row r="439">
          <cell r="AA439" t="str">
            <v>Aaa</v>
          </cell>
          <cell r="AB439">
            <v>36944</v>
          </cell>
          <cell r="AC439">
            <v>2001</v>
          </cell>
          <cell r="AD439" t="str">
            <v>St1</v>
          </cell>
          <cell r="AE439" t="str">
            <v>Qd1</v>
          </cell>
          <cell r="AF439" t="str">
            <v>Tr1</v>
          </cell>
          <cell r="AG439" t="str">
            <v>Tr1-2001</v>
          </cell>
          <cell r="AH439" t="str">
            <v>2001-Tr1</v>
          </cell>
          <cell r="AI439">
            <v>2</v>
          </cell>
          <cell r="AJ439" t="str">
            <v>02</v>
          </cell>
        </row>
        <row r="440">
          <cell r="AA440" t="str">
            <v>Aaa</v>
          </cell>
          <cell r="AB440">
            <v>36945</v>
          </cell>
          <cell r="AC440">
            <v>2001</v>
          </cell>
          <cell r="AD440" t="str">
            <v>St1</v>
          </cell>
          <cell r="AE440" t="str">
            <v>Qd1</v>
          </cell>
          <cell r="AF440" t="str">
            <v>Tr1</v>
          </cell>
          <cell r="AG440" t="str">
            <v>Tr1-2001</v>
          </cell>
          <cell r="AH440" t="str">
            <v>2001-Tr1</v>
          </cell>
          <cell r="AI440">
            <v>2</v>
          </cell>
          <cell r="AJ440" t="str">
            <v>02</v>
          </cell>
        </row>
        <row r="441">
          <cell r="AA441" t="str">
            <v>Aaa</v>
          </cell>
          <cell r="AB441">
            <v>36946</v>
          </cell>
          <cell r="AC441">
            <v>2001</v>
          </cell>
          <cell r="AD441" t="str">
            <v>St1</v>
          </cell>
          <cell r="AE441" t="str">
            <v>Qd1</v>
          </cell>
          <cell r="AF441" t="str">
            <v>Tr1</v>
          </cell>
          <cell r="AG441" t="str">
            <v>Tr1-2001</v>
          </cell>
          <cell r="AH441" t="str">
            <v>2001-Tr1</v>
          </cell>
          <cell r="AI441">
            <v>2</v>
          </cell>
          <cell r="AJ441" t="str">
            <v>02</v>
          </cell>
        </row>
        <row r="442">
          <cell r="AA442" t="str">
            <v>Aaa</v>
          </cell>
          <cell r="AB442">
            <v>36947</v>
          </cell>
          <cell r="AC442">
            <v>2001</v>
          </cell>
          <cell r="AD442" t="str">
            <v>St1</v>
          </cell>
          <cell r="AE442" t="str">
            <v>Qd1</v>
          </cell>
          <cell r="AF442" t="str">
            <v>Tr1</v>
          </cell>
          <cell r="AG442" t="str">
            <v>Tr1-2001</v>
          </cell>
          <cell r="AH442" t="str">
            <v>2001-Tr1</v>
          </cell>
          <cell r="AI442">
            <v>2</v>
          </cell>
          <cell r="AJ442" t="str">
            <v>02</v>
          </cell>
        </row>
        <row r="443">
          <cell r="AA443" t="str">
            <v>Aaa</v>
          </cell>
          <cell r="AB443">
            <v>36948</v>
          </cell>
          <cell r="AC443">
            <v>2001</v>
          </cell>
          <cell r="AD443" t="str">
            <v>St1</v>
          </cell>
          <cell r="AE443" t="str">
            <v>Qd1</v>
          </cell>
          <cell r="AF443" t="str">
            <v>Tr1</v>
          </cell>
          <cell r="AG443" t="str">
            <v>Tr1-2001</v>
          </cell>
          <cell r="AH443" t="str">
            <v>2001-Tr1</v>
          </cell>
          <cell r="AI443">
            <v>2</v>
          </cell>
          <cell r="AJ443" t="str">
            <v>02</v>
          </cell>
        </row>
        <row r="444">
          <cell r="AA444" t="str">
            <v>Aaa</v>
          </cell>
          <cell r="AB444">
            <v>36949</v>
          </cell>
          <cell r="AC444">
            <v>2001</v>
          </cell>
          <cell r="AD444" t="str">
            <v>St1</v>
          </cell>
          <cell r="AE444" t="str">
            <v>Qd1</v>
          </cell>
          <cell r="AF444" t="str">
            <v>Tr1</v>
          </cell>
          <cell r="AG444" t="str">
            <v>Tr1-2001</v>
          </cell>
          <cell r="AH444" t="str">
            <v>2001-Tr1</v>
          </cell>
          <cell r="AI444">
            <v>2</v>
          </cell>
          <cell r="AJ444" t="str">
            <v>02</v>
          </cell>
        </row>
        <row r="445">
          <cell r="AA445" t="str">
            <v>Aaa</v>
          </cell>
          <cell r="AB445">
            <v>36950</v>
          </cell>
          <cell r="AC445">
            <v>2001</v>
          </cell>
          <cell r="AD445" t="str">
            <v>St1</v>
          </cell>
          <cell r="AE445" t="str">
            <v>Qd1</v>
          </cell>
          <cell r="AF445" t="str">
            <v>Tr1</v>
          </cell>
          <cell r="AG445" t="str">
            <v>Tr1-2001</v>
          </cell>
          <cell r="AH445" t="str">
            <v>2001-Tr1</v>
          </cell>
          <cell r="AI445">
            <v>2</v>
          </cell>
          <cell r="AJ445" t="str">
            <v>02</v>
          </cell>
        </row>
        <row r="446">
          <cell r="AA446" t="str">
            <v>Aaa</v>
          </cell>
          <cell r="AB446">
            <v>36951</v>
          </cell>
          <cell r="AC446">
            <v>2001</v>
          </cell>
          <cell r="AD446" t="str">
            <v>St1</v>
          </cell>
          <cell r="AE446" t="str">
            <v>Qd1</v>
          </cell>
          <cell r="AF446" t="str">
            <v>Tr1</v>
          </cell>
          <cell r="AG446" t="str">
            <v>Tr1-2001</v>
          </cell>
          <cell r="AH446" t="str">
            <v>2001-Tr1</v>
          </cell>
          <cell r="AI446">
            <v>3</v>
          </cell>
          <cell r="AJ446" t="str">
            <v>03</v>
          </cell>
        </row>
        <row r="447">
          <cell r="AA447" t="str">
            <v>Aaa</v>
          </cell>
          <cell r="AB447">
            <v>36952</v>
          </cell>
          <cell r="AC447">
            <v>2001</v>
          </cell>
          <cell r="AD447" t="str">
            <v>St1</v>
          </cell>
          <cell r="AE447" t="str">
            <v>Qd1</v>
          </cell>
          <cell r="AF447" t="str">
            <v>Tr1</v>
          </cell>
          <cell r="AG447" t="str">
            <v>Tr1-2001</v>
          </cell>
          <cell r="AH447" t="str">
            <v>2001-Tr1</v>
          </cell>
          <cell r="AI447">
            <v>3</v>
          </cell>
          <cell r="AJ447" t="str">
            <v>03</v>
          </cell>
        </row>
        <row r="448">
          <cell r="AA448" t="str">
            <v>Aaa</v>
          </cell>
          <cell r="AB448">
            <v>36953</v>
          </cell>
          <cell r="AC448">
            <v>2001</v>
          </cell>
          <cell r="AD448" t="str">
            <v>St1</v>
          </cell>
          <cell r="AE448" t="str">
            <v>Qd1</v>
          </cell>
          <cell r="AF448" t="str">
            <v>Tr1</v>
          </cell>
          <cell r="AG448" t="str">
            <v>Tr1-2001</v>
          </cell>
          <cell r="AH448" t="str">
            <v>2001-Tr1</v>
          </cell>
          <cell r="AI448">
            <v>3</v>
          </cell>
          <cell r="AJ448" t="str">
            <v>03</v>
          </cell>
        </row>
        <row r="449">
          <cell r="AA449" t="str">
            <v>Aaa</v>
          </cell>
          <cell r="AB449">
            <v>36954</v>
          </cell>
          <cell r="AC449">
            <v>2001</v>
          </cell>
          <cell r="AD449" t="str">
            <v>St1</v>
          </cell>
          <cell r="AE449" t="str">
            <v>Qd1</v>
          </cell>
          <cell r="AF449" t="str">
            <v>Tr1</v>
          </cell>
          <cell r="AG449" t="str">
            <v>Tr1-2001</v>
          </cell>
          <cell r="AH449" t="str">
            <v>2001-Tr1</v>
          </cell>
          <cell r="AI449">
            <v>3</v>
          </cell>
          <cell r="AJ449" t="str">
            <v>03</v>
          </cell>
        </row>
        <row r="450">
          <cell r="AA450" t="str">
            <v>Aaa</v>
          </cell>
          <cell r="AB450">
            <v>36955</v>
          </cell>
          <cell r="AC450">
            <v>2001</v>
          </cell>
          <cell r="AD450" t="str">
            <v>St1</v>
          </cell>
          <cell r="AE450" t="str">
            <v>Qd1</v>
          </cell>
          <cell r="AF450" t="str">
            <v>Tr1</v>
          </cell>
          <cell r="AG450" t="str">
            <v>Tr1-2001</v>
          </cell>
          <cell r="AH450" t="str">
            <v>2001-Tr1</v>
          </cell>
          <cell r="AI450">
            <v>3</v>
          </cell>
          <cell r="AJ450" t="str">
            <v>03</v>
          </cell>
        </row>
        <row r="451">
          <cell r="AA451" t="str">
            <v>Aaa</v>
          </cell>
          <cell r="AB451">
            <v>36956</v>
          </cell>
          <cell r="AC451">
            <v>2001</v>
          </cell>
          <cell r="AD451" t="str">
            <v>St1</v>
          </cell>
          <cell r="AE451" t="str">
            <v>Qd1</v>
          </cell>
          <cell r="AF451" t="str">
            <v>Tr1</v>
          </cell>
          <cell r="AG451" t="str">
            <v>Tr1-2001</v>
          </cell>
          <cell r="AH451" t="str">
            <v>2001-Tr1</v>
          </cell>
          <cell r="AI451">
            <v>3</v>
          </cell>
          <cell r="AJ451" t="str">
            <v>03</v>
          </cell>
        </row>
        <row r="452">
          <cell r="AA452" t="str">
            <v>Aaa</v>
          </cell>
          <cell r="AB452">
            <v>36957</v>
          </cell>
          <cell r="AC452">
            <v>2001</v>
          </cell>
          <cell r="AD452" t="str">
            <v>St1</v>
          </cell>
          <cell r="AE452" t="str">
            <v>Qd1</v>
          </cell>
          <cell r="AF452" t="str">
            <v>Tr1</v>
          </cell>
          <cell r="AG452" t="str">
            <v>Tr1-2001</v>
          </cell>
          <cell r="AH452" t="str">
            <v>2001-Tr1</v>
          </cell>
          <cell r="AI452">
            <v>3</v>
          </cell>
          <cell r="AJ452" t="str">
            <v>03</v>
          </cell>
        </row>
        <row r="453">
          <cell r="AA453" t="str">
            <v>Aaa</v>
          </cell>
          <cell r="AB453">
            <v>36958</v>
          </cell>
          <cell r="AC453">
            <v>2001</v>
          </cell>
          <cell r="AD453" t="str">
            <v>St1</v>
          </cell>
          <cell r="AE453" t="str">
            <v>Qd1</v>
          </cell>
          <cell r="AF453" t="str">
            <v>Tr1</v>
          </cell>
          <cell r="AG453" t="str">
            <v>Tr1-2001</v>
          </cell>
          <cell r="AH453" t="str">
            <v>2001-Tr1</v>
          </cell>
          <cell r="AI453">
            <v>3</v>
          </cell>
          <cell r="AJ453" t="str">
            <v>03</v>
          </cell>
        </row>
        <row r="454">
          <cell r="AA454" t="str">
            <v>Aaa</v>
          </cell>
          <cell r="AB454">
            <v>36959</v>
          </cell>
          <cell r="AC454">
            <v>2001</v>
          </cell>
          <cell r="AD454" t="str">
            <v>St1</v>
          </cell>
          <cell r="AE454" t="str">
            <v>Qd1</v>
          </cell>
          <cell r="AF454" t="str">
            <v>Tr1</v>
          </cell>
          <cell r="AG454" t="str">
            <v>Tr1-2001</v>
          </cell>
          <cell r="AH454" t="str">
            <v>2001-Tr1</v>
          </cell>
          <cell r="AI454">
            <v>3</v>
          </cell>
          <cell r="AJ454" t="str">
            <v>03</v>
          </cell>
        </row>
        <row r="455">
          <cell r="AA455" t="str">
            <v>Aaa</v>
          </cell>
          <cell r="AB455">
            <v>36960</v>
          </cell>
          <cell r="AC455">
            <v>2001</v>
          </cell>
          <cell r="AD455" t="str">
            <v>St1</v>
          </cell>
          <cell r="AE455" t="str">
            <v>Qd1</v>
          </cell>
          <cell r="AF455" t="str">
            <v>Tr1</v>
          </cell>
          <cell r="AG455" t="str">
            <v>Tr1-2001</v>
          </cell>
          <cell r="AH455" t="str">
            <v>2001-Tr1</v>
          </cell>
          <cell r="AI455">
            <v>3</v>
          </cell>
          <cell r="AJ455" t="str">
            <v>03</v>
          </cell>
        </row>
        <row r="456">
          <cell r="AA456" t="str">
            <v>Aaa</v>
          </cell>
          <cell r="AB456">
            <v>36961</v>
          </cell>
          <cell r="AC456">
            <v>2001</v>
          </cell>
          <cell r="AD456" t="str">
            <v>St1</v>
          </cell>
          <cell r="AE456" t="str">
            <v>Qd1</v>
          </cell>
          <cell r="AF456" t="str">
            <v>Tr1</v>
          </cell>
          <cell r="AG456" t="str">
            <v>Tr1-2001</v>
          </cell>
          <cell r="AH456" t="str">
            <v>2001-Tr1</v>
          </cell>
          <cell r="AI456">
            <v>3</v>
          </cell>
          <cell r="AJ456" t="str">
            <v>03</v>
          </cell>
        </row>
        <row r="457">
          <cell r="AA457" t="str">
            <v>Aaa</v>
          </cell>
          <cell r="AB457">
            <v>36962</v>
          </cell>
          <cell r="AC457">
            <v>2001</v>
          </cell>
          <cell r="AD457" t="str">
            <v>St1</v>
          </cell>
          <cell r="AE457" t="str">
            <v>Qd1</v>
          </cell>
          <cell r="AF457" t="str">
            <v>Tr1</v>
          </cell>
          <cell r="AG457" t="str">
            <v>Tr1-2001</v>
          </cell>
          <cell r="AH457" t="str">
            <v>2001-Tr1</v>
          </cell>
          <cell r="AI457">
            <v>3</v>
          </cell>
          <cell r="AJ457" t="str">
            <v>03</v>
          </cell>
        </row>
        <row r="458">
          <cell r="AA458" t="str">
            <v>Aaa</v>
          </cell>
          <cell r="AB458">
            <v>36963</v>
          </cell>
          <cell r="AC458">
            <v>2001</v>
          </cell>
          <cell r="AD458" t="str">
            <v>St1</v>
          </cell>
          <cell r="AE458" t="str">
            <v>Qd1</v>
          </cell>
          <cell r="AF458" t="str">
            <v>Tr1</v>
          </cell>
          <cell r="AG458" t="str">
            <v>Tr1-2001</v>
          </cell>
          <cell r="AH458" t="str">
            <v>2001-Tr1</v>
          </cell>
          <cell r="AI458">
            <v>3</v>
          </cell>
          <cell r="AJ458" t="str">
            <v>03</v>
          </cell>
        </row>
        <row r="459">
          <cell r="AA459" t="str">
            <v>Aaa</v>
          </cell>
          <cell r="AB459">
            <v>36964</v>
          </cell>
          <cell r="AC459">
            <v>2001</v>
          </cell>
          <cell r="AD459" t="str">
            <v>St1</v>
          </cell>
          <cell r="AE459" t="str">
            <v>Qd1</v>
          </cell>
          <cell r="AF459" t="str">
            <v>Tr1</v>
          </cell>
          <cell r="AG459" t="str">
            <v>Tr1-2001</v>
          </cell>
          <cell r="AH459" t="str">
            <v>2001-Tr1</v>
          </cell>
          <cell r="AI459">
            <v>3</v>
          </cell>
          <cell r="AJ459" t="str">
            <v>03</v>
          </cell>
        </row>
        <row r="460">
          <cell r="AA460" t="str">
            <v>Aaa</v>
          </cell>
          <cell r="AB460">
            <v>36965</v>
          </cell>
          <cell r="AC460">
            <v>2001</v>
          </cell>
          <cell r="AD460" t="str">
            <v>St1</v>
          </cell>
          <cell r="AE460" t="str">
            <v>Qd1</v>
          </cell>
          <cell r="AF460" t="str">
            <v>Tr1</v>
          </cell>
          <cell r="AG460" t="str">
            <v>Tr1-2001</v>
          </cell>
          <cell r="AH460" t="str">
            <v>2001-Tr1</v>
          </cell>
          <cell r="AI460">
            <v>3</v>
          </cell>
          <cell r="AJ460" t="str">
            <v>03</v>
          </cell>
        </row>
        <row r="461">
          <cell r="AA461" t="str">
            <v>Aaa</v>
          </cell>
          <cell r="AB461">
            <v>36966</v>
          </cell>
          <cell r="AC461">
            <v>2001</v>
          </cell>
          <cell r="AD461" t="str">
            <v>St1</v>
          </cell>
          <cell r="AE461" t="str">
            <v>Qd1</v>
          </cell>
          <cell r="AF461" t="str">
            <v>Tr1</v>
          </cell>
          <cell r="AG461" t="str">
            <v>Tr1-2001</v>
          </cell>
          <cell r="AH461" t="str">
            <v>2001-Tr1</v>
          </cell>
          <cell r="AI461">
            <v>3</v>
          </cell>
          <cell r="AJ461" t="str">
            <v>03</v>
          </cell>
        </row>
        <row r="462">
          <cell r="AA462" t="str">
            <v>Aaa</v>
          </cell>
          <cell r="AB462">
            <v>36967</v>
          </cell>
          <cell r="AC462">
            <v>2001</v>
          </cell>
          <cell r="AD462" t="str">
            <v>St1</v>
          </cell>
          <cell r="AE462" t="str">
            <v>Qd1</v>
          </cell>
          <cell r="AF462" t="str">
            <v>Tr1</v>
          </cell>
          <cell r="AG462" t="str">
            <v>Tr1-2001</v>
          </cell>
          <cell r="AH462" t="str">
            <v>2001-Tr1</v>
          </cell>
          <cell r="AI462">
            <v>3</v>
          </cell>
          <cell r="AJ462" t="str">
            <v>03</v>
          </cell>
        </row>
        <row r="463">
          <cell r="AA463" t="str">
            <v>Aaa</v>
          </cell>
          <cell r="AB463">
            <v>36968</v>
          </cell>
          <cell r="AC463">
            <v>2001</v>
          </cell>
          <cell r="AD463" t="str">
            <v>St1</v>
          </cell>
          <cell r="AE463" t="str">
            <v>Qd1</v>
          </cell>
          <cell r="AF463" t="str">
            <v>Tr1</v>
          </cell>
          <cell r="AG463" t="str">
            <v>Tr1-2001</v>
          </cell>
          <cell r="AH463" t="str">
            <v>2001-Tr1</v>
          </cell>
          <cell r="AI463">
            <v>3</v>
          </cell>
          <cell r="AJ463" t="str">
            <v>03</v>
          </cell>
        </row>
        <row r="464">
          <cell r="AA464" t="str">
            <v>Aaa</v>
          </cell>
          <cell r="AB464">
            <v>36969</v>
          </cell>
          <cell r="AC464">
            <v>2001</v>
          </cell>
          <cell r="AD464" t="str">
            <v>St1</v>
          </cell>
          <cell r="AE464" t="str">
            <v>Qd1</v>
          </cell>
          <cell r="AF464" t="str">
            <v>Tr1</v>
          </cell>
          <cell r="AG464" t="str">
            <v>Tr1-2001</v>
          </cell>
          <cell r="AH464" t="str">
            <v>2001-Tr1</v>
          </cell>
          <cell r="AI464">
            <v>3</v>
          </cell>
          <cell r="AJ464" t="str">
            <v>03</v>
          </cell>
        </row>
        <row r="465">
          <cell r="AA465" t="str">
            <v>Aaa</v>
          </cell>
          <cell r="AB465">
            <v>36970</v>
          </cell>
          <cell r="AC465">
            <v>2001</v>
          </cell>
          <cell r="AD465" t="str">
            <v>St1</v>
          </cell>
          <cell r="AE465" t="str">
            <v>Qd1</v>
          </cell>
          <cell r="AF465" t="str">
            <v>Tr1</v>
          </cell>
          <cell r="AG465" t="str">
            <v>Tr1-2001</v>
          </cell>
          <cell r="AH465" t="str">
            <v>2001-Tr1</v>
          </cell>
          <cell r="AI465">
            <v>3</v>
          </cell>
          <cell r="AJ465" t="str">
            <v>03</v>
          </cell>
        </row>
        <row r="466">
          <cell r="AA466" t="str">
            <v>Aaa</v>
          </cell>
          <cell r="AB466">
            <v>36971</v>
          </cell>
          <cell r="AC466">
            <v>2001</v>
          </cell>
          <cell r="AD466" t="str">
            <v>St1</v>
          </cell>
          <cell r="AE466" t="str">
            <v>Qd1</v>
          </cell>
          <cell r="AF466" t="str">
            <v>Tr1</v>
          </cell>
          <cell r="AG466" t="str">
            <v>Tr1-2001</v>
          </cell>
          <cell r="AH466" t="str">
            <v>2001-Tr1</v>
          </cell>
          <cell r="AI466">
            <v>3</v>
          </cell>
          <cell r="AJ466" t="str">
            <v>03</v>
          </cell>
        </row>
        <row r="467">
          <cell r="AA467" t="str">
            <v>Aaa</v>
          </cell>
          <cell r="AB467">
            <v>36972</v>
          </cell>
          <cell r="AC467">
            <v>2001</v>
          </cell>
          <cell r="AD467" t="str">
            <v>St1</v>
          </cell>
          <cell r="AE467" t="str">
            <v>Qd1</v>
          </cell>
          <cell r="AF467" t="str">
            <v>Tr1</v>
          </cell>
          <cell r="AG467" t="str">
            <v>Tr1-2001</v>
          </cell>
          <cell r="AH467" t="str">
            <v>2001-Tr1</v>
          </cell>
          <cell r="AI467">
            <v>3</v>
          </cell>
          <cell r="AJ467" t="str">
            <v>03</v>
          </cell>
        </row>
        <row r="468">
          <cell r="AA468" t="str">
            <v>Aaa</v>
          </cell>
          <cell r="AB468">
            <v>36973</v>
          </cell>
          <cell r="AC468">
            <v>2001</v>
          </cell>
          <cell r="AD468" t="str">
            <v>St1</v>
          </cell>
          <cell r="AE468" t="str">
            <v>Qd1</v>
          </cell>
          <cell r="AF468" t="str">
            <v>Tr1</v>
          </cell>
          <cell r="AG468" t="str">
            <v>Tr1-2001</v>
          </cell>
          <cell r="AH468" t="str">
            <v>2001-Tr1</v>
          </cell>
          <cell r="AI468">
            <v>3</v>
          </cell>
          <cell r="AJ468" t="str">
            <v>03</v>
          </cell>
        </row>
        <row r="469">
          <cell r="AA469" t="str">
            <v>Aaa</v>
          </cell>
          <cell r="AB469">
            <v>36974</v>
          </cell>
          <cell r="AC469">
            <v>2001</v>
          </cell>
          <cell r="AD469" t="str">
            <v>St1</v>
          </cell>
          <cell r="AE469" t="str">
            <v>Qd1</v>
          </cell>
          <cell r="AF469" t="str">
            <v>Tr1</v>
          </cell>
          <cell r="AG469" t="str">
            <v>Tr1-2001</v>
          </cell>
          <cell r="AH469" t="str">
            <v>2001-Tr1</v>
          </cell>
          <cell r="AI469">
            <v>3</v>
          </cell>
          <cell r="AJ469" t="str">
            <v>03</v>
          </cell>
        </row>
        <row r="470">
          <cell r="AA470" t="str">
            <v>Aaa</v>
          </cell>
          <cell r="AB470">
            <v>36975</v>
          </cell>
          <cell r="AC470">
            <v>2001</v>
          </cell>
          <cell r="AD470" t="str">
            <v>St1</v>
          </cell>
          <cell r="AE470" t="str">
            <v>Qd1</v>
          </cell>
          <cell r="AF470" t="str">
            <v>Tr1</v>
          </cell>
          <cell r="AG470" t="str">
            <v>Tr1-2001</v>
          </cell>
          <cell r="AH470" t="str">
            <v>2001-Tr1</v>
          </cell>
          <cell r="AI470">
            <v>3</v>
          </cell>
          <cell r="AJ470" t="str">
            <v>03</v>
          </cell>
        </row>
        <row r="471">
          <cell r="AA471" t="str">
            <v>Aaa</v>
          </cell>
          <cell r="AB471">
            <v>36976</v>
          </cell>
          <cell r="AC471">
            <v>2001</v>
          </cell>
          <cell r="AD471" t="str">
            <v>St1</v>
          </cell>
          <cell r="AE471" t="str">
            <v>Qd1</v>
          </cell>
          <cell r="AF471" t="str">
            <v>Tr1</v>
          </cell>
          <cell r="AG471" t="str">
            <v>Tr1-2001</v>
          </cell>
          <cell r="AH471" t="str">
            <v>2001-Tr1</v>
          </cell>
          <cell r="AI471">
            <v>3</v>
          </cell>
          <cell r="AJ471" t="str">
            <v>03</v>
          </cell>
        </row>
        <row r="472">
          <cell r="AA472" t="str">
            <v>Aaa</v>
          </cell>
          <cell r="AB472">
            <v>36977</v>
          </cell>
          <cell r="AC472">
            <v>2001</v>
          </cell>
          <cell r="AD472" t="str">
            <v>St1</v>
          </cell>
          <cell r="AE472" t="str">
            <v>Qd1</v>
          </cell>
          <cell r="AF472" t="str">
            <v>Tr1</v>
          </cell>
          <cell r="AG472" t="str">
            <v>Tr1-2001</v>
          </cell>
          <cell r="AH472" t="str">
            <v>2001-Tr1</v>
          </cell>
          <cell r="AI472">
            <v>3</v>
          </cell>
          <cell r="AJ472" t="str">
            <v>03</v>
          </cell>
        </row>
        <row r="473">
          <cell r="AA473" t="str">
            <v>Aaa</v>
          </cell>
          <cell r="AB473">
            <v>36978</v>
          </cell>
          <cell r="AC473">
            <v>2001</v>
          </cell>
          <cell r="AD473" t="str">
            <v>St1</v>
          </cell>
          <cell r="AE473" t="str">
            <v>Qd1</v>
          </cell>
          <cell r="AF473" t="str">
            <v>Tr1</v>
          </cell>
          <cell r="AG473" t="str">
            <v>Tr1-2001</v>
          </cell>
          <cell r="AH473" t="str">
            <v>2001-Tr1</v>
          </cell>
          <cell r="AI473">
            <v>3</v>
          </cell>
          <cell r="AJ473" t="str">
            <v>03</v>
          </cell>
        </row>
        <row r="474">
          <cell r="AA474" t="str">
            <v>Aaa</v>
          </cell>
          <cell r="AB474">
            <v>36979</v>
          </cell>
          <cell r="AC474">
            <v>2001</v>
          </cell>
          <cell r="AD474" t="str">
            <v>St1</v>
          </cell>
          <cell r="AE474" t="str">
            <v>Qd1</v>
          </cell>
          <cell r="AF474" t="str">
            <v>Tr1</v>
          </cell>
          <cell r="AG474" t="str">
            <v>Tr1-2001</v>
          </cell>
          <cell r="AH474" t="str">
            <v>2001-Tr1</v>
          </cell>
          <cell r="AI474">
            <v>3</v>
          </cell>
          <cell r="AJ474" t="str">
            <v>03</v>
          </cell>
        </row>
        <row r="475">
          <cell r="AA475" t="str">
            <v>Aaa</v>
          </cell>
          <cell r="AB475">
            <v>36980</v>
          </cell>
          <cell r="AC475">
            <v>2001</v>
          </cell>
          <cell r="AD475" t="str">
            <v>St1</v>
          </cell>
          <cell r="AE475" t="str">
            <v>Qd1</v>
          </cell>
          <cell r="AF475" t="str">
            <v>Tr1</v>
          </cell>
          <cell r="AG475" t="str">
            <v>Tr1-2001</v>
          </cell>
          <cell r="AH475" t="str">
            <v>2001-Tr1</v>
          </cell>
          <cell r="AI475">
            <v>3</v>
          </cell>
          <cell r="AJ475" t="str">
            <v>03</v>
          </cell>
        </row>
        <row r="476">
          <cell r="AA476" t="str">
            <v>Aaa</v>
          </cell>
          <cell r="AB476">
            <v>36981</v>
          </cell>
          <cell r="AC476">
            <v>2001</v>
          </cell>
          <cell r="AD476" t="str">
            <v>St1</v>
          </cell>
          <cell r="AE476" t="str">
            <v>Qd1</v>
          </cell>
          <cell r="AF476" t="str">
            <v>Tr1</v>
          </cell>
          <cell r="AG476" t="str">
            <v>Tr1-2001</v>
          </cell>
          <cell r="AH476" t="str">
            <v>2001-Tr1</v>
          </cell>
          <cell r="AI476">
            <v>3</v>
          </cell>
          <cell r="AJ476" t="str">
            <v>03</v>
          </cell>
        </row>
        <row r="477">
          <cell r="AA477" t="str">
            <v>Aaa</v>
          </cell>
          <cell r="AB477">
            <v>36982</v>
          </cell>
          <cell r="AC477">
            <v>2001</v>
          </cell>
          <cell r="AD477" t="str">
            <v>St1</v>
          </cell>
          <cell r="AE477" t="str">
            <v>Qd1</v>
          </cell>
          <cell r="AF477" t="str">
            <v>Tr2</v>
          </cell>
          <cell r="AG477" t="str">
            <v>Tr2-2001</v>
          </cell>
          <cell r="AH477" t="str">
            <v>2001-Tr2</v>
          </cell>
          <cell r="AI477">
            <v>4</v>
          </cell>
          <cell r="AJ477" t="str">
            <v>04</v>
          </cell>
        </row>
        <row r="478">
          <cell r="AA478" t="str">
            <v>Aaa</v>
          </cell>
          <cell r="AB478">
            <v>36983</v>
          </cell>
          <cell r="AC478">
            <v>2001</v>
          </cell>
          <cell r="AD478" t="str">
            <v>St1</v>
          </cell>
          <cell r="AE478" t="str">
            <v>Qd1</v>
          </cell>
          <cell r="AF478" t="str">
            <v>Tr2</v>
          </cell>
          <cell r="AG478" t="str">
            <v>Tr2-2001</v>
          </cell>
          <cell r="AH478" t="str">
            <v>2001-Tr2</v>
          </cell>
          <cell r="AI478">
            <v>4</v>
          </cell>
          <cell r="AJ478" t="str">
            <v>04</v>
          </cell>
        </row>
        <row r="479">
          <cell r="AA479" t="str">
            <v>Aaa</v>
          </cell>
          <cell r="AB479">
            <v>36984</v>
          </cell>
          <cell r="AC479">
            <v>2001</v>
          </cell>
          <cell r="AD479" t="str">
            <v>St1</v>
          </cell>
          <cell r="AE479" t="str">
            <v>Qd1</v>
          </cell>
          <cell r="AF479" t="str">
            <v>Tr2</v>
          </cell>
          <cell r="AG479" t="str">
            <v>Tr2-2001</v>
          </cell>
          <cell r="AH479" t="str">
            <v>2001-Tr2</v>
          </cell>
          <cell r="AI479">
            <v>4</v>
          </cell>
          <cell r="AJ479" t="str">
            <v>04</v>
          </cell>
        </row>
        <row r="480">
          <cell r="AA480" t="str">
            <v>Aaa</v>
          </cell>
          <cell r="AB480">
            <v>36985</v>
          </cell>
          <cell r="AC480">
            <v>2001</v>
          </cell>
          <cell r="AD480" t="str">
            <v>St1</v>
          </cell>
          <cell r="AE480" t="str">
            <v>Qd1</v>
          </cell>
          <cell r="AF480" t="str">
            <v>Tr2</v>
          </cell>
          <cell r="AG480" t="str">
            <v>Tr2-2001</v>
          </cell>
          <cell r="AH480" t="str">
            <v>2001-Tr2</v>
          </cell>
          <cell r="AI480">
            <v>4</v>
          </cell>
          <cell r="AJ480" t="str">
            <v>04</v>
          </cell>
        </row>
        <row r="481">
          <cell r="AA481" t="str">
            <v>Aaa</v>
          </cell>
          <cell r="AB481">
            <v>36986</v>
          </cell>
          <cell r="AC481">
            <v>2001</v>
          </cell>
          <cell r="AD481" t="str">
            <v>St1</v>
          </cell>
          <cell r="AE481" t="str">
            <v>Qd1</v>
          </cell>
          <cell r="AF481" t="str">
            <v>Tr2</v>
          </cell>
          <cell r="AG481" t="str">
            <v>Tr2-2001</v>
          </cell>
          <cell r="AH481" t="str">
            <v>2001-Tr2</v>
          </cell>
          <cell r="AI481">
            <v>4</v>
          </cell>
          <cell r="AJ481" t="str">
            <v>04</v>
          </cell>
        </row>
        <row r="482">
          <cell r="AA482" t="str">
            <v>Aaa</v>
          </cell>
          <cell r="AB482">
            <v>36987</v>
          </cell>
          <cell r="AC482">
            <v>2001</v>
          </cell>
          <cell r="AD482" t="str">
            <v>St1</v>
          </cell>
          <cell r="AE482" t="str">
            <v>Qd1</v>
          </cell>
          <cell r="AF482" t="str">
            <v>Tr2</v>
          </cell>
          <cell r="AG482" t="str">
            <v>Tr2-2001</v>
          </cell>
          <cell r="AH482" t="str">
            <v>2001-Tr2</v>
          </cell>
          <cell r="AI482">
            <v>4</v>
          </cell>
          <cell r="AJ482" t="str">
            <v>04</v>
          </cell>
        </row>
        <row r="483">
          <cell r="AA483" t="str">
            <v>Aaa</v>
          </cell>
          <cell r="AB483">
            <v>36988</v>
          </cell>
          <cell r="AC483">
            <v>2001</v>
          </cell>
          <cell r="AD483" t="str">
            <v>St1</v>
          </cell>
          <cell r="AE483" t="str">
            <v>Qd1</v>
          </cell>
          <cell r="AF483" t="str">
            <v>Tr2</v>
          </cell>
          <cell r="AG483" t="str">
            <v>Tr2-2001</v>
          </cell>
          <cell r="AH483" t="str">
            <v>2001-Tr2</v>
          </cell>
          <cell r="AI483">
            <v>4</v>
          </cell>
          <cell r="AJ483" t="str">
            <v>04</v>
          </cell>
        </row>
        <row r="484">
          <cell r="AA484" t="str">
            <v>Aaa</v>
          </cell>
          <cell r="AB484">
            <v>36989</v>
          </cell>
          <cell r="AC484">
            <v>2001</v>
          </cell>
          <cell r="AD484" t="str">
            <v>St1</v>
          </cell>
          <cell r="AE484" t="str">
            <v>Qd1</v>
          </cell>
          <cell r="AF484" t="str">
            <v>Tr2</v>
          </cell>
          <cell r="AG484" t="str">
            <v>Tr2-2001</v>
          </cell>
          <cell r="AH484" t="str">
            <v>2001-Tr2</v>
          </cell>
          <cell r="AI484">
            <v>4</v>
          </cell>
          <cell r="AJ484" t="str">
            <v>04</v>
          </cell>
        </row>
        <row r="485">
          <cell r="AA485" t="str">
            <v>Aaa</v>
          </cell>
          <cell r="AB485">
            <v>36990</v>
          </cell>
          <cell r="AC485">
            <v>2001</v>
          </cell>
          <cell r="AD485" t="str">
            <v>St1</v>
          </cell>
          <cell r="AE485" t="str">
            <v>Qd1</v>
          </cell>
          <cell r="AF485" t="str">
            <v>Tr2</v>
          </cell>
          <cell r="AG485" t="str">
            <v>Tr2-2001</v>
          </cell>
          <cell r="AH485" t="str">
            <v>2001-Tr2</v>
          </cell>
          <cell r="AI485">
            <v>4</v>
          </cell>
          <cell r="AJ485" t="str">
            <v>04</v>
          </cell>
        </row>
        <row r="486">
          <cell r="AA486" t="str">
            <v>Aaa</v>
          </cell>
          <cell r="AB486">
            <v>36991</v>
          </cell>
          <cell r="AC486">
            <v>2001</v>
          </cell>
          <cell r="AD486" t="str">
            <v>St1</v>
          </cell>
          <cell r="AE486" t="str">
            <v>Qd1</v>
          </cell>
          <cell r="AF486" t="str">
            <v>Tr2</v>
          </cell>
          <cell r="AG486" t="str">
            <v>Tr2-2001</v>
          </cell>
          <cell r="AH486" t="str">
            <v>2001-Tr2</v>
          </cell>
          <cell r="AI486">
            <v>4</v>
          </cell>
          <cell r="AJ486" t="str">
            <v>04</v>
          </cell>
        </row>
        <row r="487">
          <cell r="AA487" t="str">
            <v>Aaa</v>
          </cell>
          <cell r="AB487">
            <v>36992</v>
          </cell>
          <cell r="AC487">
            <v>2001</v>
          </cell>
          <cell r="AD487" t="str">
            <v>St1</v>
          </cell>
          <cell r="AE487" t="str">
            <v>Qd1</v>
          </cell>
          <cell r="AF487" t="str">
            <v>Tr2</v>
          </cell>
          <cell r="AG487" t="str">
            <v>Tr2-2001</v>
          </cell>
          <cell r="AH487" t="str">
            <v>2001-Tr2</v>
          </cell>
          <cell r="AI487">
            <v>4</v>
          </cell>
          <cell r="AJ487" t="str">
            <v>04</v>
          </cell>
        </row>
        <row r="488">
          <cell r="AA488" t="str">
            <v>Aaa</v>
          </cell>
          <cell r="AB488">
            <v>36993</v>
          </cell>
          <cell r="AC488">
            <v>2001</v>
          </cell>
          <cell r="AD488" t="str">
            <v>St1</v>
          </cell>
          <cell r="AE488" t="str">
            <v>Qd1</v>
          </cell>
          <cell r="AF488" t="str">
            <v>Tr2</v>
          </cell>
          <cell r="AG488" t="str">
            <v>Tr2-2001</v>
          </cell>
          <cell r="AH488" t="str">
            <v>2001-Tr2</v>
          </cell>
          <cell r="AI488">
            <v>4</v>
          </cell>
          <cell r="AJ488" t="str">
            <v>04</v>
          </cell>
        </row>
        <row r="489">
          <cell r="AA489" t="str">
            <v>Aaa</v>
          </cell>
          <cell r="AB489">
            <v>36994</v>
          </cell>
          <cell r="AC489">
            <v>2001</v>
          </cell>
          <cell r="AD489" t="str">
            <v>St1</v>
          </cell>
          <cell r="AE489" t="str">
            <v>Qd1</v>
          </cell>
          <cell r="AF489" t="str">
            <v>Tr2</v>
          </cell>
          <cell r="AG489" t="str">
            <v>Tr2-2001</v>
          </cell>
          <cell r="AH489" t="str">
            <v>2001-Tr2</v>
          </cell>
          <cell r="AI489">
            <v>4</v>
          </cell>
          <cell r="AJ489" t="str">
            <v>04</v>
          </cell>
        </row>
        <row r="490">
          <cell r="AA490" t="str">
            <v>Aaa</v>
          </cell>
          <cell r="AB490">
            <v>36995</v>
          </cell>
          <cell r="AC490">
            <v>2001</v>
          </cell>
          <cell r="AD490" t="str">
            <v>St1</v>
          </cell>
          <cell r="AE490" t="str">
            <v>Qd1</v>
          </cell>
          <cell r="AF490" t="str">
            <v>Tr2</v>
          </cell>
          <cell r="AG490" t="str">
            <v>Tr2-2001</v>
          </cell>
          <cell r="AH490" t="str">
            <v>2001-Tr2</v>
          </cell>
          <cell r="AI490">
            <v>4</v>
          </cell>
          <cell r="AJ490" t="str">
            <v>04</v>
          </cell>
        </row>
        <row r="491">
          <cell r="AA491" t="str">
            <v>Aaa</v>
          </cell>
          <cell r="AB491">
            <v>36996</v>
          </cell>
          <cell r="AC491">
            <v>2001</v>
          </cell>
          <cell r="AD491" t="str">
            <v>St1</v>
          </cell>
          <cell r="AE491" t="str">
            <v>Qd1</v>
          </cell>
          <cell r="AF491" t="str">
            <v>Tr2</v>
          </cell>
          <cell r="AG491" t="str">
            <v>Tr2-2001</v>
          </cell>
          <cell r="AH491" t="str">
            <v>2001-Tr2</v>
          </cell>
          <cell r="AI491">
            <v>4</v>
          </cell>
          <cell r="AJ491" t="str">
            <v>04</v>
          </cell>
        </row>
        <row r="492">
          <cell r="AA492" t="str">
            <v>Aaa</v>
          </cell>
          <cell r="AB492">
            <v>36997</v>
          </cell>
          <cell r="AC492">
            <v>2001</v>
          </cell>
          <cell r="AD492" t="str">
            <v>St1</v>
          </cell>
          <cell r="AE492" t="str">
            <v>Qd1</v>
          </cell>
          <cell r="AF492" t="str">
            <v>Tr2</v>
          </cell>
          <cell r="AG492" t="str">
            <v>Tr2-2001</v>
          </cell>
          <cell r="AH492" t="str">
            <v>2001-Tr2</v>
          </cell>
          <cell r="AI492">
            <v>4</v>
          </cell>
          <cell r="AJ492" t="str">
            <v>04</v>
          </cell>
        </row>
        <row r="493">
          <cell r="AA493" t="str">
            <v>Aaa</v>
          </cell>
          <cell r="AB493">
            <v>36998</v>
          </cell>
          <cell r="AC493">
            <v>2001</v>
          </cell>
          <cell r="AD493" t="str">
            <v>St1</v>
          </cell>
          <cell r="AE493" t="str">
            <v>Qd1</v>
          </cell>
          <cell r="AF493" t="str">
            <v>Tr2</v>
          </cell>
          <cell r="AG493" t="str">
            <v>Tr2-2001</v>
          </cell>
          <cell r="AH493" t="str">
            <v>2001-Tr2</v>
          </cell>
          <cell r="AI493">
            <v>4</v>
          </cell>
          <cell r="AJ493" t="str">
            <v>04</v>
          </cell>
        </row>
        <row r="494">
          <cell r="AA494" t="str">
            <v>Aaa</v>
          </cell>
          <cell r="AB494">
            <v>36999</v>
          </cell>
          <cell r="AC494">
            <v>2001</v>
          </cell>
          <cell r="AD494" t="str">
            <v>St1</v>
          </cell>
          <cell r="AE494" t="str">
            <v>Qd1</v>
          </cell>
          <cell r="AF494" t="str">
            <v>Tr2</v>
          </cell>
          <cell r="AG494" t="str">
            <v>Tr2-2001</v>
          </cell>
          <cell r="AH494" t="str">
            <v>2001-Tr2</v>
          </cell>
          <cell r="AI494">
            <v>4</v>
          </cell>
          <cell r="AJ494" t="str">
            <v>04</v>
          </cell>
        </row>
        <row r="495">
          <cell r="AA495" t="str">
            <v>Aaa</v>
          </cell>
          <cell r="AB495">
            <v>37000</v>
          </cell>
          <cell r="AC495">
            <v>2001</v>
          </cell>
          <cell r="AD495" t="str">
            <v>St1</v>
          </cell>
          <cell r="AE495" t="str">
            <v>Qd1</v>
          </cell>
          <cell r="AF495" t="str">
            <v>Tr2</v>
          </cell>
          <cell r="AG495" t="str">
            <v>Tr2-2001</v>
          </cell>
          <cell r="AH495" t="str">
            <v>2001-Tr2</v>
          </cell>
          <cell r="AI495">
            <v>4</v>
          </cell>
          <cell r="AJ495" t="str">
            <v>04</v>
          </cell>
        </row>
        <row r="496">
          <cell r="AA496" t="str">
            <v>Aaa</v>
          </cell>
          <cell r="AB496">
            <v>37001</v>
          </cell>
          <cell r="AC496">
            <v>2001</v>
          </cell>
          <cell r="AD496" t="str">
            <v>St1</v>
          </cell>
          <cell r="AE496" t="str">
            <v>Qd1</v>
          </cell>
          <cell r="AF496" t="str">
            <v>Tr2</v>
          </cell>
          <cell r="AG496" t="str">
            <v>Tr2-2001</v>
          </cell>
          <cell r="AH496" t="str">
            <v>2001-Tr2</v>
          </cell>
          <cell r="AI496">
            <v>4</v>
          </cell>
          <cell r="AJ496" t="str">
            <v>04</v>
          </cell>
        </row>
        <row r="497">
          <cell r="AA497" t="str">
            <v>Aaa</v>
          </cell>
          <cell r="AB497">
            <v>37002</v>
          </cell>
          <cell r="AC497">
            <v>2001</v>
          </cell>
          <cell r="AD497" t="str">
            <v>St1</v>
          </cell>
          <cell r="AE497" t="str">
            <v>Qd1</v>
          </cell>
          <cell r="AF497" t="str">
            <v>Tr2</v>
          </cell>
          <cell r="AG497" t="str">
            <v>Tr2-2001</v>
          </cell>
          <cell r="AH497" t="str">
            <v>2001-Tr2</v>
          </cell>
          <cell r="AI497">
            <v>4</v>
          </cell>
          <cell r="AJ497" t="str">
            <v>04</v>
          </cell>
        </row>
        <row r="498">
          <cell r="AA498" t="str">
            <v>Aaa</v>
          </cell>
          <cell r="AB498">
            <v>37003</v>
          </cell>
          <cell r="AC498">
            <v>2001</v>
          </cell>
          <cell r="AD498" t="str">
            <v>St1</v>
          </cell>
          <cell r="AE498" t="str">
            <v>Qd1</v>
          </cell>
          <cell r="AF498" t="str">
            <v>Tr2</v>
          </cell>
          <cell r="AG498" t="str">
            <v>Tr2-2001</v>
          </cell>
          <cell r="AH498" t="str">
            <v>2001-Tr2</v>
          </cell>
          <cell r="AI498">
            <v>4</v>
          </cell>
          <cell r="AJ498" t="str">
            <v>04</v>
          </cell>
        </row>
        <row r="499">
          <cell r="AA499" t="str">
            <v>Aaa</v>
          </cell>
          <cell r="AB499">
            <v>37004</v>
          </cell>
          <cell r="AC499">
            <v>2001</v>
          </cell>
          <cell r="AD499" t="str">
            <v>St1</v>
          </cell>
          <cell r="AE499" t="str">
            <v>Qd1</v>
          </cell>
          <cell r="AF499" t="str">
            <v>Tr2</v>
          </cell>
          <cell r="AG499" t="str">
            <v>Tr2-2001</v>
          </cell>
          <cell r="AH499" t="str">
            <v>2001-Tr2</v>
          </cell>
          <cell r="AI499">
            <v>4</v>
          </cell>
          <cell r="AJ499" t="str">
            <v>04</v>
          </cell>
        </row>
        <row r="500">
          <cell r="AA500" t="str">
            <v>Aaa</v>
          </cell>
          <cell r="AB500">
            <v>37005</v>
          </cell>
          <cell r="AC500">
            <v>2001</v>
          </cell>
          <cell r="AD500" t="str">
            <v>St1</v>
          </cell>
          <cell r="AE500" t="str">
            <v>Qd1</v>
          </cell>
          <cell r="AF500" t="str">
            <v>Tr2</v>
          </cell>
          <cell r="AG500" t="str">
            <v>Tr2-2001</v>
          </cell>
          <cell r="AH500" t="str">
            <v>2001-Tr2</v>
          </cell>
          <cell r="AI500">
            <v>4</v>
          </cell>
          <cell r="AJ500" t="str">
            <v>04</v>
          </cell>
        </row>
        <row r="501">
          <cell r="AA501" t="str">
            <v>Aaa</v>
          </cell>
          <cell r="AB501">
            <v>37006</v>
          </cell>
          <cell r="AC501">
            <v>2001</v>
          </cell>
          <cell r="AD501" t="str">
            <v>St1</v>
          </cell>
          <cell r="AE501" t="str">
            <v>Qd1</v>
          </cell>
          <cell r="AF501" t="str">
            <v>Tr2</v>
          </cell>
          <cell r="AG501" t="str">
            <v>Tr2-2001</v>
          </cell>
          <cell r="AH501" t="str">
            <v>2001-Tr2</v>
          </cell>
          <cell r="AI501">
            <v>4</v>
          </cell>
          <cell r="AJ501" t="str">
            <v>04</v>
          </cell>
        </row>
        <row r="502">
          <cell r="AA502" t="str">
            <v>Aaa</v>
          </cell>
          <cell r="AB502">
            <v>37007</v>
          </cell>
          <cell r="AC502">
            <v>2001</v>
          </cell>
          <cell r="AD502" t="str">
            <v>St1</v>
          </cell>
          <cell r="AE502" t="str">
            <v>Qd1</v>
          </cell>
          <cell r="AF502" t="str">
            <v>Tr2</v>
          </cell>
          <cell r="AG502" t="str">
            <v>Tr2-2001</v>
          </cell>
          <cell r="AH502" t="str">
            <v>2001-Tr2</v>
          </cell>
          <cell r="AI502">
            <v>4</v>
          </cell>
          <cell r="AJ502" t="str">
            <v>04</v>
          </cell>
        </row>
        <row r="503">
          <cell r="AA503" t="str">
            <v>Aaa</v>
          </cell>
          <cell r="AB503">
            <v>37008</v>
          </cell>
          <cell r="AC503">
            <v>2001</v>
          </cell>
          <cell r="AD503" t="str">
            <v>St1</v>
          </cell>
          <cell r="AE503" t="str">
            <v>Qd1</v>
          </cell>
          <cell r="AF503" t="str">
            <v>Tr2</v>
          </cell>
          <cell r="AG503" t="str">
            <v>Tr2-2001</v>
          </cell>
          <cell r="AH503" t="str">
            <v>2001-Tr2</v>
          </cell>
          <cell r="AI503">
            <v>4</v>
          </cell>
          <cell r="AJ503" t="str">
            <v>04</v>
          </cell>
        </row>
        <row r="504">
          <cell r="AA504" t="str">
            <v>Aaa</v>
          </cell>
          <cell r="AB504">
            <v>37009</v>
          </cell>
          <cell r="AC504">
            <v>2001</v>
          </cell>
          <cell r="AD504" t="str">
            <v>St1</v>
          </cell>
          <cell r="AE504" t="str">
            <v>Qd1</v>
          </cell>
          <cell r="AF504" t="str">
            <v>Tr2</v>
          </cell>
          <cell r="AG504" t="str">
            <v>Tr2-2001</v>
          </cell>
          <cell r="AH504" t="str">
            <v>2001-Tr2</v>
          </cell>
          <cell r="AI504">
            <v>4</v>
          </cell>
          <cell r="AJ504" t="str">
            <v>04</v>
          </cell>
        </row>
        <row r="505">
          <cell r="AA505" t="str">
            <v>Aaa</v>
          </cell>
          <cell r="AB505">
            <v>37010</v>
          </cell>
          <cell r="AC505">
            <v>2001</v>
          </cell>
          <cell r="AD505" t="str">
            <v>St1</v>
          </cell>
          <cell r="AE505" t="str">
            <v>Qd1</v>
          </cell>
          <cell r="AF505" t="str">
            <v>Tr2</v>
          </cell>
          <cell r="AG505" t="str">
            <v>Tr2-2001</v>
          </cell>
          <cell r="AH505" t="str">
            <v>2001-Tr2</v>
          </cell>
          <cell r="AI505">
            <v>4</v>
          </cell>
          <cell r="AJ505" t="str">
            <v>04</v>
          </cell>
        </row>
        <row r="506">
          <cell r="AA506" t="str">
            <v>Aaa</v>
          </cell>
          <cell r="AB506">
            <v>37011</v>
          </cell>
          <cell r="AC506">
            <v>2001</v>
          </cell>
          <cell r="AD506" t="str">
            <v>St1</v>
          </cell>
          <cell r="AE506" t="str">
            <v>Qd1</v>
          </cell>
          <cell r="AF506" t="str">
            <v>Tr2</v>
          </cell>
          <cell r="AG506" t="str">
            <v>Tr2-2001</v>
          </cell>
          <cell r="AH506" t="str">
            <v>2001-Tr2</v>
          </cell>
          <cell r="AI506">
            <v>4</v>
          </cell>
          <cell r="AJ506" t="str">
            <v>04</v>
          </cell>
        </row>
        <row r="507">
          <cell r="AA507" t="str">
            <v>Aaa</v>
          </cell>
          <cell r="AB507">
            <v>37012</v>
          </cell>
          <cell r="AC507">
            <v>2001</v>
          </cell>
          <cell r="AD507" t="str">
            <v>St1</v>
          </cell>
          <cell r="AE507" t="str">
            <v>Qd2</v>
          </cell>
          <cell r="AF507" t="str">
            <v>Tr2</v>
          </cell>
          <cell r="AG507" t="str">
            <v>Tr2-2001</v>
          </cell>
          <cell r="AH507" t="str">
            <v>2001-Tr2</v>
          </cell>
          <cell r="AI507">
            <v>5</v>
          </cell>
          <cell r="AJ507" t="str">
            <v>05</v>
          </cell>
        </row>
        <row r="508">
          <cell r="AA508" t="str">
            <v>Aaa</v>
          </cell>
          <cell r="AB508">
            <v>37013</v>
          </cell>
          <cell r="AC508">
            <v>2001</v>
          </cell>
          <cell r="AD508" t="str">
            <v>St1</v>
          </cell>
          <cell r="AE508" t="str">
            <v>Qd2</v>
          </cell>
          <cell r="AF508" t="str">
            <v>Tr2</v>
          </cell>
          <cell r="AG508" t="str">
            <v>Tr2-2001</v>
          </cell>
          <cell r="AH508" t="str">
            <v>2001-Tr2</v>
          </cell>
          <cell r="AI508">
            <v>5</v>
          </cell>
          <cell r="AJ508" t="str">
            <v>05</v>
          </cell>
        </row>
        <row r="509">
          <cell r="AA509" t="str">
            <v>Aaa</v>
          </cell>
          <cell r="AB509">
            <v>37014</v>
          </cell>
          <cell r="AC509">
            <v>2001</v>
          </cell>
          <cell r="AD509" t="str">
            <v>St1</v>
          </cell>
          <cell r="AE509" t="str">
            <v>Qd2</v>
          </cell>
          <cell r="AF509" t="str">
            <v>Tr2</v>
          </cell>
          <cell r="AG509" t="str">
            <v>Tr2-2001</v>
          </cell>
          <cell r="AH509" t="str">
            <v>2001-Tr2</v>
          </cell>
          <cell r="AI509">
            <v>5</v>
          </cell>
          <cell r="AJ509" t="str">
            <v>05</v>
          </cell>
        </row>
        <row r="510">
          <cell r="AA510" t="str">
            <v>Aaa</v>
          </cell>
          <cell r="AB510">
            <v>37015</v>
          </cell>
          <cell r="AC510">
            <v>2001</v>
          </cell>
          <cell r="AD510" t="str">
            <v>St1</v>
          </cell>
          <cell r="AE510" t="str">
            <v>Qd2</v>
          </cell>
          <cell r="AF510" t="str">
            <v>Tr2</v>
          </cell>
          <cell r="AG510" t="str">
            <v>Tr2-2001</v>
          </cell>
          <cell r="AH510" t="str">
            <v>2001-Tr2</v>
          </cell>
          <cell r="AI510">
            <v>5</v>
          </cell>
          <cell r="AJ510" t="str">
            <v>05</v>
          </cell>
        </row>
        <row r="511">
          <cell r="AA511" t="str">
            <v>Aaa</v>
          </cell>
          <cell r="AB511">
            <v>37016</v>
          </cell>
          <cell r="AC511">
            <v>2001</v>
          </cell>
          <cell r="AD511" t="str">
            <v>St1</v>
          </cell>
          <cell r="AE511" t="str">
            <v>Qd2</v>
          </cell>
          <cell r="AF511" t="str">
            <v>Tr2</v>
          </cell>
          <cell r="AG511" t="str">
            <v>Tr2-2001</v>
          </cell>
          <cell r="AH511" t="str">
            <v>2001-Tr2</v>
          </cell>
          <cell r="AI511">
            <v>5</v>
          </cell>
          <cell r="AJ511" t="str">
            <v>05</v>
          </cell>
        </row>
        <row r="512">
          <cell r="AA512" t="str">
            <v>Aaa</v>
          </cell>
          <cell r="AB512">
            <v>37017</v>
          </cell>
          <cell r="AC512">
            <v>2001</v>
          </cell>
          <cell r="AD512" t="str">
            <v>St1</v>
          </cell>
          <cell r="AE512" t="str">
            <v>Qd2</v>
          </cell>
          <cell r="AF512" t="str">
            <v>Tr2</v>
          </cell>
          <cell r="AG512" t="str">
            <v>Tr2-2001</v>
          </cell>
          <cell r="AH512" t="str">
            <v>2001-Tr2</v>
          </cell>
          <cell r="AI512">
            <v>5</v>
          </cell>
          <cell r="AJ512" t="str">
            <v>05</v>
          </cell>
        </row>
        <row r="513">
          <cell r="AA513" t="str">
            <v>Aaa</v>
          </cell>
          <cell r="AB513">
            <v>37018</v>
          </cell>
          <cell r="AC513">
            <v>2001</v>
          </cell>
          <cell r="AD513" t="str">
            <v>St1</v>
          </cell>
          <cell r="AE513" t="str">
            <v>Qd2</v>
          </cell>
          <cell r="AF513" t="str">
            <v>Tr2</v>
          </cell>
          <cell r="AG513" t="str">
            <v>Tr2-2001</v>
          </cell>
          <cell r="AH513" t="str">
            <v>2001-Tr2</v>
          </cell>
          <cell r="AI513">
            <v>5</v>
          </cell>
          <cell r="AJ513" t="str">
            <v>05</v>
          </cell>
        </row>
        <row r="514">
          <cell r="AA514" t="str">
            <v>Aaa</v>
          </cell>
          <cell r="AB514">
            <v>37019</v>
          </cell>
          <cell r="AC514">
            <v>2001</v>
          </cell>
          <cell r="AD514" t="str">
            <v>St1</v>
          </cell>
          <cell r="AE514" t="str">
            <v>Qd2</v>
          </cell>
          <cell r="AF514" t="str">
            <v>Tr2</v>
          </cell>
          <cell r="AG514" t="str">
            <v>Tr2-2001</v>
          </cell>
          <cell r="AH514" t="str">
            <v>2001-Tr2</v>
          </cell>
          <cell r="AI514">
            <v>5</v>
          </cell>
          <cell r="AJ514" t="str">
            <v>05</v>
          </cell>
        </row>
        <row r="515">
          <cell r="AA515" t="str">
            <v>Aaa</v>
          </cell>
          <cell r="AB515">
            <v>37020</v>
          </cell>
          <cell r="AC515">
            <v>2001</v>
          </cell>
          <cell r="AD515" t="str">
            <v>St1</v>
          </cell>
          <cell r="AE515" t="str">
            <v>Qd2</v>
          </cell>
          <cell r="AF515" t="str">
            <v>Tr2</v>
          </cell>
          <cell r="AG515" t="str">
            <v>Tr2-2001</v>
          </cell>
          <cell r="AH515" t="str">
            <v>2001-Tr2</v>
          </cell>
          <cell r="AI515">
            <v>5</v>
          </cell>
          <cell r="AJ515" t="str">
            <v>05</v>
          </cell>
        </row>
        <row r="516">
          <cell r="AA516" t="str">
            <v>Aaa</v>
          </cell>
          <cell r="AB516">
            <v>37021</v>
          </cell>
          <cell r="AC516">
            <v>2001</v>
          </cell>
          <cell r="AD516" t="str">
            <v>St1</v>
          </cell>
          <cell r="AE516" t="str">
            <v>Qd2</v>
          </cell>
          <cell r="AF516" t="str">
            <v>Tr2</v>
          </cell>
          <cell r="AG516" t="str">
            <v>Tr2-2001</v>
          </cell>
          <cell r="AH516" t="str">
            <v>2001-Tr2</v>
          </cell>
          <cell r="AI516">
            <v>5</v>
          </cell>
          <cell r="AJ516" t="str">
            <v>05</v>
          </cell>
        </row>
        <row r="517">
          <cell r="AA517" t="str">
            <v>Aaa</v>
          </cell>
          <cell r="AB517">
            <v>37022</v>
          </cell>
          <cell r="AC517">
            <v>2001</v>
          </cell>
          <cell r="AD517" t="str">
            <v>St1</v>
          </cell>
          <cell r="AE517" t="str">
            <v>Qd2</v>
          </cell>
          <cell r="AF517" t="str">
            <v>Tr2</v>
          </cell>
          <cell r="AG517" t="str">
            <v>Tr2-2001</v>
          </cell>
          <cell r="AH517" t="str">
            <v>2001-Tr2</v>
          </cell>
          <cell r="AI517">
            <v>5</v>
          </cell>
          <cell r="AJ517" t="str">
            <v>05</v>
          </cell>
        </row>
        <row r="518">
          <cell r="AA518" t="str">
            <v>Aaa</v>
          </cell>
          <cell r="AB518">
            <v>37023</v>
          </cell>
          <cell r="AC518">
            <v>2001</v>
          </cell>
          <cell r="AD518" t="str">
            <v>St1</v>
          </cell>
          <cell r="AE518" t="str">
            <v>Qd2</v>
          </cell>
          <cell r="AF518" t="str">
            <v>Tr2</v>
          </cell>
          <cell r="AG518" t="str">
            <v>Tr2-2001</v>
          </cell>
          <cell r="AH518" t="str">
            <v>2001-Tr2</v>
          </cell>
          <cell r="AI518">
            <v>5</v>
          </cell>
          <cell r="AJ518" t="str">
            <v>05</v>
          </cell>
        </row>
        <row r="519">
          <cell r="AA519" t="str">
            <v>Aaa</v>
          </cell>
          <cell r="AB519">
            <v>37024</v>
          </cell>
          <cell r="AC519">
            <v>2001</v>
          </cell>
          <cell r="AD519" t="str">
            <v>St1</v>
          </cell>
          <cell r="AE519" t="str">
            <v>Qd2</v>
          </cell>
          <cell r="AF519" t="str">
            <v>Tr2</v>
          </cell>
          <cell r="AG519" t="str">
            <v>Tr2-2001</v>
          </cell>
          <cell r="AH519" t="str">
            <v>2001-Tr2</v>
          </cell>
          <cell r="AI519">
            <v>5</v>
          </cell>
          <cell r="AJ519" t="str">
            <v>05</v>
          </cell>
        </row>
        <row r="520">
          <cell r="AA520" t="str">
            <v>Aaa</v>
          </cell>
          <cell r="AB520">
            <v>37025</v>
          </cell>
          <cell r="AC520">
            <v>2001</v>
          </cell>
          <cell r="AD520" t="str">
            <v>St1</v>
          </cell>
          <cell r="AE520" t="str">
            <v>Qd2</v>
          </cell>
          <cell r="AF520" t="str">
            <v>Tr2</v>
          </cell>
          <cell r="AG520" t="str">
            <v>Tr2-2001</v>
          </cell>
          <cell r="AH520" t="str">
            <v>2001-Tr2</v>
          </cell>
          <cell r="AI520">
            <v>5</v>
          </cell>
          <cell r="AJ520" t="str">
            <v>05</v>
          </cell>
        </row>
        <row r="521">
          <cell r="AA521" t="str">
            <v>Aaa</v>
          </cell>
          <cell r="AB521">
            <v>37026</v>
          </cell>
          <cell r="AC521">
            <v>2001</v>
          </cell>
          <cell r="AD521" t="str">
            <v>St1</v>
          </cell>
          <cell r="AE521" t="str">
            <v>Qd2</v>
          </cell>
          <cell r="AF521" t="str">
            <v>Tr2</v>
          </cell>
          <cell r="AG521" t="str">
            <v>Tr2-2001</v>
          </cell>
          <cell r="AH521" t="str">
            <v>2001-Tr2</v>
          </cell>
          <cell r="AI521">
            <v>5</v>
          </cell>
          <cell r="AJ521" t="str">
            <v>05</v>
          </cell>
        </row>
        <row r="522">
          <cell r="AA522" t="str">
            <v>Aaa</v>
          </cell>
          <cell r="AB522">
            <v>37027</v>
          </cell>
          <cell r="AC522">
            <v>2001</v>
          </cell>
          <cell r="AD522" t="str">
            <v>St1</v>
          </cell>
          <cell r="AE522" t="str">
            <v>Qd2</v>
          </cell>
          <cell r="AF522" t="str">
            <v>Tr2</v>
          </cell>
          <cell r="AG522" t="str">
            <v>Tr2-2001</v>
          </cell>
          <cell r="AH522" t="str">
            <v>2001-Tr2</v>
          </cell>
          <cell r="AI522">
            <v>5</v>
          </cell>
          <cell r="AJ522" t="str">
            <v>05</v>
          </cell>
        </row>
        <row r="523">
          <cell r="AA523" t="str">
            <v>Aaa</v>
          </cell>
          <cell r="AB523">
            <v>37028</v>
          </cell>
          <cell r="AC523">
            <v>2001</v>
          </cell>
          <cell r="AD523" t="str">
            <v>St1</v>
          </cell>
          <cell r="AE523" t="str">
            <v>Qd2</v>
          </cell>
          <cell r="AF523" t="str">
            <v>Tr2</v>
          </cell>
          <cell r="AG523" t="str">
            <v>Tr2-2001</v>
          </cell>
          <cell r="AH523" t="str">
            <v>2001-Tr2</v>
          </cell>
          <cell r="AI523">
            <v>5</v>
          </cell>
          <cell r="AJ523" t="str">
            <v>05</v>
          </cell>
        </row>
        <row r="524">
          <cell r="AA524" t="str">
            <v>Aaa</v>
          </cell>
          <cell r="AB524">
            <v>37029</v>
          </cell>
          <cell r="AC524">
            <v>2001</v>
          </cell>
          <cell r="AD524" t="str">
            <v>St1</v>
          </cell>
          <cell r="AE524" t="str">
            <v>Qd2</v>
          </cell>
          <cell r="AF524" t="str">
            <v>Tr2</v>
          </cell>
          <cell r="AG524" t="str">
            <v>Tr2-2001</v>
          </cell>
          <cell r="AH524" t="str">
            <v>2001-Tr2</v>
          </cell>
          <cell r="AI524">
            <v>5</v>
          </cell>
          <cell r="AJ524" t="str">
            <v>05</v>
          </cell>
        </row>
        <row r="525">
          <cell r="AA525" t="str">
            <v>Aaa</v>
          </cell>
          <cell r="AB525">
            <v>37030</v>
          </cell>
          <cell r="AC525">
            <v>2001</v>
          </cell>
          <cell r="AD525" t="str">
            <v>St1</v>
          </cell>
          <cell r="AE525" t="str">
            <v>Qd2</v>
          </cell>
          <cell r="AF525" t="str">
            <v>Tr2</v>
          </cell>
          <cell r="AG525" t="str">
            <v>Tr2-2001</v>
          </cell>
          <cell r="AH525" t="str">
            <v>2001-Tr2</v>
          </cell>
          <cell r="AI525">
            <v>5</v>
          </cell>
          <cell r="AJ525" t="str">
            <v>05</v>
          </cell>
        </row>
        <row r="526">
          <cell r="AA526" t="str">
            <v>Aaa</v>
          </cell>
          <cell r="AB526">
            <v>37031</v>
          </cell>
          <cell r="AC526">
            <v>2001</v>
          </cell>
          <cell r="AD526" t="str">
            <v>St1</v>
          </cell>
          <cell r="AE526" t="str">
            <v>Qd2</v>
          </cell>
          <cell r="AF526" t="str">
            <v>Tr2</v>
          </cell>
          <cell r="AG526" t="str">
            <v>Tr2-2001</v>
          </cell>
          <cell r="AH526" t="str">
            <v>2001-Tr2</v>
          </cell>
          <cell r="AI526">
            <v>5</v>
          </cell>
          <cell r="AJ526" t="str">
            <v>05</v>
          </cell>
        </row>
        <row r="527">
          <cell r="AA527" t="str">
            <v>Aaa</v>
          </cell>
          <cell r="AB527">
            <v>37032</v>
          </cell>
          <cell r="AC527">
            <v>2001</v>
          </cell>
          <cell r="AD527" t="str">
            <v>St1</v>
          </cell>
          <cell r="AE527" t="str">
            <v>Qd2</v>
          </cell>
          <cell r="AF527" t="str">
            <v>Tr2</v>
          </cell>
          <cell r="AG527" t="str">
            <v>Tr2-2001</v>
          </cell>
          <cell r="AH527" t="str">
            <v>2001-Tr2</v>
          </cell>
          <cell r="AI527">
            <v>5</v>
          </cell>
          <cell r="AJ527" t="str">
            <v>05</v>
          </cell>
        </row>
        <row r="528">
          <cell r="AA528" t="str">
            <v>Aaa</v>
          </cell>
          <cell r="AB528">
            <v>37033</v>
          </cell>
          <cell r="AC528">
            <v>2001</v>
          </cell>
          <cell r="AD528" t="str">
            <v>St1</v>
          </cell>
          <cell r="AE528" t="str">
            <v>Qd2</v>
          </cell>
          <cell r="AF528" t="str">
            <v>Tr2</v>
          </cell>
          <cell r="AG528" t="str">
            <v>Tr2-2001</v>
          </cell>
          <cell r="AH528" t="str">
            <v>2001-Tr2</v>
          </cell>
          <cell r="AI528">
            <v>5</v>
          </cell>
          <cell r="AJ528" t="str">
            <v>05</v>
          </cell>
        </row>
        <row r="529">
          <cell r="AA529" t="str">
            <v>Aaa</v>
          </cell>
          <cell r="AB529">
            <v>37034</v>
          </cell>
          <cell r="AC529">
            <v>2001</v>
          </cell>
          <cell r="AD529" t="str">
            <v>St1</v>
          </cell>
          <cell r="AE529" t="str">
            <v>Qd2</v>
          </cell>
          <cell r="AF529" t="str">
            <v>Tr2</v>
          </cell>
          <cell r="AG529" t="str">
            <v>Tr2-2001</v>
          </cell>
          <cell r="AH529" t="str">
            <v>2001-Tr2</v>
          </cell>
          <cell r="AI529">
            <v>5</v>
          </cell>
          <cell r="AJ529" t="str">
            <v>05</v>
          </cell>
        </row>
        <row r="530">
          <cell r="AA530" t="str">
            <v>Aaa</v>
          </cell>
          <cell r="AB530">
            <v>37035</v>
          </cell>
          <cell r="AC530">
            <v>2001</v>
          </cell>
          <cell r="AD530" t="str">
            <v>St1</v>
          </cell>
          <cell r="AE530" t="str">
            <v>Qd2</v>
          </cell>
          <cell r="AF530" t="str">
            <v>Tr2</v>
          </cell>
          <cell r="AG530" t="str">
            <v>Tr2-2001</v>
          </cell>
          <cell r="AH530" t="str">
            <v>2001-Tr2</v>
          </cell>
          <cell r="AI530">
            <v>5</v>
          </cell>
          <cell r="AJ530" t="str">
            <v>05</v>
          </cell>
        </row>
        <row r="531">
          <cell r="AA531" t="str">
            <v>Aaa</v>
          </cell>
          <cell r="AB531">
            <v>37036</v>
          </cell>
          <cell r="AC531">
            <v>2001</v>
          </cell>
          <cell r="AD531" t="str">
            <v>St1</v>
          </cell>
          <cell r="AE531" t="str">
            <v>Qd2</v>
          </cell>
          <cell r="AF531" t="str">
            <v>Tr2</v>
          </cell>
          <cell r="AG531" t="str">
            <v>Tr2-2001</v>
          </cell>
          <cell r="AH531" t="str">
            <v>2001-Tr2</v>
          </cell>
          <cell r="AI531">
            <v>5</v>
          </cell>
          <cell r="AJ531" t="str">
            <v>05</v>
          </cell>
        </row>
        <row r="532">
          <cell r="AA532" t="str">
            <v>Aaa</v>
          </cell>
          <cell r="AB532">
            <v>37037</v>
          </cell>
          <cell r="AC532">
            <v>2001</v>
          </cell>
          <cell r="AD532" t="str">
            <v>St1</v>
          </cell>
          <cell r="AE532" t="str">
            <v>Qd2</v>
          </cell>
          <cell r="AF532" t="str">
            <v>Tr2</v>
          </cell>
          <cell r="AG532" t="str">
            <v>Tr2-2001</v>
          </cell>
          <cell r="AH532" t="str">
            <v>2001-Tr2</v>
          </cell>
          <cell r="AI532">
            <v>5</v>
          </cell>
          <cell r="AJ532" t="str">
            <v>05</v>
          </cell>
        </row>
        <row r="533">
          <cell r="AA533" t="str">
            <v>Aaa</v>
          </cell>
          <cell r="AB533">
            <v>37038</v>
          </cell>
          <cell r="AC533">
            <v>2001</v>
          </cell>
          <cell r="AD533" t="str">
            <v>St1</v>
          </cell>
          <cell r="AE533" t="str">
            <v>Qd2</v>
          </cell>
          <cell r="AF533" t="str">
            <v>Tr2</v>
          </cell>
          <cell r="AG533" t="str">
            <v>Tr2-2001</v>
          </cell>
          <cell r="AH533" t="str">
            <v>2001-Tr2</v>
          </cell>
          <cell r="AI533">
            <v>5</v>
          </cell>
          <cell r="AJ533" t="str">
            <v>05</v>
          </cell>
        </row>
        <row r="534">
          <cell r="AA534" t="str">
            <v>Aaa</v>
          </cell>
          <cell r="AB534">
            <v>37039</v>
          </cell>
          <cell r="AC534">
            <v>2001</v>
          </cell>
          <cell r="AD534" t="str">
            <v>St1</v>
          </cell>
          <cell r="AE534" t="str">
            <v>Qd2</v>
          </cell>
          <cell r="AF534" t="str">
            <v>Tr2</v>
          </cell>
          <cell r="AG534" t="str">
            <v>Tr2-2001</v>
          </cell>
          <cell r="AH534" t="str">
            <v>2001-Tr2</v>
          </cell>
          <cell r="AI534">
            <v>5</v>
          </cell>
          <cell r="AJ534" t="str">
            <v>05</v>
          </cell>
        </row>
        <row r="535">
          <cell r="AA535" t="str">
            <v>Aaa</v>
          </cell>
          <cell r="AB535">
            <v>37040</v>
          </cell>
          <cell r="AC535">
            <v>2001</v>
          </cell>
          <cell r="AD535" t="str">
            <v>St1</v>
          </cell>
          <cell r="AE535" t="str">
            <v>Qd2</v>
          </cell>
          <cell r="AF535" t="str">
            <v>Tr2</v>
          </cell>
          <cell r="AG535" t="str">
            <v>Tr2-2001</v>
          </cell>
          <cell r="AH535" t="str">
            <v>2001-Tr2</v>
          </cell>
          <cell r="AI535">
            <v>5</v>
          </cell>
          <cell r="AJ535" t="str">
            <v>05</v>
          </cell>
        </row>
        <row r="536">
          <cell r="AA536" t="str">
            <v>Aaa</v>
          </cell>
          <cell r="AB536">
            <v>37041</v>
          </cell>
          <cell r="AC536">
            <v>2001</v>
          </cell>
          <cell r="AD536" t="str">
            <v>St1</v>
          </cell>
          <cell r="AE536" t="str">
            <v>Qd2</v>
          </cell>
          <cell r="AF536" t="str">
            <v>Tr2</v>
          </cell>
          <cell r="AG536" t="str">
            <v>Tr2-2001</v>
          </cell>
          <cell r="AH536" t="str">
            <v>2001-Tr2</v>
          </cell>
          <cell r="AI536">
            <v>5</v>
          </cell>
          <cell r="AJ536" t="str">
            <v>05</v>
          </cell>
        </row>
        <row r="537">
          <cell r="AA537" t="str">
            <v>Aaa</v>
          </cell>
          <cell r="AB537">
            <v>37042</v>
          </cell>
          <cell r="AC537">
            <v>2001</v>
          </cell>
          <cell r="AD537" t="str">
            <v>St1</v>
          </cell>
          <cell r="AE537" t="str">
            <v>Qd2</v>
          </cell>
          <cell r="AF537" t="str">
            <v>Tr2</v>
          </cell>
          <cell r="AG537" t="str">
            <v>Tr2-2001</v>
          </cell>
          <cell r="AH537" t="str">
            <v>2001-Tr2</v>
          </cell>
          <cell r="AI537">
            <v>5</v>
          </cell>
          <cell r="AJ537" t="str">
            <v>05</v>
          </cell>
        </row>
        <row r="538">
          <cell r="AA538" t="str">
            <v>Aaa</v>
          </cell>
          <cell r="AB538">
            <v>37043</v>
          </cell>
          <cell r="AC538">
            <v>2001</v>
          </cell>
          <cell r="AD538" t="str">
            <v>St1</v>
          </cell>
          <cell r="AE538" t="str">
            <v>Qd2</v>
          </cell>
          <cell r="AF538" t="str">
            <v>Tr2</v>
          </cell>
          <cell r="AG538" t="str">
            <v>Tr2-2001</v>
          </cell>
          <cell r="AH538" t="str">
            <v>2001-Tr2</v>
          </cell>
          <cell r="AI538">
            <v>6</v>
          </cell>
          <cell r="AJ538" t="str">
            <v>06</v>
          </cell>
        </row>
        <row r="539">
          <cell r="AA539" t="str">
            <v>Aaa</v>
          </cell>
          <cell r="AB539">
            <v>37044</v>
          </cell>
          <cell r="AC539">
            <v>2001</v>
          </cell>
          <cell r="AD539" t="str">
            <v>St1</v>
          </cell>
          <cell r="AE539" t="str">
            <v>Qd2</v>
          </cell>
          <cell r="AF539" t="str">
            <v>Tr2</v>
          </cell>
          <cell r="AG539" t="str">
            <v>Tr2-2001</v>
          </cell>
          <cell r="AH539" t="str">
            <v>2001-Tr2</v>
          </cell>
          <cell r="AI539">
            <v>6</v>
          </cell>
          <cell r="AJ539" t="str">
            <v>06</v>
          </cell>
        </row>
        <row r="540">
          <cell r="AA540" t="str">
            <v>Aaa</v>
          </cell>
          <cell r="AB540">
            <v>37045</v>
          </cell>
          <cell r="AC540">
            <v>2001</v>
          </cell>
          <cell r="AD540" t="str">
            <v>St1</v>
          </cell>
          <cell r="AE540" t="str">
            <v>Qd2</v>
          </cell>
          <cell r="AF540" t="str">
            <v>Tr2</v>
          </cell>
          <cell r="AG540" t="str">
            <v>Tr2-2001</v>
          </cell>
          <cell r="AH540" t="str">
            <v>2001-Tr2</v>
          </cell>
          <cell r="AI540">
            <v>6</v>
          </cell>
          <cell r="AJ540" t="str">
            <v>06</v>
          </cell>
        </row>
        <row r="541">
          <cell r="AA541" t="str">
            <v>Aaa</v>
          </cell>
          <cell r="AB541">
            <v>37046</v>
          </cell>
          <cell r="AC541">
            <v>2001</v>
          </cell>
          <cell r="AD541" t="str">
            <v>St1</v>
          </cell>
          <cell r="AE541" t="str">
            <v>Qd2</v>
          </cell>
          <cell r="AF541" t="str">
            <v>Tr2</v>
          </cell>
          <cell r="AG541" t="str">
            <v>Tr2-2001</v>
          </cell>
          <cell r="AH541" t="str">
            <v>2001-Tr2</v>
          </cell>
          <cell r="AI541">
            <v>6</v>
          </cell>
          <cell r="AJ541" t="str">
            <v>06</v>
          </cell>
        </row>
        <row r="542">
          <cell r="AA542" t="str">
            <v>Aaa</v>
          </cell>
          <cell r="AB542">
            <v>37047</v>
          </cell>
          <cell r="AC542">
            <v>2001</v>
          </cell>
          <cell r="AD542" t="str">
            <v>St1</v>
          </cell>
          <cell r="AE542" t="str">
            <v>Qd2</v>
          </cell>
          <cell r="AF542" t="str">
            <v>Tr2</v>
          </cell>
          <cell r="AG542" t="str">
            <v>Tr2-2001</v>
          </cell>
          <cell r="AH542" t="str">
            <v>2001-Tr2</v>
          </cell>
          <cell r="AI542">
            <v>6</v>
          </cell>
          <cell r="AJ542" t="str">
            <v>06</v>
          </cell>
        </row>
        <row r="543">
          <cell r="AA543" t="str">
            <v>Aaa</v>
          </cell>
          <cell r="AB543">
            <v>37048</v>
          </cell>
          <cell r="AC543">
            <v>2001</v>
          </cell>
          <cell r="AD543" t="str">
            <v>St1</v>
          </cell>
          <cell r="AE543" t="str">
            <v>Qd2</v>
          </cell>
          <cell r="AF543" t="str">
            <v>Tr2</v>
          </cell>
          <cell r="AG543" t="str">
            <v>Tr2-2001</v>
          </cell>
          <cell r="AH543" t="str">
            <v>2001-Tr2</v>
          </cell>
          <cell r="AI543">
            <v>6</v>
          </cell>
          <cell r="AJ543" t="str">
            <v>06</v>
          </cell>
        </row>
        <row r="544">
          <cell r="AA544" t="str">
            <v>Aaa</v>
          </cell>
          <cell r="AB544">
            <v>37049</v>
          </cell>
          <cell r="AC544">
            <v>2001</v>
          </cell>
          <cell r="AD544" t="str">
            <v>St1</v>
          </cell>
          <cell r="AE544" t="str">
            <v>Qd2</v>
          </cell>
          <cell r="AF544" t="str">
            <v>Tr2</v>
          </cell>
          <cell r="AG544" t="str">
            <v>Tr2-2001</v>
          </cell>
          <cell r="AH544" t="str">
            <v>2001-Tr2</v>
          </cell>
          <cell r="AI544">
            <v>6</v>
          </cell>
          <cell r="AJ544" t="str">
            <v>06</v>
          </cell>
        </row>
        <row r="545">
          <cell r="AA545" t="str">
            <v>Aaa</v>
          </cell>
          <cell r="AB545">
            <v>37050</v>
          </cell>
          <cell r="AC545">
            <v>2001</v>
          </cell>
          <cell r="AD545" t="str">
            <v>St1</v>
          </cell>
          <cell r="AE545" t="str">
            <v>Qd2</v>
          </cell>
          <cell r="AF545" t="str">
            <v>Tr2</v>
          </cell>
          <cell r="AG545" t="str">
            <v>Tr2-2001</v>
          </cell>
          <cell r="AH545" t="str">
            <v>2001-Tr2</v>
          </cell>
          <cell r="AI545">
            <v>6</v>
          </cell>
          <cell r="AJ545" t="str">
            <v>06</v>
          </cell>
        </row>
        <row r="546">
          <cell r="AA546" t="str">
            <v>Aaa</v>
          </cell>
          <cell r="AB546">
            <v>37051</v>
          </cell>
          <cell r="AC546">
            <v>2001</v>
          </cell>
          <cell r="AD546" t="str">
            <v>St1</v>
          </cell>
          <cell r="AE546" t="str">
            <v>Qd2</v>
          </cell>
          <cell r="AF546" t="str">
            <v>Tr2</v>
          </cell>
          <cell r="AG546" t="str">
            <v>Tr2-2001</v>
          </cell>
          <cell r="AH546" t="str">
            <v>2001-Tr2</v>
          </cell>
          <cell r="AI546">
            <v>6</v>
          </cell>
          <cell r="AJ546" t="str">
            <v>06</v>
          </cell>
        </row>
        <row r="547">
          <cell r="AA547" t="str">
            <v>Aaa</v>
          </cell>
          <cell r="AB547">
            <v>37052</v>
          </cell>
          <cell r="AC547">
            <v>2001</v>
          </cell>
          <cell r="AD547" t="str">
            <v>St1</v>
          </cell>
          <cell r="AE547" t="str">
            <v>Qd2</v>
          </cell>
          <cell r="AF547" t="str">
            <v>Tr2</v>
          </cell>
          <cell r="AG547" t="str">
            <v>Tr2-2001</v>
          </cell>
          <cell r="AH547" t="str">
            <v>2001-Tr2</v>
          </cell>
          <cell r="AI547">
            <v>6</v>
          </cell>
          <cell r="AJ547" t="str">
            <v>06</v>
          </cell>
        </row>
        <row r="548">
          <cell r="AA548" t="str">
            <v>Aaa</v>
          </cell>
          <cell r="AB548">
            <v>37053</v>
          </cell>
          <cell r="AC548">
            <v>2001</v>
          </cell>
          <cell r="AD548" t="str">
            <v>St1</v>
          </cell>
          <cell r="AE548" t="str">
            <v>Qd2</v>
          </cell>
          <cell r="AF548" t="str">
            <v>Tr2</v>
          </cell>
          <cell r="AG548" t="str">
            <v>Tr2-2001</v>
          </cell>
          <cell r="AH548" t="str">
            <v>2001-Tr2</v>
          </cell>
          <cell r="AI548">
            <v>6</v>
          </cell>
          <cell r="AJ548" t="str">
            <v>06</v>
          </cell>
        </row>
        <row r="549">
          <cell r="AA549" t="str">
            <v>Aaa</v>
          </cell>
          <cell r="AB549">
            <v>37054</v>
          </cell>
          <cell r="AC549">
            <v>2001</v>
          </cell>
          <cell r="AD549" t="str">
            <v>St1</v>
          </cell>
          <cell r="AE549" t="str">
            <v>Qd2</v>
          </cell>
          <cell r="AF549" t="str">
            <v>Tr2</v>
          </cell>
          <cell r="AG549" t="str">
            <v>Tr2-2001</v>
          </cell>
          <cell r="AH549" t="str">
            <v>2001-Tr2</v>
          </cell>
          <cell r="AI549">
            <v>6</v>
          </cell>
          <cell r="AJ549" t="str">
            <v>06</v>
          </cell>
        </row>
        <row r="550">
          <cell r="AA550" t="str">
            <v>Aaa</v>
          </cell>
          <cell r="AB550">
            <v>37055</v>
          </cell>
          <cell r="AC550">
            <v>2001</v>
          </cell>
          <cell r="AD550" t="str">
            <v>St1</v>
          </cell>
          <cell r="AE550" t="str">
            <v>Qd2</v>
          </cell>
          <cell r="AF550" t="str">
            <v>Tr2</v>
          </cell>
          <cell r="AG550" t="str">
            <v>Tr2-2001</v>
          </cell>
          <cell r="AH550" t="str">
            <v>2001-Tr2</v>
          </cell>
          <cell r="AI550">
            <v>6</v>
          </cell>
          <cell r="AJ550" t="str">
            <v>06</v>
          </cell>
        </row>
        <row r="551">
          <cell r="AA551" t="str">
            <v>Aaa</v>
          </cell>
          <cell r="AB551">
            <v>37056</v>
          </cell>
          <cell r="AC551">
            <v>2001</v>
          </cell>
          <cell r="AD551" t="str">
            <v>St1</v>
          </cell>
          <cell r="AE551" t="str">
            <v>Qd2</v>
          </cell>
          <cell r="AF551" t="str">
            <v>Tr2</v>
          </cell>
          <cell r="AG551" t="str">
            <v>Tr2-2001</v>
          </cell>
          <cell r="AH551" t="str">
            <v>2001-Tr2</v>
          </cell>
          <cell r="AI551">
            <v>6</v>
          </cell>
          <cell r="AJ551" t="str">
            <v>06</v>
          </cell>
        </row>
        <row r="552">
          <cell r="AA552" t="str">
            <v>Aaa</v>
          </cell>
          <cell r="AB552">
            <v>37057</v>
          </cell>
          <cell r="AC552">
            <v>2001</v>
          </cell>
          <cell r="AD552" t="str">
            <v>St1</v>
          </cell>
          <cell r="AE552" t="str">
            <v>Qd2</v>
          </cell>
          <cell r="AF552" t="str">
            <v>Tr2</v>
          </cell>
          <cell r="AG552" t="str">
            <v>Tr2-2001</v>
          </cell>
          <cell r="AH552" t="str">
            <v>2001-Tr2</v>
          </cell>
          <cell r="AI552">
            <v>6</v>
          </cell>
          <cell r="AJ552" t="str">
            <v>06</v>
          </cell>
        </row>
        <row r="553">
          <cell r="AA553" t="str">
            <v>Aaa</v>
          </cell>
          <cell r="AB553">
            <v>37058</v>
          </cell>
          <cell r="AC553">
            <v>2001</v>
          </cell>
          <cell r="AD553" t="str">
            <v>St1</v>
          </cell>
          <cell r="AE553" t="str">
            <v>Qd2</v>
          </cell>
          <cell r="AF553" t="str">
            <v>Tr2</v>
          </cell>
          <cell r="AG553" t="str">
            <v>Tr2-2001</v>
          </cell>
          <cell r="AH553" t="str">
            <v>2001-Tr2</v>
          </cell>
          <cell r="AI553">
            <v>6</v>
          </cell>
          <cell r="AJ553" t="str">
            <v>06</v>
          </cell>
        </row>
        <row r="554">
          <cell r="AA554" t="str">
            <v>Aaa</v>
          </cell>
          <cell r="AB554">
            <v>37059</v>
          </cell>
          <cell r="AC554">
            <v>2001</v>
          </cell>
          <cell r="AD554" t="str">
            <v>St1</v>
          </cell>
          <cell r="AE554" t="str">
            <v>Qd2</v>
          </cell>
          <cell r="AF554" t="str">
            <v>Tr2</v>
          </cell>
          <cell r="AG554" t="str">
            <v>Tr2-2001</v>
          </cell>
          <cell r="AH554" t="str">
            <v>2001-Tr2</v>
          </cell>
          <cell r="AI554">
            <v>6</v>
          </cell>
          <cell r="AJ554" t="str">
            <v>06</v>
          </cell>
        </row>
        <row r="555">
          <cell r="AA555" t="str">
            <v>Aaa</v>
          </cell>
          <cell r="AB555">
            <v>37060</v>
          </cell>
          <cell r="AC555">
            <v>2001</v>
          </cell>
          <cell r="AD555" t="str">
            <v>St1</v>
          </cell>
          <cell r="AE555" t="str">
            <v>Qd2</v>
          </cell>
          <cell r="AF555" t="str">
            <v>Tr2</v>
          </cell>
          <cell r="AG555" t="str">
            <v>Tr2-2001</v>
          </cell>
          <cell r="AH555" t="str">
            <v>2001-Tr2</v>
          </cell>
          <cell r="AI555">
            <v>6</v>
          </cell>
          <cell r="AJ555" t="str">
            <v>06</v>
          </cell>
        </row>
        <row r="556">
          <cell r="AA556" t="str">
            <v>Aaa</v>
          </cell>
          <cell r="AB556">
            <v>37061</v>
          </cell>
          <cell r="AC556">
            <v>2001</v>
          </cell>
          <cell r="AD556" t="str">
            <v>St1</v>
          </cell>
          <cell r="AE556" t="str">
            <v>Qd2</v>
          </cell>
          <cell r="AF556" t="str">
            <v>Tr2</v>
          </cell>
          <cell r="AG556" t="str">
            <v>Tr2-2001</v>
          </cell>
          <cell r="AH556" t="str">
            <v>2001-Tr2</v>
          </cell>
          <cell r="AI556">
            <v>6</v>
          </cell>
          <cell r="AJ556" t="str">
            <v>06</v>
          </cell>
        </row>
        <row r="557">
          <cell r="AA557" t="str">
            <v>Aaa</v>
          </cell>
          <cell r="AB557">
            <v>37062</v>
          </cell>
          <cell r="AC557">
            <v>2001</v>
          </cell>
          <cell r="AD557" t="str">
            <v>St1</v>
          </cell>
          <cell r="AE557" t="str">
            <v>Qd2</v>
          </cell>
          <cell r="AF557" t="str">
            <v>Tr2</v>
          </cell>
          <cell r="AG557" t="str">
            <v>Tr2-2001</v>
          </cell>
          <cell r="AH557" t="str">
            <v>2001-Tr2</v>
          </cell>
          <cell r="AI557">
            <v>6</v>
          </cell>
          <cell r="AJ557" t="str">
            <v>06</v>
          </cell>
        </row>
        <row r="558">
          <cell r="AA558" t="str">
            <v>Aaa</v>
          </cell>
          <cell r="AB558">
            <v>37063</v>
          </cell>
          <cell r="AC558">
            <v>2001</v>
          </cell>
          <cell r="AD558" t="str">
            <v>St1</v>
          </cell>
          <cell r="AE558" t="str">
            <v>Qd2</v>
          </cell>
          <cell r="AF558" t="str">
            <v>Tr2</v>
          </cell>
          <cell r="AG558" t="str">
            <v>Tr2-2001</v>
          </cell>
          <cell r="AH558" t="str">
            <v>2001-Tr2</v>
          </cell>
          <cell r="AI558">
            <v>6</v>
          </cell>
          <cell r="AJ558" t="str">
            <v>06</v>
          </cell>
        </row>
        <row r="559">
          <cell r="AA559" t="str">
            <v>Aaa</v>
          </cell>
          <cell r="AB559">
            <v>37064</v>
          </cell>
          <cell r="AC559">
            <v>2001</v>
          </cell>
          <cell r="AD559" t="str">
            <v>St1</v>
          </cell>
          <cell r="AE559" t="str">
            <v>Qd2</v>
          </cell>
          <cell r="AF559" t="str">
            <v>Tr2</v>
          </cell>
          <cell r="AG559" t="str">
            <v>Tr2-2001</v>
          </cell>
          <cell r="AH559" t="str">
            <v>2001-Tr2</v>
          </cell>
          <cell r="AI559">
            <v>6</v>
          </cell>
          <cell r="AJ559" t="str">
            <v>06</v>
          </cell>
        </row>
        <row r="560">
          <cell r="AA560" t="str">
            <v>Aaa</v>
          </cell>
          <cell r="AB560">
            <v>37065</v>
          </cell>
          <cell r="AC560">
            <v>2001</v>
          </cell>
          <cell r="AD560" t="str">
            <v>St1</v>
          </cell>
          <cell r="AE560" t="str">
            <v>Qd2</v>
          </cell>
          <cell r="AF560" t="str">
            <v>Tr2</v>
          </cell>
          <cell r="AG560" t="str">
            <v>Tr2-2001</v>
          </cell>
          <cell r="AH560" t="str">
            <v>2001-Tr2</v>
          </cell>
          <cell r="AI560">
            <v>6</v>
          </cell>
          <cell r="AJ560" t="str">
            <v>06</v>
          </cell>
        </row>
        <row r="561">
          <cell r="AA561" t="str">
            <v>Aaa</v>
          </cell>
          <cell r="AB561">
            <v>37066</v>
          </cell>
          <cell r="AC561">
            <v>2001</v>
          </cell>
          <cell r="AD561" t="str">
            <v>St1</v>
          </cell>
          <cell r="AE561" t="str">
            <v>Qd2</v>
          </cell>
          <cell r="AF561" t="str">
            <v>Tr2</v>
          </cell>
          <cell r="AG561" t="str">
            <v>Tr2-2001</v>
          </cell>
          <cell r="AH561" t="str">
            <v>2001-Tr2</v>
          </cell>
          <cell r="AI561">
            <v>6</v>
          </cell>
          <cell r="AJ561" t="str">
            <v>06</v>
          </cell>
        </row>
        <row r="562">
          <cell r="AA562" t="str">
            <v>Aaa</v>
          </cell>
          <cell r="AB562">
            <v>37067</v>
          </cell>
          <cell r="AC562">
            <v>2001</v>
          </cell>
          <cell r="AD562" t="str">
            <v>St1</v>
          </cell>
          <cell r="AE562" t="str">
            <v>Qd2</v>
          </cell>
          <cell r="AF562" t="str">
            <v>Tr2</v>
          </cell>
          <cell r="AG562" t="str">
            <v>Tr2-2001</v>
          </cell>
          <cell r="AH562" t="str">
            <v>2001-Tr2</v>
          </cell>
          <cell r="AI562">
            <v>6</v>
          </cell>
          <cell r="AJ562" t="str">
            <v>06</v>
          </cell>
        </row>
        <row r="563">
          <cell r="AA563" t="str">
            <v>Aaa</v>
          </cell>
          <cell r="AB563">
            <v>37068</v>
          </cell>
          <cell r="AC563">
            <v>2001</v>
          </cell>
          <cell r="AD563" t="str">
            <v>St1</v>
          </cell>
          <cell r="AE563" t="str">
            <v>Qd2</v>
          </cell>
          <cell r="AF563" t="str">
            <v>Tr2</v>
          </cell>
          <cell r="AG563" t="str">
            <v>Tr2-2001</v>
          </cell>
          <cell r="AH563" t="str">
            <v>2001-Tr2</v>
          </cell>
          <cell r="AI563">
            <v>6</v>
          </cell>
          <cell r="AJ563" t="str">
            <v>06</v>
          </cell>
        </row>
        <row r="564">
          <cell r="AA564" t="str">
            <v>Aaa</v>
          </cell>
          <cell r="AB564">
            <v>37069</v>
          </cell>
          <cell r="AC564">
            <v>2001</v>
          </cell>
          <cell r="AD564" t="str">
            <v>St1</v>
          </cell>
          <cell r="AE564" t="str">
            <v>Qd2</v>
          </cell>
          <cell r="AF564" t="str">
            <v>Tr2</v>
          </cell>
          <cell r="AG564" t="str">
            <v>Tr2-2001</v>
          </cell>
          <cell r="AH564" t="str">
            <v>2001-Tr2</v>
          </cell>
          <cell r="AI564">
            <v>6</v>
          </cell>
          <cell r="AJ564" t="str">
            <v>06</v>
          </cell>
        </row>
        <row r="565">
          <cell r="AA565" t="str">
            <v>Aaa</v>
          </cell>
          <cell r="AB565">
            <v>37070</v>
          </cell>
          <cell r="AC565">
            <v>2001</v>
          </cell>
          <cell r="AD565" t="str">
            <v>St1</v>
          </cell>
          <cell r="AE565" t="str">
            <v>Qd2</v>
          </cell>
          <cell r="AF565" t="str">
            <v>Tr2</v>
          </cell>
          <cell r="AG565" t="str">
            <v>Tr2-2001</v>
          </cell>
          <cell r="AH565" t="str">
            <v>2001-Tr2</v>
          </cell>
          <cell r="AI565">
            <v>6</v>
          </cell>
          <cell r="AJ565" t="str">
            <v>06</v>
          </cell>
        </row>
        <row r="566">
          <cell r="AA566" t="str">
            <v>Aaa</v>
          </cell>
          <cell r="AB566">
            <v>37071</v>
          </cell>
          <cell r="AC566">
            <v>2001</v>
          </cell>
          <cell r="AD566" t="str">
            <v>St1</v>
          </cell>
          <cell r="AE566" t="str">
            <v>Qd2</v>
          </cell>
          <cell r="AF566" t="str">
            <v>Tr2</v>
          </cell>
          <cell r="AG566" t="str">
            <v>Tr2-2001</v>
          </cell>
          <cell r="AH566" t="str">
            <v>2001-Tr2</v>
          </cell>
          <cell r="AI566">
            <v>6</v>
          </cell>
          <cell r="AJ566" t="str">
            <v>06</v>
          </cell>
        </row>
        <row r="567">
          <cell r="AA567" t="str">
            <v>Aaa</v>
          </cell>
          <cell r="AB567">
            <v>37072</v>
          </cell>
          <cell r="AC567">
            <v>2001</v>
          </cell>
          <cell r="AD567" t="str">
            <v>St1</v>
          </cell>
          <cell r="AE567" t="str">
            <v>Qd2</v>
          </cell>
          <cell r="AF567" t="str">
            <v>Tr2</v>
          </cell>
          <cell r="AG567" t="str">
            <v>Tr2-2001</v>
          </cell>
          <cell r="AH567" t="str">
            <v>2001-Tr2</v>
          </cell>
          <cell r="AI567">
            <v>6</v>
          </cell>
          <cell r="AJ567" t="str">
            <v>06</v>
          </cell>
        </row>
        <row r="568">
          <cell r="AA568" t="str">
            <v>Aaa</v>
          </cell>
          <cell r="AB568">
            <v>37073</v>
          </cell>
          <cell r="AC568">
            <v>2001</v>
          </cell>
          <cell r="AD568" t="str">
            <v>St2</v>
          </cell>
          <cell r="AE568" t="str">
            <v>Qd2</v>
          </cell>
          <cell r="AF568" t="str">
            <v>Tr3</v>
          </cell>
          <cell r="AG568" t="str">
            <v>Tr3-2001</v>
          </cell>
          <cell r="AH568" t="str">
            <v>2001-Tr3</v>
          </cell>
          <cell r="AI568">
            <v>7</v>
          </cell>
          <cell r="AJ568" t="str">
            <v>07</v>
          </cell>
        </row>
        <row r="569">
          <cell r="AA569" t="str">
            <v>Aaa</v>
          </cell>
          <cell r="AB569">
            <v>37074</v>
          </cell>
          <cell r="AC569">
            <v>2001</v>
          </cell>
          <cell r="AD569" t="str">
            <v>St2</v>
          </cell>
          <cell r="AE569" t="str">
            <v>Qd2</v>
          </cell>
          <cell r="AF569" t="str">
            <v>Tr3</v>
          </cell>
          <cell r="AG569" t="str">
            <v>Tr3-2001</v>
          </cell>
          <cell r="AH569" t="str">
            <v>2001-Tr3</v>
          </cell>
          <cell r="AI569">
            <v>7</v>
          </cell>
          <cell r="AJ569" t="str">
            <v>07</v>
          </cell>
        </row>
        <row r="570">
          <cell r="AA570" t="str">
            <v>Aaa</v>
          </cell>
          <cell r="AB570">
            <v>37075</v>
          </cell>
          <cell r="AC570">
            <v>2001</v>
          </cell>
          <cell r="AD570" t="str">
            <v>St2</v>
          </cell>
          <cell r="AE570" t="str">
            <v>Qd2</v>
          </cell>
          <cell r="AF570" t="str">
            <v>Tr3</v>
          </cell>
          <cell r="AG570" t="str">
            <v>Tr3-2001</v>
          </cell>
          <cell r="AH570" t="str">
            <v>2001-Tr3</v>
          </cell>
          <cell r="AI570">
            <v>7</v>
          </cell>
          <cell r="AJ570" t="str">
            <v>07</v>
          </cell>
        </row>
        <row r="571">
          <cell r="AA571" t="str">
            <v>Aaa</v>
          </cell>
          <cell r="AB571">
            <v>37076</v>
          </cell>
          <cell r="AC571">
            <v>2001</v>
          </cell>
          <cell r="AD571" t="str">
            <v>St2</v>
          </cell>
          <cell r="AE571" t="str">
            <v>Qd2</v>
          </cell>
          <cell r="AF571" t="str">
            <v>Tr3</v>
          </cell>
          <cell r="AG571" t="str">
            <v>Tr3-2001</v>
          </cell>
          <cell r="AH571" t="str">
            <v>2001-Tr3</v>
          </cell>
          <cell r="AI571">
            <v>7</v>
          </cell>
          <cell r="AJ571" t="str">
            <v>07</v>
          </cell>
        </row>
        <row r="572">
          <cell r="AA572" t="str">
            <v>Aaa</v>
          </cell>
          <cell r="AB572">
            <v>37077</v>
          </cell>
          <cell r="AC572">
            <v>2001</v>
          </cell>
          <cell r="AD572" t="str">
            <v>St2</v>
          </cell>
          <cell r="AE572" t="str">
            <v>Qd2</v>
          </cell>
          <cell r="AF572" t="str">
            <v>Tr3</v>
          </cell>
          <cell r="AG572" t="str">
            <v>Tr3-2001</v>
          </cell>
          <cell r="AH572" t="str">
            <v>2001-Tr3</v>
          </cell>
          <cell r="AI572">
            <v>7</v>
          </cell>
          <cell r="AJ572" t="str">
            <v>07</v>
          </cell>
        </row>
        <row r="573">
          <cell r="AA573" t="str">
            <v>Aaa</v>
          </cell>
          <cell r="AB573">
            <v>37078</v>
          </cell>
          <cell r="AC573">
            <v>2001</v>
          </cell>
          <cell r="AD573" t="str">
            <v>St2</v>
          </cell>
          <cell r="AE573" t="str">
            <v>Qd2</v>
          </cell>
          <cell r="AF573" t="str">
            <v>Tr3</v>
          </cell>
          <cell r="AG573" t="str">
            <v>Tr3-2001</v>
          </cell>
          <cell r="AH573" t="str">
            <v>2001-Tr3</v>
          </cell>
          <cell r="AI573">
            <v>7</v>
          </cell>
          <cell r="AJ573" t="str">
            <v>07</v>
          </cell>
        </row>
        <row r="574">
          <cell r="AA574" t="str">
            <v>Aaa</v>
          </cell>
          <cell r="AB574">
            <v>37079</v>
          </cell>
          <cell r="AC574">
            <v>2001</v>
          </cell>
          <cell r="AD574" t="str">
            <v>St2</v>
          </cell>
          <cell r="AE574" t="str">
            <v>Qd2</v>
          </cell>
          <cell r="AF574" t="str">
            <v>Tr3</v>
          </cell>
          <cell r="AG574" t="str">
            <v>Tr3-2001</v>
          </cell>
          <cell r="AH574" t="str">
            <v>2001-Tr3</v>
          </cell>
          <cell r="AI574">
            <v>7</v>
          </cell>
          <cell r="AJ574" t="str">
            <v>07</v>
          </cell>
        </row>
        <row r="575">
          <cell r="AA575" t="str">
            <v>Aaa</v>
          </cell>
          <cell r="AB575">
            <v>37080</v>
          </cell>
          <cell r="AC575">
            <v>2001</v>
          </cell>
          <cell r="AD575" t="str">
            <v>St2</v>
          </cell>
          <cell r="AE575" t="str">
            <v>Qd2</v>
          </cell>
          <cell r="AF575" t="str">
            <v>Tr3</v>
          </cell>
          <cell r="AG575" t="str">
            <v>Tr3-2001</v>
          </cell>
          <cell r="AH575" t="str">
            <v>2001-Tr3</v>
          </cell>
          <cell r="AI575">
            <v>7</v>
          </cell>
          <cell r="AJ575" t="str">
            <v>07</v>
          </cell>
        </row>
        <row r="576">
          <cell r="AA576" t="str">
            <v>Aaa</v>
          </cell>
          <cell r="AB576">
            <v>37081</v>
          </cell>
          <cell r="AC576">
            <v>2001</v>
          </cell>
          <cell r="AD576" t="str">
            <v>St2</v>
          </cell>
          <cell r="AE576" t="str">
            <v>Qd2</v>
          </cell>
          <cell r="AF576" t="str">
            <v>Tr3</v>
          </cell>
          <cell r="AG576" t="str">
            <v>Tr3-2001</v>
          </cell>
          <cell r="AH576" t="str">
            <v>2001-Tr3</v>
          </cell>
          <cell r="AI576">
            <v>7</v>
          </cell>
          <cell r="AJ576" t="str">
            <v>07</v>
          </cell>
        </row>
        <row r="577">
          <cell r="AA577" t="str">
            <v>Aaa</v>
          </cell>
          <cell r="AB577">
            <v>37082</v>
          </cell>
          <cell r="AC577">
            <v>2001</v>
          </cell>
          <cell r="AD577" t="str">
            <v>St2</v>
          </cell>
          <cell r="AE577" t="str">
            <v>Qd2</v>
          </cell>
          <cell r="AF577" t="str">
            <v>Tr3</v>
          </cell>
          <cell r="AG577" t="str">
            <v>Tr3-2001</v>
          </cell>
          <cell r="AH577" t="str">
            <v>2001-Tr3</v>
          </cell>
          <cell r="AI577">
            <v>7</v>
          </cell>
          <cell r="AJ577" t="str">
            <v>07</v>
          </cell>
        </row>
        <row r="578">
          <cell r="AA578" t="str">
            <v>Aaa</v>
          </cell>
          <cell r="AB578">
            <v>37083</v>
          </cell>
          <cell r="AC578">
            <v>2001</v>
          </cell>
          <cell r="AD578" t="str">
            <v>St2</v>
          </cell>
          <cell r="AE578" t="str">
            <v>Qd2</v>
          </cell>
          <cell r="AF578" t="str">
            <v>Tr3</v>
          </cell>
          <cell r="AG578" t="str">
            <v>Tr3-2001</v>
          </cell>
          <cell r="AH578" t="str">
            <v>2001-Tr3</v>
          </cell>
          <cell r="AI578">
            <v>7</v>
          </cell>
          <cell r="AJ578" t="str">
            <v>07</v>
          </cell>
        </row>
        <row r="579">
          <cell r="AA579" t="str">
            <v>Aaa</v>
          </cell>
          <cell r="AB579">
            <v>37084</v>
          </cell>
          <cell r="AC579">
            <v>2001</v>
          </cell>
          <cell r="AD579" t="str">
            <v>St2</v>
          </cell>
          <cell r="AE579" t="str">
            <v>Qd2</v>
          </cell>
          <cell r="AF579" t="str">
            <v>Tr3</v>
          </cell>
          <cell r="AG579" t="str">
            <v>Tr3-2001</v>
          </cell>
          <cell r="AH579" t="str">
            <v>2001-Tr3</v>
          </cell>
          <cell r="AI579">
            <v>7</v>
          </cell>
          <cell r="AJ579" t="str">
            <v>07</v>
          </cell>
        </row>
        <row r="580">
          <cell r="AA580" t="str">
            <v>Aaa</v>
          </cell>
          <cell r="AB580">
            <v>37085</v>
          </cell>
          <cell r="AC580">
            <v>2001</v>
          </cell>
          <cell r="AD580" t="str">
            <v>St2</v>
          </cell>
          <cell r="AE580" t="str">
            <v>Qd2</v>
          </cell>
          <cell r="AF580" t="str">
            <v>Tr3</v>
          </cell>
          <cell r="AG580" t="str">
            <v>Tr3-2001</v>
          </cell>
          <cell r="AH580" t="str">
            <v>2001-Tr3</v>
          </cell>
          <cell r="AI580">
            <v>7</v>
          </cell>
          <cell r="AJ580" t="str">
            <v>07</v>
          </cell>
        </row>
        <row r="581">
          <cell r="AA581" t="str">
            <v>Aaa</v>
          </cell>
          <cell r="AB581">
            <v>37086</v>
          </cell>
          <cell r="AC581">
            <v>2001</v>
          </cell>
          <cell r="AD581" t="str">
            <v>St2</v>
          </cell>
          <cell r="AE581" t="str">
            <v>Qd2</v>
          </cell>
          <cell r="AF581" t="str">
            <v>Tr3</v>
          </cell>
          <cell r="AG581" t="str">
            <v>Tr3-2001</v>
          </cell>
          <cell r="AH581" t="str">
            <v>2001-Tr3</v>
          </cell>
          <cell r="AI581">
            <v>7</v>
          </cell>
          <cell r="AJ581" t="str">
            <v>07</v>
          </cell>
        </row>
        <row r="582">
          <cell r="AA582" t="str">
            <v>Aaa</v>
          </cell>
          <cell r="AB582">
            <v>37087</v>
          </cell>
          <cell r="AC582">
            <v>2001</v>
          </cell>
          <cell r="AD582" t="str">
            <v>St2</v>
          </cell>
          <cell r="AE582" t="str">
            <v>Qd2</v>
          </cell>
          <cell r="AF582" t="str">
            <v>Tr3</v>
          </cell>
          <cell r="AG582" t="str">
            <v>Tr3-2001</v>
          </cell>
          <cell r="AH582" t="str">
            <v>2001-Tr3</v>
          </cell>
          <cell r="AI582">
            <v>7</v>
          </cell>
          <cell r="AJ582" t="str">
            <v>07</v>
          </cell>
        </row>
        <row r="583">
          <cell r="AA583" t="str">
            <v>Aaa</v>
          </cell>
          <cell r="AB583">
            <v>37088</v>
          </cell>
          <cell r="AC583">
            <v>2001</v>
          </cell>
          <cell r="AD583" t="str">
            <v>St2</v>
          </cell>
          <cell r="AE583" t="str">
            <v>Qd2</v>
          </cell>
          <cell r="AF583" t="str">
            <v>Tr3</v>
          </cell>
          <cell r="AG583" t="str">
            <v>Tr3-2001</v>
          </cell>
          <cell r="AH583" t="str">
            <v>2001-Tr3</v>
          </cell>
          <cell r="AI583">
            <v>7</v>
          </cell>
          <cell r="AJ583" t="str">
            <v>07</v>
          </cell>
        </row>
        <row r="584">
          <cell r="AA584" t="str">
            <v>Aaa</v>
          </cell>
          <cell r="AB584">
            <v>37089</v>
          </cell>
          <cell r="AC584">
            <v>2001</v>
          </cell>
          <cell r="AD584" t="str">
            <v>St2</v>
          </cell>
          <cell r="AE584" t="str">
            <v>Qd2</v>
          </cell>
          <cell r="AF584" t="str">
            <v>Tr3</v>
          </cell>
          <cell r="AG584" t="str">
            <v>Tr3-2001</v>
          </cell>
          <cell r="AH584" t="str">
            <v>2001-Tr3</v>
          </cell>
          <cell r="AI584">
            <v>7</v>
          </cell>
          <cell r="AJ584" t="str">
            <v>07</v>
          </cell>
        </row>
        <row r="585">
          <cell r="AA585" t="str">
            <v>Aaa</v>
          </cell>
          <cell r="AB585">
            <v>37090</v>
          </cell>
          <cell r="AC585">
            <v>2001</v>
          </cell>
          <cell r="AD585" t="str">
            <v>St2</v>
          </cell>
          <cell r="AE585" t="str">
            <v>Qd2</v>
          </cell>
          <cell r="AF585" t="str">
            <v>Tr3</v>
          </cell>
          <cell r="AG585" t="str">
            <v>Tr3-2001</v>
          </cell>
          <cell r="AH585" t="str">
            <v>2001-Tr3</v>
          </cell>
          <cell r="AI585">
            <v>7</v>
          </cell>
          <cell r="AJ585" t="str">
            <v>07</v>
          </cell>
        </row>
        <row r="586">
          <cell r="AA586" t="str">
            <v>Aaa</v>
          </cell>
          <cell r="AB586">
            <v>37091</v>
          </cell>
          <cell r="AC586">
            <v>2001</v>
          </cell>
          <cell r="AD586" t="str">
            <v>St2</v>
          </cell>
          <cell r="AE586" t="str">
            <v>Qd2</v>
          </cell>
          <cell r="AF586" t="str">
            <v>Tr3</v>
          </cell>
          <cell r="AG586" t="str">
            <v>Tr3-2001</v>
          </cell>
          <cell r="AH586" t="str">
            <v>2001-Tr3</v>
          </cell>
          <cell r="AI586">
            <v>7</v>
          </cell>
          <cell r="AJ586" t="str">
            <v>07</v>
          </cell>
        </row>
        <row r="587">
          <cell r="AA587" t="str">
            <v>Aaa</v>
          </cell>
          <cell r="AB587">
            <v>37092</v>
          </cell>
          <cell r="AC587">
            <v>2001</v>
          </cell>
          <cell r="AD587" t="str">
            <v>St2</v>
          </cell>
          <cell r="AE587" t="str">
            <v>Qd2</v>
          </cell>
          <cell r="AF587" t="str">
            <v>Tr3</v>
          </cell>
          <cell r="AG587" t="str">
            <v>Tr3-2001</v>
          </cell>
          <cell r="AH587" t="str">
            <v>2001-Tr3</v>
          </cell>
          <cell r="AI587">
            <v>7</v>
          </cell>
          <cell r="AJ587" t="str">
            <v>07</v>
          </cell>
        </row>
        <row r="588">
          <cell r="AA588" t="str">
            <v>Aaa</v>
          </cell>
          <cell r="AB588">
            <v>37093</v>
          </cell>
          <cell r="AC588">
            <v>2001</v>
          </cell>
          <cell r="AD588" t="str">
            <v>St2</v>
          </cell>
          <cell r="AE588" t="str">
            <v>Qd2</v>
          </cell>
          <cell r="AF588" t="str">
            <v>Tr3</v>
          </cell>
          <cell r="AG588" t="str">
            <v>Tr3-2001</v>
          </cell>
          <cell r="AH588" t="str">
            <v>2001-Tr3</v>
          </cell>
          <cell r="AI588">
            <v>7</v>
          </cell>
          <cell r="AJ588" t="str">
            <v>07</v>
          </cell>
        </row>
        <row r="589">
          <cell r="AA589" t="str">
            <v>Aaa</v>
          </cell>
          <cell r="AB589">
            <v>37094</v>
          </cell>
          <cell r="AC589">
            <v>2001</v>
          </cell>
          <cell r="AD589" t="str">
            <v>St2</v>
          </cell>
          <cell r="AE589" t="str">
            <v>Qd2</v>
          </cell>
          <cell r="AF589" t="str">
            <v>Tr3</v>
          </cell>
          <cell r="AG589" t="str">
            <v>Tr3-2001</v>
          </cell>
          <cell r="AH589" t="str">
            <v>2001-Tr3</v>
          </cell>
          <cell r="AI589">
            <v>7</v>
          </cell>
          <cell r="AJ589" t="str">
            <v>07</v>
          </cell>
        </row>
        <row r="590">
          <cell r="AA590" t="str">
            <v>Aaa</v>
          </cell>
          <cell r="AB590">
            <v>37095</v>
          </cell>
          <cell r="AC590">
            <v>2001</v>
          </cell>
          <cell r="AD590" t="str">
            <v>St2</v>
          </cell>
          <cell r="AE590" t="str">
            <v>Qd2</v>
          </cell>
          <cell r="AF590" t="str">
            <v>Tr3</v>
          </cell>
          <cell r="AG590" t="str">
            <v>Tr3-2001</v>
          </cell>
          <cell r="AH590" t="str">
            <v>2001-Tr3</v>
          </cell>
          <cell r="AI590">
            <v>7</v>
          </cell>
          <cell r="AJ590" t="str">
            <v>07</v>
          </cell>
        </row>
        <row r="591">
          <cell r="AA591" t="str">
            <v>Aaa</v>
          </cell>
          <cell r="AB591">
            <v>37096</v>
          </cell>
          <cell r="AC591">
            <v>2001</v>
          </cell>
          <cell r="AD591" t="str">
            <v>St2</v>
          </cell>
          <cell r="AE591" t="str">
            <v>Qd2</v>
          </cell>
          <cell r="AF591" t="str">
            <v>Tr3</v>
          </cell>
          <cell r="AG591" t="str">
            <v>Tr3-2001</v>
          </cell>
          <cell r="AH591" t="str">
            <v>2001-Tr3</v>
          </cell>
          <cell r="AI591">
            <v>7</v>
          </cell>
          <cell r="AJ591" t="str">
            <v>07</v>
          </cell>
        </row>
        <row r="592">
          <cell r="AA592" t="str">
            <v>Aaa</v>
          </cell>
          <cell r="AB592">
            <v>37097</v>
          </cell>
          <cell r="AC592">
            <v>2001</v>
          </cell>
          <cell r="AD592" t="str">
            <v>St2</v>
          </cell>
          <cell r="AE592" t="str">
            <v>Qd2</v>
          </cell>
          <cell r="AF592" t="str">
            <v>Tr3</v>
          </cell>
          <cell r="AG592" t="str">
            <v>Tr3-2001</v>
          </cell>
          <cell r="AH592" t="str">
            <v>2001-Tr3</v>
          </cell>
          <cell r="AI592">
            <v>7</v>
          </cell>
          <cell r="AJ592" t="str">
            <v>07</v>
          </cell>
        </row>
        <row r="593">
          <cell r="AA593" t="str">
            <v>Aaa</v>
          </cell>
          <cell r="AB593">
            <v>37098</v>
          </cell>
          <cell r="AC593">
            <v>2001</v>
          </cell>
          <cell r="AD593" t="str">
            <v>St2</v>
          </cell>
          <cell r="AE593" t="str">
            <v>Qd2</v>
          </cell>
          <cell r="AF593" t="str">
            <v>Tr3</v>
          </cell>
          <cell r="AG593" t="str">
            <v>Tr3-2001</v>
          </cell>
          <cell r="AH593" t="str">
            <v>2001-Tr3</v>
          </cell>
          <cell r="AI593">
            <v>7</v>
          </cell>
          <cell r="AJ593" t="str">
            <v>07</v>
          </cell>
        </row>
        <row r="594">
          <cell r="AA594" t="str">
            <v>Aaa</v>
          </cell>
          <cell r="AB594">
            <v>37099</v>
          </cell>
          <cell r="AC594">
            <v>2001</v>
          </cell>
          <cell r="AD594" t="str">
            <v>St2</v>
          </cell>
          <cell r="AE594" t="str">
            <v>Qd2</v>
          </cell>
          <cell r="AF594" t="str">
            <v>Tr3</v>
          </cell>
          <cell r="AG594" t="str">
            <v>Tr3-2001</v>
          </cell>
          <cell r="AH594" t="str">
            <v>2001-Tr3</v>
          </cell>
          <cell r="AI594">
            <v>7</v>
          </cell>
          <cell r="AJ594" t="str">
            <v>07</v>
          </cell>
        </row>
        <row r="595">
          <cell r="AA595" t="str">
            <v>Aaa</v>
          </cell>
          <cell r="AB595">
            <v>37100</v>
          </cell>
          <cell r="AC595">
            <v>2001</v>
          </cell>
          <cell r="AD595" t="str">
            <v>St2</v>
          </cell>
          <cell r="AE595" t="str">
            <v>Qd2</v>
          </cell>
          <cell r="AF595" t="str">
            <v>Tr3</v>
          </cell>
          <cell r="AG595" t="str">
            <v>Tr3-2001</v>
          </cell>
          <cell r="AH595" t="str">
            <v>2001-Tr3</v>
          </cell>
          <cell r="AI595">
            <v>7</v>
          </cell>
          <cell r="AJ595" t="str">
            <v>07</v>
          </cell>
        </row>
        <row r="596">
          <cell r="AA596" t="str">
            <v>Aaa</v>
          </cell>
          <cell r="AB596">
            <v>37101</v>
          </cell>
          <cell r="AC596">
            <v>2001</v>
          </cell>
          <cell r="AD596" t="str">
            <v>St2</v>
          </cell>
          <cell r="AE596" t="str">
            <v>Qd2</v>
          </cell>
          <cell r="AF596" t="str">
            <v>Tr3</v>
          </cell>
          <cell r="AG596" t="str">
            <v>Tr3-2001</v>
          </cell>
          <cell r="AH596" t="str">
            <v>2001-Tr3</v>
          </cell>
          <cell r="AI596">
            <v>7</v>
          </cell>
          <cell r="AJ596" t="str">
            <v>07</v>
          </cell>
        </row>
        <row r="597">
          <cell r="AA597" t="str">
            <v>Aaa</v>
          </cell>
          <cell r="AB597">
            <v>37102</v>
          </cell>
          <cell r="AC597">
            <v>2001</v>
          </cell>
          <cell r="AD597" t="str">
            <v>St2</v>
          </cell>
          <cell r="AE597" t="str">
            <v>Qd2</v>
          </cell>
          <cell r="AF597" t="str">
            <v>Tr3</v>
          </cell>
          <cell r="AG597" t="str">
            <v>Tr3-2001</v>
          </cell>
          <cell r="AH597" t="str">
            <v>2001-Tr3</v>
          </cell>
          <cell r="AI597">
            <v>7</v>
          </cell>
          <cell r="AJ597" t="str">
            <v>07</v>
          </cell>
        </row>
        <row r="598">
          <cell r="AA598" t="str">
            <v>Aaa</v>
          </cell>
          <cell r="AB598">
            <v>37103</v>
          </cell>
          <cell r="AC598">
            <v>2001</v>
          </cell>
          <cell r="AD598" t="str">
            <v>St2</v>
          </cell>
          <cell r="AE598" t="str">
            <v>Qd2</v>
          </cell>
          <cell r="AF598" t="str">
            <v>Tr3</v>
          </cell>
          <cell r="AG598" t="str">
            <v>Tr3-2001</v>
          </cell>
          <cell r="AH598" t="str">
            <v>2001-Tr3</v>
          </cell>
          <cell r="AI598">
            <v>7</v>
          </cell>
          <cell r="AJ598" t="str">
            <v>07</v>
          </cell>
        </row>
        <row r="599">
          <cell r="AA599" t="str">
            <v>Aaa</v>
          </cell>
          <cell r="AB599">
            <v>37104</v>
          </cell>
          <cell r="AC599">
            <v>2001</v>
          </cell>
          <cell r="AD599" t="str">
            <v>St2</v>
          </cell>
          <cell r="AE599" t="str">
            <v>Qd2</v>
          </cell>
          <cell r="AF599" t="str">
            <v>Tr3</v>
          </cell>
          <cell r="AG599" t="str">
            <v>Tr3-2001</v>
          </cell>
          <cell r="AH599" t="str">
            <v>2001-Tr3</v>
          </cell>
          <cell r="AI599">
            <v>8</v>
          </cell>
          <cell r="AJ599" t="str">
            <v>08</v>
          </cell>
        </row>
        <row r="600">
          <cell r="AA600" t="str">
            <v>Aaa</v>
          </cell>
          <cell r="AB600">
            <v>37105</v>
          </cell>
          <cell r="AC600">
            <v>2001</v>
          </cell>
          <cell r="AD600" t="str">
            <v>St2</v>
          </cell>
          <cell r="AE600" t="str">
            <v>Qd2</v>
          </cell>
          <cell r="AF600" t="str">
            <v>Tr3</v>
          </cell>
          <cell r="AG600" t="str">
            <v>Tr3-2001</v>
          </cell>
          <cell r="AH600" t="str">
            <v>2001-Tr3</v>
          </cell>
          <cell r="AI600">
            <v>8</v>
          </cell>
          <cell r="AJ600" t="str">
            <v>08</v>
          </cell>
        </row>
        <row r="601">
          <cell r="AA601" t="str">
            <v>Aaa</v>
          </cell>
          <cell r="AB601">
            <v>37106</v>
          </cell>
          <cell r="AC601">
            <v>2001</v>
          </cell>
          <cell r="AD601" t="str">
            <v>St2</v>
          </cell>
          <cell r="AE601" t="str">
            <v>Qd2</v>
          </cell>
          <cell r="AF601" t="str">
            <v>Tr3</v>
          </cell>
          <cell r="AG601" t="str">
            <v>Tr3-2001</v>
          </cell>
          <cell r="AH601" t="str">
            <v>2001-Tr3</v>
          </cell>
          <cell r="AI601">
            <v>8</v>
          </cell>
          <cell r="AJ601" t="str">
            <v>08</v>
          </cell>
        </row>
        <row r="602">
          <cell r="AA602" t="str">
            <v>Aaa</v>
          </cell>
          <cell r="AB602">
            <v>37107</v>
          </cell>
          <cell r="AC602">
            <v>2001</v>
          </cell>
          <cell r="AD602" t="str">
            <v>St2</v>
          </cell>
          <cell r="AE602" t="str">
            <v>Qd2</v>
          </cell>
          <cell r="AF602" t="str">
            <v>Tr3</v>
          </cell>
          <cell r="AG602" t="str">
            <v>Tr3-2001</v>
          </cell>
          <cell r="AH602" t="str">
            <v>2001-Tr3</v>
          </cell>
          <cell r="AI602">
            <v>8</v>
          </cell>
          <cell r="AJ602" t="str">
            <v>08</v>
          </cell>
        </row>
        <row r="603">
          <cell r="AA603" t="str">
            <v>Aaa</v>
          </cell>
          <cell r="AB603">
            <v>37108</v>
          </cell>
          <cell r="AC603">
            <v>2001</v>
          </cell>
          <cell r="AD603" t="str">
            <v>St2</v>
          </cell>
          <cell r="AE603" t="str">
            <v>Qd2</v>
          </cell>
          <cell r="AF603" t="str">
            <v>Tr3</v>
          </cell>
          <cell r="AG603" t="str">
            <v>Tr3-2001</v>
          </cell>
          <cell r="AH603" t="str">
            <v>2001-Tr3</v>
          </cell>
          <cell r="AI603">
            <v>8</v>
          </cell>
          <cell r="AJ603" t="str">
            <v>08</v>
          </cell>
        </row>
        <row r="604">
          <cell r="AA604" t="str">
            <v>Aaa</v>
          </cell>
          <cell r="AB604">
            <v>37109</v>
          </cell>
          <cell r="AC604">
            <v>2001</v>
          </cell>
          <cell r="AD604" t="str">
            <v>St2</v>
          </cell>
          <cell r="AE604" t="str">
            <v>Qd2</v>
          </cell>
          <cell r="AF604" t="str">
            <v>Tr3</v>
          </cell>
          <cell r="AG604" t="str">
            <v>Tr3-2001</v>
          </cell>
          <cell r="AH604" t="str">
            <v>2001-Tr3</v>
          </cell>
          <cell r="AI604">
            <v>8</v>
          </cell>
          <cell r="AJ604" t="str">
            <v>08</v>
          </cell>
        </row>
        <row r="605">
          <cell r="AA605" t="str">
            <v>Aaa</v>
          </cell>
          <cell r="AB605">
            <v>37110</v>
          </cell>
          <cell r="AC605">
            <v>2001</v>
          </cell>
          <cell r="AD605" t="str">
            <v>St2</v>
          </cell>
          <cell r="AE605" t="str">
            <v>Qd2</v>
          </cell>
          <cell r="AF605" t="str">
            <v>Tr3</v>
          </cell>
          <cell r="AG605" t="str">
            <v>Tr3-2001</v>
          </cell>
          <cell r="AH605" t="str">
            <v>2001-Tr3</v>
          </cell>
          <cell r="AI605">
            <v>8</v>
          </cell>
          <cell r="AJ605" t="str">
            <v>08</v>
          </cell>
        </row>
        <row r="606">
          <cell r="AA606" t="str">
            <v>Aaa</v>
          </cell>
          <cell r="AB606">
            <v>37111</v>
          </cell>
          <cell r="AC606">
            <v>2001</v>
          </cell>
          <cell r="AD606" t="str">
            <v>St2</v>
          </cell>
          <cell r="AE606" t="str">
            <v>Qd2</v>
          </cell>
          <cell r="AF606" t="str">
            <v>Tr3</v>
          </cell>
          <cell r="AG606" t="str">
            <v>Tr3-2001</v>
          </cell>
          <cell r="AH606" t="str">
            <v>2001-Tr3</v>
          </cell>
          <cell r="AI606">
            <v>8</v>
          </cell>
          <cell r="AJ606" t="str">
            <v>08</v>
          </cell>
        </row>
        <row r="607">
          <cell r="AA607" t="str">
            <v>Aaa</v>
          </cell>
          <cell r="AB607">
            <v>37112</v>
          </cell>
          <cell r="AC607">
            <v>2001</v>
          </cell>
          <cell r="AD607" t="str">
            <v>St2</v>
          </cell>
          <cell r="AE607" t="str">
            <v>Qd2</v>
          </cell>
          <cell r="AF607" t="str">
            <v>Tr3</v>
          </cell>
          <cell r="AG607" t="str">
            <v>Tr3-2001</v>
          </cell>
          <cell r="AH607" t="str">
            <v>2001-Tr3</v>
          </cell>
          <cell r="AI607">
            <v>8</v>
          </cell>
          <cell r="AJ607" t="str">
            <v>08</v>
          </cell>
        </row>
        <row r="608">
          <cell r="AA608" t="str">
            <v>Aaa</v>
          </cell>
          <cell r="AB608">
            <v>37113</v>
          </cell>
          <cell r="AC608">
            <v>2001</v>
          </cell>
          <cell r="AD608" t="str">
            <v>St2</v>
          </cell>
          <cell r="AE608" t="str">
            <v>Qd2</v>
          </cell>
          <cell r="AF608" t="str">
            <v>Tr3</v>
          </cell>
          <cell r="AG608" t="str">
            <v>Tr3-2001</v>
          </cell>
          <cell r="AH608" t="str">
            <v>2001-Tr3</v>
          </cell>
          <cell r="AI608">
            <v>8</v>
          </cell>
          <cell r="AJ608" t="str">
            <v>08</v>
          </cell>
        </row>
        <row r="609">
          <cell r="AA609" t="str">
            <v>Aaa</v>
          </cell>
          <cell r="AB609">
            <v>37114</v>
          </cell>
          <cell r="AC609">
            <v>2001</v>
          </cell>
          <cell r="AD609" t="str">
            <v>St2</v>
          </cell>
          <cell r="AE609" t="str">
            <v>Qd2</v>
          </cell>
          <cell r="AF609" t="str">
            <v>Tr3</v>
          </cell>
          <cell r="AG609" t="str">
            <v>Tr3-2001</v>
          </cell>
          <cell r="AH609" t="str">
            <v>2001-Tr3</v>
          </cell>
          <cell r="AI609">
            <v>8</v>
          </cell>
          <cell r="AJ609" t="str">
            <v>08</v>
          </cell>
        </row>
        <row r="610">
          <cell r="AA610" t="str">
            <v>Aaa</v>
          </cell>
          <cell r="AB610">
            <v>37115</v>
          </cell>
          <cell r="AC610">
            <v>2001</v>
          </cell>
          <cell r="AD610" t="str">
            <v>St2</v>
          </cell>
          <cell r="AE610" t="str">
            <v>Qd2</v>
          </cell>
          <cell r="AF610" t="str">
            <v>Tr3</v>
          </cell>
          <cell r="AG610" t="str">
            <v>Tr3-2001</v>
          </cell>
          <cell r="AH610" t="str">
            <v>2001-Tr3</v>
          </cell>
          <cell r="AI610">
            <v>8</v>
          </cell>
          <cell r="AJ610" t="str">
            <v>08</v>
          </cell>
        </row>
        <row r="611">
          <cell r="AA611" t="str">
            <v>Aaa</v>
          </cell>
          <cell r="AB611">
            <v>37116</v>
          </cell>
          <cell r="AC611">
            <v>2001</v>
          </cell>
          <cell r="AD611" t="str">
            <v>St2</v>
          </cell>
          <cell r="AE611" t="str">
            <v>Qd2</v>
          </cell>
          <cell r="AF611" t="str">
            <v>Tr3</v>
          </cell>
          <cell r="AG611" t="str">
            <v>Tr3-2001</v>
          </cell>
          <cell r="AH611" t="str">
            <v>2001-Tr3</v>
          </cell>
          <cell r="AI611">
            <v>8</v>
          </cell>
          <cell r="AJ611" t="str">
            <v>08</v>
          </cell>
        </row>
        <row r="612">
          <cell r="AA612" t="str">
            <v>Aaa</v>
          </cell>
          <cell r="AB612">
            <v>37117</v>
          </cell>
          <cell r="AC612">
            <v>2001</v>
          </cell>
          <cell r="AD612" t="str">
            <v>St2</v>
          </cell>
          <cell r="AE612" t="str">
            <v>Qd2</v>
          </cell>
          <cell r="AF612" t="str">
            <v>Tr3</v>
          </cell>
          <cell r="AG612" t="str">
            <v>Tr3-2001</v>
          </cell>
          <cell r="AH612" t="str">
            <v>2001-Tr3</v>
          </cell>
          <cell r="AI612">
            <v>8</v>
          </cell>
          <cell r="AJ612" t="str">
            <v>08</v>
          </cell>
        </row>
        <row r="613">
          <cell r="AA613" t="str">
            <v>Aaa</v>
          </cell>
          <cell r="AB613">
            <v>37118</v>
          </cell>
          <cell r="AC613">
            <v>2001</v>
          </cell>
          <cell r="AD613" t="str">
            <v>St2</v>
          </cell>
          <cell r="AE613" t="str">
            <v>Qd2</v>
          </cell>
          <cell r="AF613" t="str">
            <v>Tr3</v>
          </cell>
          <cell r="AG613" t="str">
            <v>Tr3-2001</v>
          </cell>
          <cell r="AH613" t="str">
            <v>2001-Tr3</v>
          </cell>
          <cell r="AI613">
            <v>8</v>
          </cell>
          <cell r="AJ613" t="str">
            <v>08</v>
          </cell>
        </row>
        <row r="614">
          <cell r="AA614" t="str">
            <v>Aaa</v>
          </cell>
          <cell r="AB614">
            <v>37119</v>
          </cell>
          <cell r="AC614">
            <v>2001</v>
          </cell>
          <cell r="AD614" t="str">
            <v>St2</v>
          </cell>
          <cell r="AE614" t="str">
            <v>Qd2</v>
          </cell>
          <cell r="AF614" t="str">
            <v>Tr3</v>
          </cell>
          <cell r="AG614" t="str">
            <v>Tr3-2001</v>
          </cell>
          <cell r="AH614" t="str">
            <v>2001-Tr3</v>
          </cell>
          <cell r="AI614">
            <v>8</v>
          </cell>
          <cell r="AJ614" t="str">
            <v>08</v>
          </cell>
        </row>
        <row r="615">
          <cell r="AA615" t="str">
            <v>Aaa</v>
          </cell>
          <cell r="AB615">
            <v>37120</v>
          </cell>
          <cell r="AC615">
            <v>2001</v>
          </cell>
          <cell r="AD615" t="str">
            <v>St2</v>
          </cell>
          <cell r="AE615" t="str">
            <v>Qd2</v>
          </cell>
          <cell r="AF615" t="str">
            <v>Tr3</v>
          </cell>
          <cell r="AG615" t="str">
            <v>Tr3-2001</v>
          </cell>
          <cell r="AH615" t="str">
            <v>2001-Tr3</v>
          </cell>
          <cell r="AI615">
            <v>8</v>
          </cell>
          <cell r="AJ615" t="str">
            <v>08</v>
          </cell>
        </row>
        <row r="616">
          <cell r="AA616" t="str">
            <v>Aaa</v>
          </cell>
          <cell r="AB616">
            <v>37121</v>
          </cell>
          <cell r="AC616">
            <v>2001</v>
          </cell>
          <cell r="AD616" t="str">
            <v>St2</v>
          </cell>
          <cell r="AE616" t="str">
            <v>Qd2</v>
          </cell>
          <cell r="AF616" t="str">
            <v>Tr3</v>
          </cell>
          <cell r="AG616" t="str">
            <v>Tr3-2001</v>
          </cell>
          <cell r="AH616" t="str">
            <v>2001-Tr3</v>
          </cell>
          <cell r="AI616">
            <v>8</v>
          </cell>
          <cell r="AJ616" t="str">
            <v>08</v>
          </cell>
        </row>
        <row r="617">
          <cell r="AA617" t="str">
            <v>Aaa</v>
          </cell>
          <cell r="AB617">
            <v>37122</v>
          </cell>
          <cell r="AC617">
            <v>2001</v>
          </cell>
          <cell r="AD617" t="str">
            <v>St2</v>
          </cell>
          <cell r="AE617" t="str">
            <v>Qd2</v>
          </cell>
          <cell r="AF617" t="str">
            <v>Tr3</v>
          </cell>
          <cell r="AG617" t="str">
            <v>Tr3-2001</v>
          </cell>
          <cell r="AH617" t="str">
            <v>2001-Tr3</v>
          </cell>
          <cell r="AI617">
            <v>8</v>
          </cell>
          <cell r="AJ617" t="str">
            <v>08</v>
          </cell>
        </row>
        <row r="618">
          <cell r="AA618" t="str">
            <v>Aaa</v>
          </cell>
          <cell r="AB618">
            <v>37123</v>
          </cell>
          <cell r="AC618">
            <v>2001</v>
          </cell>
          <cell r="AD618" t="str">
            <v>St2</v>
          </cell>
          <cell r="AE618" t="str">
            <v>Qd2</v>
          </cell>
          <cell r="AF618" t="str">
            <v>Tr3</v>
          </cell>
          <cell r="AG618" t="str">
            <v>Tr3-2001</v>
          </cell>
          <cell r="AH618" t="str">
            <v>2001-Tr3</v>
          </cell>
          <cell r="AI618">
            <v>8</v>
          </cell>
          <cell r="AJ618" t="str">
            <v>08</v>
          </cell>
        </row>
        <row r="619">
          <cell r="AA619" t="str">
            <v>Aaa</v>
          </cell>
          <cell r="AB619">
            <v>37124</v>
          </cell>
          <cell r="AC619">
            <v>2001</v>
          </cell>
          <cell r="AD619" t="str">
            <v>St2</v>
          </cell>
          <cell r="AE619" t="str">
            <v>Qd2</v>
          </cell>
          <cell r="AF619" t="str">
            <v>Tr3</v>
          </cell>
          <cell r="AG619" t="str">
            <v>Tr3-2001</v>
          </cell>
          <cell r="AH619" t="str">
            <v>2001-Tr3</v>
          </cell>
          <cell r="AI619">
            <v>8</v>
          </cell>
          <cell r="AJ619" t="str">
            <v>08</v>
          </cell>
        </row>
        <row r="620">
          <cell r="AA620" t="str">
            <v>Aaa</v>
          </cell>
          <cell r="AB620">
            <v>37125</v>
          </cell>
          <cell r="AC620">
            <v>2001</v>
          </cell>
          <cell r="AD620" t="str">
            <v>St2</v>
          </cell>
          <cell r="AE620" t="str">
            <v>Qd2</v>
          </cell>
          <cell r="AF620" t="str">
            <v>Tr3</v>
          </cell>
          <cell r="AG620" t="str">
            <v>Tr3-2001</v>
          </cell>
          <cell r="AH620" t="str">
            <v>2001-Tr3</v>
          </cell>
          <cell r="AI620">
            <v>8</v>
          </cell>
          <cell r="AJ620" t="str">
            <v>08</v>
          </cell>
        </row>
        <row r="621">
          <cell r="AA621" t="str">
            <v>Aaa</v>
          </cell>
          <cell r="AB621">
            <v>37126</v>
          </cell>
          <cell r="AC621">
            <v>2001</v>
          </cell>
          <cell r="AD621" t="str">
            <v>St2</v>
          </cell>
          <cell r="AE621" t="str">
            <v>Qd2</v>
          </cell>
          <cell r="AF621" t="str">
            <v>Tr3</v>
          </cell>
          <cell r="AG621" t="str">
            <v>Tr3-2001</v>
          </cell>
          <cell r="AH621" t="str">
            <v>2001-Tr3</v>
          </cell>
          <cell r="AI621">
            <v>8</v>
          </cell>
          <cell r="AJ621" t="str">
            <v>08</v>
          </cell>
        </row>
        <row r="622">
          <cell r="AA622" t="str">
            <v>Aaa</v>
          </cell>
          <cell r="AB622">
            <v>37127</v>
          </cell>
          <cell r="AC622">
            <v>2001</v>
          </cell>
          <cell r="AD622" t="str">
            <v>St2</v>
          </cell>
          <cell r="AE622" t="str">
            <v>Qd2</v>
          </cell>
          <cell r="AF622" t="str">
            <v>Tr3</v>
          </cell>
          <cell r="AG622" t="str">
            <v>Tr3-2001</v>
          </cell>
          <cell r="AH622" t="str">
            <v>2001-Tr3</v>
          </cell>
          <cell r="AI622">
            <v>8</v>
          </cell>
          <cell r="AJ622" t="str">
            <v>08</v>
          </cell>
        </row>
        <row r="623">
          <cell r="AA623" t="str">
            <v>Aaa</v>
          </cell>
          <cell r="AB623">
            <v>37128</v>
          </cell>
          <cell r="AC623">
            <v>2001</v>
          </cell>
          <cell r="AD623" t="str">
            <v>St2</v>
          </cell>
          <cell r="AE623" t="str">
            <v>Qd2</v>
          </cell>
          <cell r="AF623" t="str">
            <v>Tr3</v>
          </cell>
          <cell r="AG623" t="str">
            <v>Tr3-2001</v>
          </cell>
          <cell r="AH623" t="str">
            <v>2001-Tr3</v>
          </cell>
          <cell r="AI623">
            <v>8</v>
          </cell>
          <cell r="AJ623" t="str">
            <v>08</v>
          </cell>
        </row>
        <row r="624">
          <cell r="AA624" t="str">
            <v>Aaa</v>
          </cell>
          <cell r="AB624">
            <v>37129</v>
          </cell>
          <cell r="AC624">
            <v>2001</v>
          </cell>
          <cell r="AD624" t="str">
            <v>St2</v>
          </cell>
          <cell r="AE624" t="str">
            <v>Qd2</v>
          </cell>
          <cell r="AF624" t="str">
            <v>Tr3</v>
          </cell>
          <cell r="AG624" t="str">
            <v>Tr3-2001</v>
          </cell>
          <cell r="AH624" t="str">
            <v>2001-Tr3</v>
          </cell>
          <cell r="AI624">
            <v>8</v>
          </cell>
          <cell r="AJ624" t="str">
            <v>08</v>
          </cell>
        </row>
        <row r="625">
          <cell r="AA625" t="str">
            <v>Aaa</v>
          </cell>
          <cell r="AB625">
            <v>37130</v>
          </cell>
          <cell r="AC625">
            <v>2001</v>
          </cell>
          <cell r="AD625" t="str">
            <v>St2</v>
          </cell>
          <cell r="AE625" t="str">
            <v>Qd2</v>
          </cell>
          <cell r="AF625" t="str">
            <v>Tr3</v>
          </cell>
          <cell r="AG625" t="str">
            <v>Tr3-2001</v>
          </cell>
          <cell r="AH625" t="str">
            <v>2001-Tr3</v>
          </cell>
          <cell r="AI625">
            <v>8</v>
          </cell>
          <cell r="AJ625" t="str">
            <v>08</v>
          </cell>
        </row>
        <row r="626">
          <cell r="AA626" t="str">
            <v>Aaa</v>
          </cell>
          <cell r="AB626">
            <v>37131</v>
          </cell>
          <cell r="AC626">
            <v>2001</v>
          </cell>
          <cell r="AD626" t="str">
            <v>St2</v>
          </cell>
          <cell r="AE626" t="str">
            <v>Qd2</v>
          </cell>
          <cell r="AF626" t="str">
            <v>Tr3</v>
          </cell>
          <cell r="AG626" t="str">
            <v>Tr3-2001</v>
          </cell>
          <cell r="AH626" t="str">
            <v>2001-Tr3</v>
          </cell>
          <cell r="AI626">
            <v>8</v>
          </cell>
          <cell r="AJ626" t="str">
            <v>08</v>
          </cell>
        </row>
        <row r="627">
          <cell r="AA627" t="str">
            <v>Aaa</v>
          </cell>
          <cell r="AB627">
            <v>37132</v>
          </cell>
          <cell r="AC627">
            <v>2001</v>
          </cell>
          <cell r="AD627" t="str">
            <v>St2</v>
          </cell>
          <cell r="AE627" t="str">
            <v>Qd2</v>
          </cell>
          <cell r="AF627" t="str">
            <v>Tr3</v>
          </cell>
          <cell r="AG627" t="str">
            <v>Tr3-2001</v>
          </cell>
          <cell r="AH627" t="str">
            <v>2001-Tr3</v>
          </cell>
          <cell r="AI627">
            <v>8</v>
          </cell>
          <cell r="AJ627" t="str">
            <v>08</v>
          </cell>
        </row>
        <row r="628">
          <cell r="AA628" t="str">
            <v>Aaa</v>
          </cell>
          <cell r="AB628">
            <v>37133</v>
          </cell>
          <cell r="AC628">
            <v>2001</v>
          </cell>
          <cell r="AD628" t="str">
            <v>St2</v>
          </cell>
          <cell r="AE628" t="str">
            <v>Qd2</v>
          </cell>
          <cell r="AF628" t="str">
            <v>Tr3</v>
          </cell>
          <cell r="AG628" t="str">
            <v>Tr3-2001</v>
          </cell>
          <cell r="AH628" t="str">
            <v>2001-Tr3</v>
          </cell>
          <cell r="AI628">
            <v>8</v>
          </cell>
          <cell r="AJ628" t="str">
            <v>08</v>
          </cell>
        </row>
        <row r="629">
          <cell r="AA629" t="str">
            <v>Aaa</v>
          </cell>
          <cell r="AB629">
            <v>37134</v>
          </cell>
          <cell r="AC629">
            <v>2001</v>
          </cell>
          <cell r="AD629" t="str">
            <v>St2</v>
          </cell>
          <cell r="AE629" t="str">
            <v>Qd2</v>
          </cell>
          <cell r="AF629" t="str">
            <v>Tr3</v>
          </cell>
          <cell r="AG629" t="str">
            <v>Tr3-2001</v>
          </cell>
          <cell r="AH629" t="str">
            <v>2001-Tr3</v>
          </cell>
          <cell r="AI629">
            <v>8</v>
          </cell>
          <cell r="AJ629" t="str">
            <v>08</v>
          </cell>
        </row>
        <row r="630">
          <cell r="AA630" t="str">
            <v>Aaa</v>
          </cell>
          <cell r="AB630">
            <v>37135</v>
          </cell>
          <cell r="AC630">
            <v>2001</v>
          </cell>
          <cell r="AD630" t="str">
            <v>St2</v>
          </cell>
          <cell r="AE630" t="str">
            <v>Qd3</v>
          </cell>
          <cell r="AF630" t="str">
            <v>Tr3</v>
          </cell>
          <cell r="AG630" t="str">
            <v>Tr3-2001</v>
          </cell>
          <cell r="AH630" t="str">
            <v>2001-Tr3</v>
          </cell>
          <cell r="AI630">
            <v>9</v>
          </cell>
          <cell r="AJ630" t="str">
            <v>09</v>
          </cell>
        </row>
        <row r="631">
          <cell r="AA631" t="str">
            <v>Aaa</v>
          </cell>
          <cell r="AB631">
            <v>37136</v>
          </cell>
          <cell r="AC631">
            <v>2001</v>
          </cell>
          <cell r="AD631" t="str">
            <v>St2</v>
          </cell>
          <cell r="AE631" t="str">
            <v>Qd3</v>
          </cell>
          <cell r="AF631" t="str">
            <v>Tr3</v>
          </cell>
          <cell r="AG631" t="str">
            <v>Tr3-2001</v>
          </cell>
          <cell r="AH631" t="str">
            <v>2001-Tr3</v>
          </cell>
          <cell r="AI631">
            <v>9</v>
          </cell>
          <cell r="AJ631" t="str">
            <v>09</v>
          </cell>
        </row>
        <row r="632">
          <cell r="AA632" t="str">
            <v>Aaa</v>
          </cell>
          <cell r="AB632">
            <v>37137</v>
          </cell>
          <cell r="AC632">
            <v>2001</v>
          </cell>
          <cell r="AD632" t="str">
            <v>St2</v>
          </cell>
          <cell r="AE632" t="str">
            <v>Qd3</v>
          </cell>
          <cell r="AF632" t="str">
            <v>Tr3</v>
          </cell>
          <cell r="AG632" t="str">
            <v>Tr3-2001</v>
          </cell>
          <cell r="AH632" t="str">
            <v>2001-Tr3</v>
          </cell>
          <cell r="AI632">
            <v>9</v>
          </cell>
          <cell r="AJ632" t="str">
            <v>09</v>
          </cell>
        </row>
        <row r="633">
          <cell r="AA633" t="str">
            <v>Aaa</v>
          </cell>
          <cell r="AB633">
            <v>37138</v>
          </cell>
          <cell r="AC633">
            <v>2001</v>
          </cell>
          <cell r="AD633" t="str">
            <v>St2</v>
          </cell>
          <cell r="AE633" t="str">
            <v>Qd3</v>
          </cell>
          <cell r="AF633" t="str">
            <v>Tr3</v>
          </cell>
          <cell r="AG633" t="str">
            <v>Tr3-2001</v>
          </cell>
          <cell r="AH633" t="str">
            <v>2001-Tr3</v>
          </cell>
          <cell r="AI633">
            <v>9</v>
          </cell>
          <cell r="AJ633" t="str">
            <v>09</v>
          </cell>
        </row>
        <row r="634">
          <cell r="AA634" t="str">
            <v>Aaa</v>
          </cell>
          <cell r="AB634">
            <v>37139</v>
          </cell>
          <cell r="AC634">
            <v>2001</v>
          </cell>
          <cell r="AD634" t="str">
            <v>St2</v>
          </cell>
          <cell r="AE634" t="str">
            <v>Qd3</v>
          </cell>
          <cell r="AF634" t="str">
            <v>Tr3</v>
          </cell>
          <cell r="AG634" t="str">
            <v>Tr3-2001</v>
          </cell>
          <cell r="AH634" t="str">
            <v>2001-Tr3</v>
          </cell>
          <cell r="AI634">
            <v>9</v>
          </cell>
          <cell r="AJ634" t="str">
            <v>09</v>
          </cell>
        </row>
        <row r="635">
          <cell r="AA635" t="str">
            <v>Aaa</v>
          </cell>
          <cell r="AB635">
            <v>37140</v>
          </cell>
          <cell r="AC635">
            <v>2001</v>
          </cell>
          <cell r="AD635" t="str">
            <v>St2</v>
          </cell>
          <cell r="AE635" t="str">
            <v>Qd3</v>
          </cell>
          <cell r="AF635" t="str">
            <v>Tr3</v>
          </cell>
          <cell r="AG635" t="str">
            <v>Tr3-2001</v>
          </cell>
          <cell r="AH635" t="str">
            <v>2001-Tr3</v>
          </cell>
          <cell r="AI635">
            <v>9</v>
          </cell>
          <cell r="AJ635" t="str">
            <v>09</v>
          </cell>
        </row>
        <row r="636">
          <cell r="AA636" t="str">
            <v>Aaa</v>
          </cell>
          <cell r="AB636">
            <v>37141</v>
          </cell>
          <cell r="AC636">
            <v>2001</v>
          </cell>
          <cell r="AD636" t="str">
            <v>St2</v>
          </cell>
          <cell r="AE636" t="str">
            <v>Qd3</v>
          </cell>
          <cell r="AF636" t="str">
            <v>Tr3</v>
          </cell>
          <cell r="AG636" t="str">
            <v>Tr3-2001</v>
          </cell>
          <cell r="AH636" t="str">
            <v>2001-Tr3</v>
          </cell>
          <cell r="AI636">
            <v>9</v>
          </cell>
          <cell r="AJ636" t="str">
            <v>09</v>
          </cell>
        </row>
        <row r="637">
          <cell r="AA637" t="str">
            <v>Aaa</v>
          </cell>
          <cell r="AB637">
            <v>37142</v>
          </cell>
          <cell r="AC637">
            <v>2001</v>
          </cell>
          <cell r="AD637" t="str">
            <v>St2</v>
          </cell>
          <cell r="AE637" t="str">
            <v>Qd3</v>
          </cell>
          <cell r="AF637" t="str">
            <v>Tr3</v>
          </cell>
          <cell r="AG637" t="str">
            <v>Tr3-2001</v>
          </cell>
          <cell r="AH637" t="str">
            <v>2001-Tr3</v>
          </cell>
          <cell r="AI637">
            <v>9</v>
          </cell>
          <cell r="AJ637" t="str">
            <v>09</v>
          </cell>
        </row>
        <row r="638">
          <cell r="AA638" t="str">
            <v>Aaa</v>
          </cell>
          <cell r="AB638">
            <v>37143</v>
          </cell>
          <cell r="AC638">
            <v>2001</v>
          </cell>
          <cell r="AD638" t="str">
            <v>St2</v>
          </cell>
          <cell r="AE638" t="str">
            <v>Qd3</v>
          </cell>
          <cell r="AF638" t="str">
            <v>Tr3</v>
          </cell>
          <cell r="AG638" t="str">
            <v>Tr3-2001</v>
          </cell>
          <cell r="AH638" t="str">
            <v>2001-Tr3</v>
          </cell>
          <cell r="AI638">
            <v>9</v>
          </cell>
          <cell r="AJ638" t="str">
            <v>09</v>
          </cell>
        </row>
        <row r="639">
          <cell r="AA639" t="str">
            <v>Aaa</v>
          </cell>
          <cell r="AB639">
            <v>37144</v>
          </cell>
          <cell r="AC639">
            <v>2001</v>
          </cell>
          <cell r="AD639" t="str">
            <v>St2</v>
          </cell>
          <cell r="AE639" t="str">
            <v>Qd3</v>
          </cell>
          <cell r="AF639" t="str">
            <v>Tr3</v>
          </cell>
          <cell r="AG639" t="str">
            <v>Tr3-2001</v>
          </cell>
          <cell r="AH639" t="str">
            <v>2001-Tr3</v>
          </cell>
          <cell r="AI639">
            <v>9</v>
          </cell>
          <cell r="AJ639" t="str">
            <v>09</v>
          </cell>
        </row>
        <row r="640">
          <cell r="AA640" t="str">
            <v>Aaa</v>
          </cell>
          <cell r="AB640">
            <v>37145</v>
          </cell>
          <cell r="AC640">
            <v>2001</v>
          </cell>
          <cell r="AD640" t="str">
            <v>St2</v>
          </cell>
          <cell r="AE640" t="str">
            <v>Qd3</v>
          </cell>
          <cell r="AF640" t="str">
            <v>Tr3</v>
          </cell>
          <cell r="AG640" t="str">
            <v>Tr3-2001</v>
          </cell>
          <cell r="AH640" t="str">
            <v>2001-Tr3</v>
          </cell>
          <cell r="AI640">
            <v>9</v>
          </cell>
          <cell r="AJ640" t="str">
            <v>09</v>
          </cell>
        </row>
        <row r="641">
          <cell r="AA641" t="str">
            <v>Aaa</v>
          </cell>
          <cell r="AB641">
            <v>37146</v>
          </cell>
          <cell r="AC641">
            <v>2001</v>
          </cell>
          <cell r="AD641" t="str">
            <v>St2</v>
          </cell>
          <cell r="AE641" t="str">
            <v>Qd3</v>
          </cell>
          <cell r="AF641" t="str">
            <v>Tr3</v>
          </cell>
          <cell r="AG641" t="str">
            <v>Tr3-2001</v>
          </cell>
          <cell r="AH641" t="str">
            <v>2001-Tr3</v>
          </cell>
          <cell r="AI641">
            <v>9</v>
          </cell>
          <cell r="AJ641" t="str">
            <v>09</v>
          </cell>
        </row>
        <row r="642">
          <cell r="AA642" t="str">
            <v>Aaa</v>
          </cell>
          <cell r="AB642">
            <v>37147</v>
          </cell>
          <cell r="AC642">
            <v>2001</v>
          </cell>
          <cell r="AD642" t="str">
            <v>St2</v>
          </cell>
          <cell r="AE642" t="str">
            <v>Qd3</v>
          </cell>
          <cell r="AF642" t="str">
            <v>Tr3</v>
          </cell>
          <cell r="AG642" t="str">
            <v>Tr3-2001</v>
          </cell>
          <cell r="AH642" t="str">
            <v>2001-Tr3</v>
          </cell>
          <cell r="AI642">
            <v>9</v>
          </cell>
          <cell r="AJ642" t="str">
            <v>09</v>
          </cell>
        </row>
        <row r="643">
          <cell r="AA643" t="str">
            <v>Aaa</v>
          </cell>
          <cell r="AB643">
            <v>37148</v>
          </cell>
          <cell r="AC643">
            <v>2001</v>
          </cell>
          <cell r="AD643" t="str">
            <v>St2</v>
          </cell>
          <cell r="AE643" t="str">
            <v>Qd3</v>
          </cell>
          <cell r="AF643" t="str">
            <v>Tr3</v>
          </cell>
          <cell r="AG643" t="str">
            <v>Tr3-2001</v>
          </cell>
          <cell r="AH643" t="str">
            <v>2001-Tr3</v>
          </cell>
          <cell r="AI643">
            <v>9</v>
          </cell>
          <cell r="AJ643" t="str">
            <v>09</v>
          </cell>
        </row>
        <row r="644">
          <cell r="AA644" t="str">
            <v>Aaa</v>
          </cell>
          <cell r="AB644">
            <v>37149</v>
          </cell>
          <cell r="AC644">
            <v>2001</v>
          </cell>
          <cell r="AD644" t="str">
            <v>St2</v>
          </cell>
          <cell r="AE644" t="str">
            <v>Qd3</v>
          </cell>
          <cell r="AF644" t="str">
            <v>Tr3</v>
          </cell>
          <cell r="AG644" t="str">
            <v>Tr3-2001</v>
          </cell>
          <cell r="AH644" t="str">
            <v>2001-Tr3</v>
          </cell>
          <cell r="AI644">
            <v>9</v>
          </cell>
          <cell r="AJ644" t="str">
            <v>09</v>
          </cell>
        </row>
        <row r="645">
          <cell r="AA645" t="str">
            <v>Aaa</v>
          </cell>
          <cell r="AB645">
            <v>37150</v>
          </cell>
          <cell r="AC645">
            <v>2001</v>
          </cell>
          <cell r="AD645" t="str">
            <v>St2</v>
          </cell>
          <cell r="AE645" t="str">
            <v>Qd3</v>
          </cell>
          <cell r="AF645" t="str">
            <v>Tr3</v>
          </cell>
          <cell r="AG645" t="str">
            <v>Tr3-2001</v>
          </cell>
          <cell r="AH645" t="str">
            <v>2001-Tr3</v>
          </cell>
          <cell r="AI645">
            <v>9</v>
          </cell>
          <cell r="AJ645" t="str">
            <v>09</v>
          </cell>
        </row>
        <row r="646">
          <cell r="AA646" t="str">
            <v>Aaa</v>
          </cell>
          <cell r="AB646">
            <v>37151</v>
          </cell>
          <cell r="AC646">
            <v>2001</v>
          </cell>
          <cell r="AD646" t="str">
            <v>St2</v>
          </cell>
          <cell r="AE646" t="str">
            <v>Qd3</v>
          </cell>
          <cell r="AF646" t="str">
            <v>Tr3</v>
          </cell>
          <cell r="AG646" t="str">
            <v>Tr3-2001</v>
          </cell>
          <cell r="AH646" t="str">
            <v>2001-Tr3</v>
          </cell>
          <cell r="AI646">
            <v>9</v>
          </cell>
          <cell r="AJ646" t="str">
            <v>09</v>
          </cell>
        </row>
        <row r="647">
          <cell r="AA647" t="str">
            <v>Aaa</v>
          </cell>
          <cell r="AB647">
            <v>37152</v>
          </cell>
          <cell r="AC647">
            <v>2001</v>
          </cell>
          <cell r="AD647" t="str">
            <v>St2</v>
          </cell>
          <cell r="AE647" t="str">
            <v>Qd3</v>
          </cell>
          <cell r="AF647" t="str">
            <v>Tr3</v>
          </cell>
          <cell r="AG647" t="str">
            <v>Tr3-2001</v>
          </cell>
          <cell r="AH647" t="str">
            <v>2001-Tr3</v>
          </cell>
          <cell r="AI647">
            <v>9</v>
          </cell>
          <cell r="AJ647" t="str">
            <v>09</v>
          </cell>
        </row>
        <row r="648">
          <cell r="AA648" t="str">
            <v>Aaa</v>
          </cell>
          <cell r="AB648">
            <v>37153</v>
          </cell>
          <cell r="AC648">
            <v>2001</v>
          </cell>
          <cell r="AD648" t="str">
            <v>St2</v>
          </cell>
          <cell r="AE648" t="str">
            <v>Qd3</v>
          </cell>
          <cell r="AF648" t="str">
            <v>Tr3</v>
          </cell>
          <cell r="AG648" t="str">
            <v>Tr3-2001</v>
          </cell>
          <cell r="AH648" t="str">
            <v>2001-Tr3</v>
          </cell>
          <cell r="AI648">
            <v>9</v>
          </cell>
          <cell r="AJ648" t="str">
            <v>09</v>
          </cell>
        </row>
        <row r="649">
          <cell r="AA649" t="str">
            <v>Aaa</v>
          </cell>
          <cell r="AB649">
            <v>37154</v>
          </cell>
          <cell r="AC649">
            <v>2001</v>
          </cell>
          <cell r="AD649" t="str">
            <v>St2</v>
          </cell>
          <cell r="AE649" t="str">
            <v>Qd3</v>
          </cell>
          <cell r="AF649" t="str">
            <v>Tr3</v>
          </cell>
          <cell r="AG649" t="str">
            <v>Tr3-2001</v>
          </cell>
          <cell r="AH649" t="str">
            <v>2001-Tr3</v>
          </cell>
          <cell r="AI649">
            <v>9</v>
          </cell>
          <cell r="AJ649" t="str">
            <v>09</v>
          </cell>
        </row>
        <row r="650">
          <cell r="AA650" t="str">
            <v>Aaa</v>
          </cell>
          <cell r="AB650">
            <v>37155</v>
          </cell>
          <cell r="AC650">
            <v>2001</v>
          </cell>
          <cell r="AD650" t="str">
            <v>St2</v>
          </cell>
          <cell r="AE650" t="str">
            <v>Qd3</v>
          </cell>
          <cell r="AF650" t="str">
            <v>Tr3</v>
          </cell>
          <cell r="AG650" t="str">
            <v>Tr3-2001</v>
          </cell>
          <cell r="AH650" t="str">
            <v>2001-Tr3</v>
          </cell>
          <cell r="AI650">
            <v>9</v>
          </cell>
          <cell r="AJ650" t="str">
            <v>09</v>
          </cell>
        </row>
        <row r="651">
          <cell r="AA651" t="str">
            <v>Aaa</v>
          </cell>
          <cell r="AB651">
            <v>37156</v>
          </cell>
          <cell r="AC651">
            <v>2001</v>
          </cell>
          <cell r="AD651" t="str">
            <v>St2</v>
          </cell>
          <cell r="AE651" t="str">
            <v>Qd3</v>
          </cell>
          <cell r="AF651" t="str">
            <v>Tr3</v>
          </cell>
          <cell r="AG651" t="str">
            <v>Tr3-2001</v>
          </cell>
          <cell r="AH651" t="str">
            <v>2001-Tr3</v>
          </cell>
          <cell r="AI651">
            <v>9</v>
          </cell>
          <cell r="AJ651" t="str">
            <v>09</v>
          </cell>
        </row>
        <row r="652">
          <cell r="AA652" t="str">
            <v>Aaa</v>
          </cell>
          <cell r="AB652">
            <v>37157</v>
          </cell>
          <cell r="AC652">
            <v>2001</v>
          </cell>
          <cell r="AD652" t="str">
            <v>St2</v>
          </cell>
          <cell r="AE652" t="str">
            <v>Qd3</v>
          </cell>
          <cell r="AF652" t="str">
            <v>Tr3</v>
          </cell>
          <cell r="AG652" t="str">
            <v>Tr3-2001</v>
          </cell>
          <cell r="AH652" t="str">
            <v>2001-Tr3</v>
          </cell>
          <cell r="AI652">
            <v>9</v>
          </cell>
          <cell r="AJ652" t="str">
            <v>09</v>
          </cell>
        </row>
        <row r="653">
          <cell r="AA653" t="str">
            <v>Aaa</v>
          </cell>
          <cell r="AB653">
            <v>37158</v>
          </cell>
          <cell r="AC653">
            <v>2001</v>
          </cell>
          <cell r="AD653" t="str">
            <v>St2</v>
          </cell>
          <cell r="AE653" t="str">
            <v>Qd3</v>
          </cell>
          <cell r="AF653" t="str">
            <v>Tr3</v>
          </cell>
          <cell r="AG653" t="str">
            <v>Tr3-2001</v>
          </cell>
          <cell r="AH653" t="str">
            <v>2001-Tr3</v>
          </cell>
          <cell r="AI653">
            <v>9</v>
          </cell>
          <cell r="AJ653" t="str">
            <v>09</v>
          </cell>
        </row>
        <row r="654">
          <cell r="AA654" t="str">
            <v>Aaa</v>
          </cell>
          <cell r="AB654">
            <v>37159</v>
          </cell>
          <cell r="AC654">
            <v>2001</v>
          </cell>
          <cell r="AD654" t="str">
            <v>St2</v>
          </cell>
          <cell r="AE654" t="str">
            <v>Qd3</v>
          </cell>
          <cell r="AF654" t="str">
            <v>Tr3</v>
          </cell>
          <cell r="AG654" t="str">
            <v>Tr3-2001</v>
          </cell>
          <cell r="AH654" t="str">
            <v>2001-Tr3</v>
          </cell>
          <cell r="AI654">
            <v>9</v>
          </cell>
          <cell r="AJ654" t="str">
            <v>09</v>
          </cell>
        </row>
        <row r="655">
          <cell r="AA655" t="str">
            <v>Aaa</v>
          </cell>
          <cell r="AB655">
            <v>37160</v>
          </cell>
          <cell r="AC655">
            <v>2001</v>
          </cell>
          <cell r="AD655" t="str">
            <v>St2</v>
          </cell>
          <cell r="AE655" t="str">
            <v>Qd3</v>
          </cell>
          <cell r="AF655" t="str">
            <v>Tr3</v>
          </cell>
          <cell r="AG655" t="str">
            <v>Tr3-2001</v>
          </cell>
          <cell r="AH655" t="str">
            <v>2001-Tr3</v>
          </cell>
          <cell r="AI655">
            <v>9</v>
          </cell>
          <cell r="AJ655" t="str">
            <v>09</v>
          </cell>
        </row>
        <row r="656">
          <cell r="AA656" t="str">
            <v>Aaa</v>
          </cell>
          <cell r="AB656">
            <v>37161</v>
          </cell>
          <cell r="AC656">
            <v>2001</v>
          </cell>
          <cell r="AD656" t="str">
            <v>St2</v>
          </cell>
          <cell r="AE656" t="str">
            <v>Qd3</v>
          </cell>
          <cell r="AF656" t="str">
            <v>Tr3</v>
          </cell>
          <cell r="AG656" t="str">
            <v>Tr3-2001</v>
          </cell>
          <cell r="AH656" t="str">
            <v>2001-Tr3</v>
          </cell>
          <cell r="AI656">
            <v>9</v>
          </cell>
          <cell r="AJ656" t="str">
            <v>09</v>
          </cell>
        </row>
        <row r="657">
          <cell r="AA657" t="str">
            <v>Aaa</v>
          </cell>
          <cell r="AB657">
            <v>37162</v>
          </cell>
          <cell r="AC657">
            <v>2001</v>
          </cell>
          <cell r="AD657" t="str">
            <v>St2</v>
          </cell>
          <cell r="AE657" t="str">
            <v>Qd3</v>
          </cell>
          <cell r="AF657" t="str">
            <v>Tr3</v>
          </cell>
          <cell r="AG657" t="str">
            <v>Tr3-2001</v>
          </cell>
          <cell r="AH657" t="str">
            <v>2001-Tr3</v>
          </cell>
          <cell r="AI657">
            <v>9</v>
          </cell>
          <cell r="AJ657" t="str">
            <v>09</v>
          </cell>
        </row>
        <row r="658">
          <cell r="AA658" t="str">
            <v>Aaa</v>
          </cell>
          <cell r="AB658">
            <v>37163</v>
          </cell>
          <cell r="AC658">
            <v>2001</v>
          </cell>
          <cell r="AD658" t="str">
            <v>St2</v>
          </cell>
          <cell r="AE658" t="str">
            <v>Qd3</v>
          </cell>
          <cell r="AF658" t="str">
            <v>Tr3</v>
          </cell>
          <cell r="AG658" t="str">
            <v>Tr3-2001</v>
          </cell>
          <cell r="AH658" t="str">
            <v>2001-Tr3</v>
          </cell>
          <cell r="AI658">
            <v>9</v>
          </cell>
          <cell r="AJ658" t="str">
            <v>09</v>
          </cell>
        </row>
        <row r="659">
          <cell r="AA659" t="str">
            <v>Aaa</v>
          </cell>
          <cell r="AB659">
            <v>37164</v>
          </cell>
          <cell r="AC659">
            <v>2001</v>
          </cell>
          <cell r="AD659" t="str">
            <v>St2</v>
          </cell>
          <cell r="AE659" t="str">
            <v>Qd3</v>
          </cell>
          <cell r="AF659" t="str">
            <v>Tr3</v>
          </cell>
          <cell r="AG659" t="str">
            <v>Tr3-2001</v>
          </cell>
          <cell r="AH659" t="str">
            <v>2001-Tr3</v>
          </cell>
          <cell r="AI659">
            <v>9</v>
          </cell>
          <cell r="AJ659" t="str">
            <v>09</v>
          </cell>
        </row>
        <row r="660">
          <cell r="AA660" t="str">
            <v>Aaa</v>
          </cell>
          <cell r="AB660">
            <v>37165</v>
          </cell>
          <cell r="AC660">
            <v>2001</v>
          </cell>
          <cell r="AD660" t="str">
            <v>St2</v>
          </cell>
          <cell r="AE660" t="str">
            <v>Qd3</v>
          </cell>
          <cell r="AF660" t="str">
            <v>Tr4</v>
          </cell>
          <cell r="AG660" t="str">
            <v>Tr4-2001</v>
          </cell>
          <cell r="AH660" t="str">
            <v>2001-Tr4</v>
          </cell>
          <cell r="AI660">
            <v>10</v>
          </cell>
          <cell r="AJ660" t="str">
            <v>10</v>
          </cell>
        </row>
        <row r="661">
          <cell r="AA661" t="str">
            <v>Aaa</v>
          </cell>
          <cell r="AB661">
            <v>37166</v>
          </cell>
          <cell r="AC661">
            <v>2001</v>
          </cell>
          <cell r="AD661" t="str">
            <v>St2</v>
          </cell>
          <cell r="AE661" t="str">
            <v>Qd3</v>
          </cell>
          <cell r="AF661" t="str">
            <v>Tr4</v>
          </cell>
          <cell r="AG661" t="str">
            <v>Tr4-2001</v>
          </cell>
          <cell r="AH661" t="str">
            <v>2001-Tr4</v>
          </cell>
          <cell r="AI661">
            <v>10</v>
          </cell>
          <cell r="AJ661" t="str">
            <v>10</v>
          </cell>
        </row>
        <row r="662">
          <cell r="AA662" t="str">
            <v>Aaa</v>
          </cell>
          <cell r="AB662">
            <v>37167</v>
          </cell>
          <cell r="AC662">
            <v>2001</v>
          </cell>
          <cell r="AD662" t="str">
            <v>St2</v>
          </cell>
          <cell r="AE662" t="str">
            <v>Qd3</v>
          </cell>
          <cell r="AF662" t="str">
            <v>Tr4</v>
          </cell>
          <cell r="AG662" t="str">
            <v>Tr4-2001</v>
          </cell>
          <cell r="AH662" t="str">
            <v>2001-Tr4</v>
          </cell>
          <cell r="AI662">
            <v>10</v>
          </cell>
          <cell r="AJ662" t="str">
            <v>10</v>
          </cell>
        </row>
        <row r="663">
          <cell r="AA663" t="str">
            <v>Aaa</v>
          </cell>
          <cell r="AB663">
            <v>37168</v>
          </cell>
          <cell r="AC663">
            <v>2001</v>
          </cell>
          <cell r="AD663" t="str">
            <v>St2</v>
          </cell>
          <cell r="AE663" t="str">
            <v>Qd3</v>
          </cell>
          <cell r="AF663" t="str">
            <v>Tr4</v>
          </cell>
          <cell r="AG663" t="str">
            <v>Tr4-2001</v>
          </cell>
          <cell r="AH663" t="str">
            <v>2001-Tr4</v>
          </cell>
          <cell r="AI663">
            <v>10</v>
          </cell>
          <cell r="AJ663" t="str">
            <v>10</v>
          </cell>
        </row>
        <row r="664">
          <cell r="AA664" t="str">
            <v>Aaa</v>
          </cell>
          <cell r="AB664">
            <v>37169</v>
          </cell>
          <cell r="AC664">
            <v>2001</v>
          </cell>
          <cell r="AD664" t="str">
            <v>St2</v>
          </cell>
          <cell r="AE664" t="str">
            <v>Qd3</v>
          </cell>
          <cell r="AF664" t="str">
            <v>Tr4</v>
          </cell>
          <cell r="AG664" t="str">
            <v>Tr4-2001</v>
          </cell>
          <cell r="AH664" t="str">
            <v>2001-Tr4</v>
          </cell>
          <cell r="AI664">
            <v>10</v>
          </cell>
          <cell r="AJ664" t="str">
            <v>10</v>
          </cell>
        </row>
        <row r="665">
          <cell r="AA665" t="str">
            <v>Aaa</v>
          </cell>
          <cell r="AB665">
            <v>37170</v>
          </cell>
          <cell r="AC665">
            <v>2001</v>
          </cell>
          <cell r="AD665" t="str">
            <v>St2</v>
          </cell>
          <cell r="AE665" t="str">
            <v>Qd3</v>
          </cell>
          <cell r="AF665" t="str">
            <v>Tr4</v>
          </cell>
          <cell r="AG665" t="str">
            <v>Tr4-2001</v>
          </cell>
          <cell r="AH665" t="str">
            <v>2001-Tr4</v>
          </cell>
          <cell r="AI665">
            <v>10</v>
          </cell>
          <cell r="AJ665" t="str">
            <v>10</v>
          </cell>
        </row>
        <row r="666">
          <cell r="AA666" t="str">
            <v>Aaa</v>
          </cell>
          <cell r="AB666">
            <v>37171</v>
          </cell>
          <cell r="AC666">
            <v>2001</v>
          </cell>
          <cell r="AD666" t="str">
            <v>St2</v>
          </cell>
          <cell r="AE666" t="str">
            <v>Qd3</v>
          </cell>
          <cell r="AF666" t="str">
            <v>Tr4</v>
          </cell>
          <cell r="AG666" t="str">
            <v>Tr4-2001</v>
          </cell>
          <cell r="AH666" t="str">
            <v>2001-Tr4</v>
          </cell>
          <cell r="AI666">
            <v>10</v>
          </cell>
          <cell r="AJ666" t="str">
            <v>10</v>
          </cell>
        </row>
        <row r="667">
          <cell r="AA667" t="str">
            <v>Aaa</v>
          </cell>
          <cell r="AB667">
            <v>37172</v>
          </cell>
          <cell r="AC667">
            <v>2001</v>
          </cell>
          <cell r="AD667" t="str">
            <v>St2</v>
          </cell>
          <cell r="AE667" t="str">
            <v>Qd3</v>
          </cell>
          <cell r="AF667" t="str">
            <v>Tr4</v>
          </cell>
          <cell r="AG667" t="str">
            <v>Tr4-2001</v>
          </cell>
          <cell r="AH667" t="str">
            <v>2001-Tr4</v>
          </cell>
          <cell r="AI667">
            <v>10</v>
          </cell>
          <cell r="AJ667" t="str">
            <v>10</v>
          </cell>
        </row>
        <row r="668">
          <cell r="AA668" t="str">
            <v>Aaa</v>
          </cell>
          <cell r="AB668">
            <v>37173</v>
          </cell>
          <cell r="AC668">
            <v>2001</v>
          </cell>
          <cell r="AD668" t="str">
            <v>St2</v>
          </cell>
          <cell r="AE668" t="str">
            <v>Qd3</v>
          </cell>
          <cell r="AF668" t="str">
            <v>Tr4</v>
          </cell>
          <cell r="AG668" t="str">
            <v>Tr4-2001</v>
          </cell>
          <cell r="AH668" t="str">
            <v>2001-Tr4</v>
          </cell>
          <cell r="AI668">
            <v>10</v>
          </cell>
          <cell r="AJ668" t="str">
            <v>10</v>
          </cell>
        </row>
        <row r="669">
          <cell r="AA669" t="str">
            <v>Aaa</v>
          </cell>
          <cell r="AB669">
            <v>37174</v>
          </cell>
          <cell r="AC669">
            <v>2001</v>
          </cell>
          <cell r="AD669" t="str">
            <v>St2</v>
          </cell>
          <cell r="AE669" t="str">
            <v>Qd3</v>
          </cell>
          <cell r="AF669" t="str">
            <v>Tr4</v>
          </cell>
          <cell r="AG669" t="str">
            <v>Tr4-2001</v>
          </cell>
          <cell r="AH669" t="str">
            <v>2001-Tr4</v>
          </cell>
          <cell r="AI669">
            <v>10</v>
          </cell>
          <cell r="AJ669" t="str">
            <v>10</v>
          </cell>
        </row>
        <row r="670">
          <cell r="AA670" t="str">
            <v>Aaa</v>
          </cell>
          <cell r="AB670">
            <v>37175</v>
          </cell>
          <cell r="AC670">
            <v>2001</v>
          </cell>
          <cell r="AD670" t="str">
            <v>St2</v>
          </cell>
          <cell r="AE670" t="str">
            <v>Qd3</v>
          </cell>
          <cell r="AF670" t="str">
            <v>Tr4</v>
          </cell>
          <cell r="AG670" t="str">
            <v>Tr4-2001</v>
          </cell>
          <cell r="AH670" t="str">
            <v>2001-Tr4</v>
          </cell>
          <cell r="AI670">
            <v>10</v>
          </cell>
          <cell r="AJ670" t="str">
            <v>10</v>
          </cell>
        </row>
        <row r="671">
          <cell r="AA671" t="str">
            <v>Aaa</v>
          </cell>
          <cell r="AB671">
            <v>37176</v>
          </cell>
          <cell r="AC671">
            <v>2001</v>
          </cell>
          <cell r="AD671" t="str">
            <v>St2</v>
          </cell>
          <cell r="AE671" t="str">
            <v>Qd3</v>
          </cell>
          <cell r="AF671" t="str">
            <v>Tr4</v>
          </cell>
          <cell r="AG671" t="str">
            <v>Tr4-2001</v>
          </cell>
          <cell r="AH671" t="str">
            <v>2001-Tr4</v>
          </cell>
          <cell r="AI671">
            <v>10</v>
          </cell>
          <cell r="AJ671" t="str">
            <v>10</v>
          </cell>
        </row>
        <row r="672">
          <cell r="AA672" t="str">
            <v>Aaa</v>
          </cell>
          <cell r="AB672">
            <v>37177</v>
          </cell>
          <cell r="AC672">
            <v>2001</v>
          </cell>
          <cell r="AD672" t="str">
            <v>St2</v>
          </cell>
          <cell r="AE672" t="str">
            <v>Qd3</v>
          </cell>
          <cell r="AF672" t="str">
            <v>Tr4</v>
          </cell>
          <cell r="AG672" t="str">
            <v>Tr4-2001</v>
          </cell>
          <cell r="AH672" t="str">
            <v>2001-Tr4</v>
          </cell>
          <cell r="AI672">
            <v>10</v>
          </cell>
          <cell r="AJ672" t="str">
            <v>10</v>
          </cell>
        </row>
        <row r="673">
          <cell r="AA673" t="str">
            <v>Aaa</v>
          </cell>
          <cell r="AB673">
            <v>37178</v>
          </cell>
          <cell r="AC673">
            <v>2001</v>
          </cell>
          <cell r="AD673" t="str">
            <v>St2</v>
          </cell>
          <cell r="AE673" t="str">
            <v>Qd3</v>
          </cell>
          <cell r="AF673" t="str">
            <v>Tr4</v>
          </cell>
          <cell r="AG673" t="str">
            <v>Tr4-2001</v>
          </cell>
          <cell r="AH673" t="str">
            <v>2001-Tr4</v>
          </cell>
          <cell r="AI673">
            <v>10</v>
          </cell>
          <cell r="AJ673" t="str">
            <v>10</v>
          </cell>
        </row>
        <row r="674">
          <cell r="AA674" t="str">
            <v>Aaa</v>
          </cell>
          <cell r="AB674">
            <v>37179</v>
          </cell>
          <cell r="AC674">
            <v>2001</v>
          </cell>
          <cell r="AD674" t="str">
            <v>St2</v>
          </cell>
          <cell r="AE674" t="str">
            <v>Qd3</v>
          </cell>
          <cell r="AF674" t="str">
            <v>Tr4</v>
          </cell>
          <cell r="AG674" t="str">
            <v>Tr4-2001</v>
          </cell>
          <cell r="AH674" t="str">
            <v>2001-Tr4</v>
          </cell>
          <cell r="AI674">
            <v>10</v>
          </cell>
          <cell r="AJ674" t="str">
            <v>10</v>
          </cell>
        </row>
        <row r="675">
          <cell r="AA675" t="str">
            <v>Aaa</v>
          </cell>
          <cell r="AB675">
            <v>37180</v>
          </cell>
          <cell r="AC675">
            <v>2001</v>
          </cell>
          <cell r="AD675" t="str">
            <v>St2</v>
          </cell>
          <cell r="AE675" t="str">
            <v>Qd3</v>
          </cell>
          <cell r="AF675" t="str">
            <v>Tr4</v>
          </cell>
          <cell r="AG675" t="str">
            <v>Tr4-2001</v>
          </cell>
          <cell r="AH675" t="str">
            <v>2001-Tr4</v>
          </cell>
          <cell r="AI675">
            <v>10</v>
          </cell>
          <cell r="AJ675" t="str">
            <v>10</v>
          </cell>
        </row>
        <row r="676">
          <cell r="AA676" t="str">
            <v>Aaa</v>
          </cell>
          <cell r="AB676">
            <v>37181</v>
          </cell>
          <cell r="AC676">
            <v>2001</v>
          </cell>
          <cell r="AD676" t="str">
            <v>St2</v>
          </cell>
          <cell r="AE676" t="str">
            <v>Qd3</v>
          </cell>
          <cell r="AF676" t="str">
            <v>Tr4</v>
          </cell>
          <cell r="AG676" t="str">
            <v>Tr4-2001</v>
          </cell>
          <cell r="AH676" t="str">
            <v>2001-Tr4</v>
          </cell>
          <cell r="AI676">
            <v>10</v>
          </cell>
          <cell r="AJ676" t="str">
            <v>10</v>
          </cell>
        </row>
        <row r="677">
          <cell r="AA677" t="str">
            <v>Aaa</v>
          </cell>
          <cell r="AB677">
            <v>37182</v>
          </cell>
          <cell r="AC677">
            <v>2001</v>
          </cell>
          <cell r="AD677" t="str">
            <v>St2</v>
          </cell>
          <cell r="AE677" t="str">
            <v>Qd3</v>
          </cell>
          <cell r="AF677" t="str">
            <v>Tr4</v>
          </cell>
          <cell r="AG677" t="str">
            <v>Tr4-2001</v>
          </cell>
          <cell r="AH677" t="str">
            <v>2001-Tr4</v>
          </cell>
          <cell r="AI677">
            <v>10</v>
          </cell>
          <cell r="AJ677" t="str">
            <v>10</v>
          </cell>
        </row>
        <row r="678">
          <cell r="AA678" t="str">
            <v>Aaa</v>
          </cell>
          <cell r="AB678">
            <v>37183</v>
          </cell>
          <cell r="AC678">
            <v>2001</v>
          </cell>
          <cell r="AD678" t="str">
            <v>St2</v>
          </cell>
          <cell r="AE678" t="str">
            <v>Qd3</v>
          </cell>
          <cell r="AF678" t="str">
            <v>Tr4</v>
          </cell>
          <cell r="AG678" t="str">
            <v>Tr4-2001</v>
          </cell>
          <cell r="AH678" t="str">
            <v>2001-Tr4</v>
          </cell>
          <cell r="AI678">
            <v>10</v>
          </cell>
          <cell r="AJ678" t="str">
            <v>10</v>
          </cell>
        </row>
        <row r="679">
          <cell r="AA679" t="str">
            <v>Aaa</v>
          </cell>
          <cell r="AB679">
            <v>37184</v>
          </cell>
          <cell r="AC679">
            <v>2001</v>
          </cell>
          <cell r="AD679" t="str">
            <v>St2</v>
          </cell>
          <cell r="AE679" t="str">
            <v>Qd3</v>
          </cell>
          <cell r="AF679" t="str">
            <v>Tr4</v>
          </cell>
          <cell r="AG679" t="str">
            <v>Tr4-2001</v>
          </cell>
          <cell r="AH679" t="str">
            <v>2001-Tr4</v>
          </cell>
          <cell r="AI679">
            <v>10</v>
          </cell>
          <cell r="AJ679" t="str">
            <v>10</v>
          </cell>
        </row>
        <row r="680">
          <cell r="AA680" t="str">
            <v>Aaa</v>
          </cell>
          <cell r="AB680">
            <v>37185</v>
          </cell>
          <cell r="AC680">
            <v>2001</v>
          </cell>
          <cell r="AD680" t="str">
            <v>St2</v>
          </cell>
          <cell r="AE680" t="str">
            <v>Qd3</v>
          </cell>
          <cell r="AF680" t="str">
            <v>Tr4</v>
          </cell>
          <cell r="AG680" t="str">
            <v>Tr4-2001</v>
          </cell>
          <cell r="AH680" t="str">
            <v>2001-Tr4</v>
          </cell>
          <cell r="AI680">
            <v>10</v>
          </cell>
          <cell r="AJ680" t="str">
            <v>10</v>
          </cell>
        </row>
        <row r="681">
          <cell r="AA681" t="str">
            <v>Aaa</v>
          </cell>
          <cell r="AB681">
            <v>37186</v>
          </cell>
          <cell r="AC681">
            <v>2001</v>
          </cell>
          <cell r="AD681" t="str">
            <v>St2</v>
          </cell>
          <cell r="AE681" t="str">
            <v>Qd3</v>
          </cell>
          <cell r="AF681" t="str">
            <v>Tr4</v>
          </cell>
          <cell r="AG681" t="str">
            <v>Tr4-2001</v>
          </cell>
          <cell r="AH681" t="str">
            <v>2001-Tr4</v>
          </cell>
          <cell r="AI681">
            <v>10</v>
          </cell>
          <cell r="AJ681" t="str">
            <v>10</v>
          </cell>
        </row>
        <row r="682">
          <cell r="AA682" t="str">
            <v>Aaa</v>
          </cell>
          <cell r="AB682">
            <v>37187</v>
          </cell>
          <cell r="AC682">
            <v>2001</v>
          </cell>
          <cell r="AD682" t="str">
            <v>St2</v>
          </cell>
          <cell r="AE682" t="str">
            <v>Qd3</v>
          </cell>
          <cell r="AF682" t="str">
            <v>Tr4</v>
          </cell>
          <cell r="AG682" t="str">
            <v>Tr4-2001</v>
          </cell>
          <cell r="AH682" t="str">
            <v>2001-Tr4</v>
          </cell>
          <cell r="AI682">
            <v>10</v>
          </cell>
          <cell r="AJ682" t="str">
            <v>10</v>
          </cell>
        </row>
        <row r="683">
          <cell r="AA683" t="str">
            <v>Aaa</v>
          </cell>
          <cell r="AB683">
            <v>37188</v>
          </cell>
          <cell r="AC683">
            <v>2001</v>
          </cell>
          <cell r="AD683" t="str">
            <v>St2</v>
          </cell>
          <cell r="AE683" t="str">
            <v>Qd3</v>
          </cell>
          <cell r="AF683" t="str">
            <v>Tr4</v>
          </cell>
          <cell r="AG683" t="str">
            <v>Tr4-2001</v>
          </cell>
          <cell r="AH683" t="str">
            <v>2001-Tr4</v>
          </cell>
          <cell r="AI683">
            <v>10</v>
          </cell>
          <cell r="AJ683" t="str">
            <v>10</v>
          </cell>
        </row>
        <row r="684">
          <cell r="AA684" t="str">
            <v>Aaa</v>
          </cell>
          <cell r="AB684">
            <v>37189</v>
          </cell>
          <cell r="AC684">
            <v>2001</v>
          </cell>
          <cell r="AD684" t="str">
            <v>St2</v>
          </cell>
          <cell r="AE684" t="str">
            <v>Qd3</v>
          </cell>
          <cell r="AF684" t="str">
            <v>Tr4</v>
          </cell>
          <cell r="AG684" t="str">
            <v>Tr4-2001</v>
          </cell>
          <cell r="AH684" t="str">
            <v>2001-Tr4</v>
          </cell>
          <cell r="AI684">
            <v>10</v>
          </cell>
          <cell r="AJ684" t="str">
            <v>10</v>
          </cell>
        </row>
        <row r="685">
          <cell r="AA685" t="str">
            <v>Aaa</v>
          </cell>
          <cell r="AB685">
            <v>37190</v>
          </cell>
          <cell r="AC685">
            <v>2001</v>
          </cell>
          <cell r="AD685" t="str">
            <v>St2</v>
          </cell>
          <cell r="AE685" t="str">
            <v>Qd3</v>
          </cell>
          <cell r="AF685" t="str">
            <v>Tr4</v>
          </cell>
          <cell r="AG685" t="str">
            <v>Tr4-2001</v>
          </cell>
          <cell r="AH685" t="str">
            <v>2001-Tr4</v>
          </cell>
          <cell r="AI685">
            <v>10</v>
          </cell>
          <cell r="AJ685" t="str">
            <v>10</v>
          </cell>
        </row>
        <row r="686">
          <cell r="AA686" t="str">
            <v>Aaa</v>
          </cell>
          <cell r="AB686">
            <v>37191</v>
          </cell>
          <cell r="AC686">
            <v>2001</v>
          </cell>
          <cell r="AD686" t="str">
            <v>St2</v>
          </cell>
          <cell r="AE686" t="str">
            <v>Qd3</v>
          </cell>
          <cell r="AF686" t="str">
            <v>Tr4</v>
          </cell>
          <cell r="AG686" t="str">
            <v>Tr4-2001</v>
          </cell>
          <cell r="AH686" t="str">
            <v>2001-Tr4</v>
          </cell>
          <cell r="AI686">
            <v>10</v>
          </cell>
          <cell r="AJ686" t="str">
            <v>10</v>
          </cell>
        </row>
        <row r="687">
          <cell r="AA687" t="str">
            <v>Aaa</v>
          </cell>
          <cell r="AB687">
            <v>37192</v>
          </cell>
          <cell r="AC687">
            <v>2001</v>
          </cell>
          <cell r="AD687" t="str">
            <v>St2</v>
          </cell>
          <cell r="AE687" t="str">
            <v>Qd3</v>
          </cell>
          <cell r="AF687" t="str">
            <v>Tr4</v>
          </cell>
          <cell r="AG687" t="str">
            <v>Tr4-2001</v>
          </cell>
          <cell r="AH687" t="str">
            <v>2001-Tr4</v>
          </cell>
          <cell r="AI687">
            <v>10</v>
          </cell>
          <cell r="AJ687" t="str">
            <v>10</v>
          </cell>
        </row>
        <row r="688">
          <cell r="AA688" t="str">
            <v>Aaa</v>
          </cell>
          <cell r="AB688">
            <v>37193</v>
          </cell>
          <cell r="AC688">
            <v>2001</v>
          </cell>
          <cell r="AD688" t="str">
            <v>St2</v>
          </cell>
          <cell r="AE688" t="str">
            <v>Qd3</v>
          </cell>
          <cell r="AF688" t="str">
            <v>Tr4</v>
          </cell>
          <cell r="AG688" t="str">
            <v>Tr4-2001</v>
          </cell>
          <cell r="AH688" t="str">
            <v>2001-Tr4</v>
          </cell>
          <cell r="AI688">
            <v>10</v>
          </cell>
          <cell r="AJ688" t="str">
            <v>10</v>
          </cell>
        </row>
        <row r="689">
          <cell r="AA689" t="str">
            <v>Aaa</v>
          </cell>
          <cell r="AB689">
            <v>37194</v>
          </cell>
          <cell r="AC689">
            <v>2001</v>
          </cell>
          <cell r="AD689" t="str">
            <v>St2</v>
          </cell>
          <cell r="AE689" t="str">
            <v>Qd3</v>
          </cell>
          <cell r="AF689" t="str">
            <v>Tr4</v>
          </cell>
          <cell r="AG689" t="str">
            <v>Tr4-2001</v>
          </cell>
          <cell r="AH689" t="str">
            <v>2001-Tr4</v>
          </cell>
          <cell r="AI689">
            <v>10</v>
          </cell>
          <cell r="AJ689" t="str">
            <v>10</v>
          </cell>
        </row>
        <row r="690">
          <cell r="AA690" t="str">
            <v>Aaa</v>
          </cell>
          <cell r="AB690">
            <v>37195</v>
          </cell>
          <cell r="AC690">
            <v>2001</v>
          </cell>
          <cell r="AD690" t="str">
            <v>St2</v>
          </cell>
          <cell r="AE690" t="str">
            <v>Qd3</v>
          </cell>
          <cell r="AF690" t="str">
            <v>Tr4</v>
          </cell>
          <cell r="AG690" t="str">
            <v>Tr4-2001</v>
          </cell>
          <cell r="AH690" t="str">
            <v>2001-Tr4</v>
          </cell>
          <cell r="AI690">
            <v>10</v>
          </cell>
          <cell r="AJ690" t="str">
            <v>10</v>
          </cell>
        </row>
        <row r="691">
          <cell r="AA691" t="str">
            <v>Aaa</v>
          </cell>
          <cell r="AB691">
            <v>37196</v>
          </cell>
          <cell r="AC691">
            <v>2001</v>
          </cell>
          <cell r="AD691" t="str">
            <v>St2</v>
          </cell>
          <cell r="AE691" t="str">
            <v>Qd3</v>
          </cell>
          <cell r="AF691" t="str">
            <v>Tr4</v>
          </cell>
          <cell r="AG691" t="str">
            <v>Tr4-2001</v>
          </cell>
          <cell r="AH691" t="str">
            <v>2001-Tr4</v>
          </cell>
          <cell r="AI691">
            <v>11</v>
          </cell>
          <cell r="AJ691" t="str">
            <v>11</v>
          </cell>
        </row>
        <row r="692">
          <cell r="AA692" t="str">
            <v>Aaa</v>
          </cell>
          <cell r="AB692">
            <v>37197</v>
          </cell>
          <cell r="AC692">
            <v>2001</v>
          </cell>
          <cell r="AD692" t="str">
            <v>St2</v>
          </cell>
          <cell r="AE692" t="str">
            <v>Qd3</v>
          </cell>
          <cell r="AF692" t="str">
            <v>Tr4</v>
          </cell>
          <cell r="AG692" t="str">
            <v>Tr4-2001</v>
          </cell>
          <cell r="AH692" t="str">
            <v>2001-Tr4</v>
          </cell>
          <cell r="AI692">
            <v>11</v>
          </cell>
          <cell r="AJ692" t="str">
            <v>11</v>
          </cell>
        </row>
        <row r="693">
          <cell r="AA693" t="str">
            <v>Aaa</v>
          </cell>
          <cell r="AB693">
            <v>37198</v>
          </cell>
          <cell r="AC693">
            <v>2001</v>
          </cell>
          <cell r="AD693" t="str">
            <v>St2</v>
          </cell>
          <cell r="AE693" t="str">
            <v>Qd3</v>
          </cell>
          <cell r="AF693" t="str">
            <v>Tr4</v>
          </cell>
          <cell r="AG693" t="str">
            <v>Tr4-2001</v>
          </cell>
          <cell r="AH693" t="str">
            <v>2001-Tr4</v>
          </cell>
          <cell r="AI693">
            <v>11</v>
          </cell>
          <cell r="AJ693" t="str">
            <v>11</v>
          </cell>
        </row>
        <row r="694">
          <cell r="AA694" t="str">
            <v>Aaa</v>
          </cell>
          <cell r="AB694">
            <v>37199</v>
          </cell>
          <cell r="AC694">
            <v>2001</v>
          </cell>
          <cell r="AD694" t="str">
            <v>St2</v>
          </cell>
          <cell r="AE694" t="str">
            <v>Qd3</v>
          </cell>
          <cell r="AF694" t="str">
            <v>Tr4</v>
          </cell>
          <cell r="AG694" t="str">
            <v>Tr4-2001</v>
          </cell>
          <cell r="AH694" t="str">
            <v>2001-Tr4</v>
          </cell>
          <cell r="AI694">
            <v>11</v>
          </cell>
          <cell r="AJ694" t="str">
            <v>11</v>
          </cell>
        </row>
        <row r="695">
          <cell r="AA695" t="str">
            <v>Aaa</v>
          </cell>
          <cell r="AB695">
            <v>37200</v>
          </cell>
          <cell r="AC695">
            <v>2001</v>
          </cell>
          <cell r="AD695" t="str">
            <v>St2</v>
          </cell>
          <cell r="AE695" t="str">
            <v>Qd3</v>
          </cell>
          <cell r="AF695" t="str">
            <v>Tr4</v>
          </cell>
          <cell r="AG695" t="str">
            <v>Tr4-2001</v>
          </cell>
          <cell r="AH695" t="str">
            <v>2001-Tr4</v>
          </cell>
          <cell r="AI695">
            <v>11</v>
          </cell>
          <cell r="AJ695" t="str">
            <v>11</v>
          </cell>
        </row>
        <row r="696">
          <cell r="AA696" t="str">
            <v>Aaa</v>
          </cell>
          <cell r="AB696">
            <v>37201</v>
          </cell>
          <cell r="AC696">
            <v>2001</v>
          </cell>
          <cell r="AD696" t="str">
            <v>St2</v>
          </cell>
          <cell r="AE696" t="str">
            <v>Qd3</v>
          </cell>
          <cell r="AF696" t="str">
            <v>Tr4</v>
          </cell>
          <cell r="AG696" t="str">
            <v>Tr4-2001</v>
          </cell>
          <cell r="AH696" t="str">
            <v>2001-Tr4</v>
          </cell>
          <cell r="AI696">
            <v>11</v>
          </cell>
          <cell r="AJ696" t="str">
            <v>11</v>
          </cell>
        </row>
        <row r="697">
          <cell r="AA697" t="str">
            <v>Aaa</v>
          </cell>
          <cell r="AB697">
            <v>37202</v>
          </cell>
          <cell r="AC697">
            <v>2001</v>
          </cell>
          <cell r="AD697" t="str">
            <v>St2</v>
          </cell>
          <cell r="AE697" t="str">
            <v>Qd3</v>
          </cell>
          <cell r="AF697" t="str">
            <v>Tr4</v>
          </cell>
          <cell r="AG697" t="str">
            <v>Tr4-2001</v>
          </cell>
          <cell r="AH697" t="str">
            <v>2001-Tr4</v>
          </cell>
          <cell r="AI697">
            <v>11</v>
          </cell>
          <cell r="AJ697" t="str">
            <v>11</v>
          </cell>
        </row>
        <row r="698">
          <cell r="AA698" t="str">
            <v>Aaa</v>
          </cell>
          <cell r="AB698">
            <v>37203</v>
          </cell>
          <cell r="AC698">
            <v>2001</v>
          </cell>
          <cell r="AD698" t="str">
            <v>St2</v>
          </cell>
          <cell r="AE698" t="str">
            <v>Qd3</v>
          </cell>
          <cell r="AF698" t="str">
            <v>Tr4</v>
          </cell>
          <cell r="AG698" t="str">
            <v>Tr4-2001</v>
          </cell>
          <cell r="AH698" t="str">
            <v>2001-Tr4</v>
          </cell>
          <cell r="AI698">
            <v>11</v>
          </cell>
          <cell r="AJ698" t="str">
            <v>11</v>
          </cell>
        </row>
        <row r="699">
          <cell r="AA699" t="str">
            <v>Aaa</v>
          </cell>
          <cell r="AB699">
            <v>37204</v>
          </cell>
          <cell r="AC699">
            <v>2001</v>
          </cell>
          <cell r="AD699" t="str">
            <v>St2</v>
          </cell>
          <cell r="AE699" t="str">
            <v>Qd3</v>
          </cell>
          <cell r="AF699" t="str">
            <v>Tr4</v>
          </cell>
          <cell r="AG699" t="str">
            <v>Tr4-2001</v>
          </cell>
          <cell r="AH699" t="str">
            <v>2001-Tr4</v>
          </cell>
          <cell r="AI699">
            <v>11</v>
          </cell>
          <cell r="AJ699" t="str">
            <v>11</v>
          </cell>
        </row>
        <row r="700">
          <cell r="AA700" t="str">
            <v>Aaa</v>
          </cell>
          <cell r="AB700">
            <v>37205</v>
          </cell>
          <cell r="AC700">
            <v>2001</v>
          </cell>
          <cell r="AD700" t="str">
            <v>St2</v>
          </cell>
          <cell r="AE700" t="str">
            <v>Qd3</v>
          </cell>
          <cell r="AF700" t="str">
            <v>Tr4</v>
          </cell>
          <cell r="AG700" t="str">
            <v>Tr4-2001</v>
          </cell>
          <cell r="AH700" t="str">
            <v>2001-Tr4</v>
          </cell>
          <cell r="AI700">
            <v>11</v>
          </cell>
          <cell r="AJ700" t="str">
            <v>11</v>
          </cell>
        </row>
        <row r="701">
          <cell r="AA701" t="str">
            <v>Aaa</v>
          </cell>
          <cell r="AB701">
            <v>37206</v>
          </cell>
          <cell r="AC701">
            <v>2001</v>
          </cell>
          <cell r="AD701" t="str">
            <v>St2</v>
          </cell>
          <cell r="AE701" t="str">
            <v>Qd3</v>
          </cell>
          <cell r="AF701" t="str">
            <v>Tr4</v>
          </cell>
          <cell r="AG701" t="str">
            <v>Tr4-2001</v>
          </cell>
          <cell r="AH701" t="str">
            <v>2001-Tr4</v>
          </cell>
          <cell r="AI701">
            <v>11</v>
          </cell>
          <cell r="AJ701" t="str">
            <v>11</v>
          </cell>
        </row>
        <row r="702">
          <cell r="AA702" t="str">
            <v>Aaa</v>
          </cell>
          <cell r="AB702">
            <v>37207</v>
          </cell>
          <cell r="AC702">
            <v>2001</v>
          </cell>
          <cell r="AD702" t="str">
            <v>St2</v>
          </cell>
          <cell r="AE702" t="str">
            <v>Qd3</v>
          </cell>
          <cell r="AF702" t="str">
            <v>Tr4</v>
          </cell>
          <cell r="AG702" t="str">
            <v>Tr4-2001</v>
          </cell>
          <cell r="AH702" t="str">
            <v>2001-Tr4</v>
          </cell>
          <cell r="AI702">
            <v>11</v>
          </cell>
          <cell r="AJ702" t="str">
            <v>11</v>
          </cell>
        </row>
        <row r="703">
          <cell r="AA703" t="str">
            <v>Aaa</v>
          </cell>
          <cell r="AB703">
            <v>37208</v>
          </cell>
          <cell r="AC703">
            <v>2001</v>
          </cell>
          <cell r="AD703" t="str">
            <v>St2</v>
          </cell>
          <cell r="AE703" t="str">
            <v>Qd3</v>
          </cell>
          <cell r="AF703" t="str">
            <v>Tr4</v>
          </cell>
          <cell r="AG703" t="str">
            <v>Tr4-2001</v>
          </cell>
          <cell r="AH703" t="str">
            <v>2001-Tr4</v>
          </cell>
          <cell r="AI703">
            <v>11</v>
          </cell>
          <cell r="AJ703" t="str">
            <v>11</v>
          </cell>
        </row>
        <row r="704">
          <cell r="AA704" t="str">
            <v>Aaa</v>
          </cell>
          <cell r="AB704">
            <v>37209</v>
          </cell>
          <cell r="AC704">
            <v>2001</v>
          </cell>
          <cell r="AD704" t="str">
            <v>St2</v>
          </cell>
          <cell r="AE704" t="str">
            <v>Qd3</v>
          </cell>
          <cell r="AF704" t="str">
            <v>Tr4</v>
          </cell>
          <cell r="AG704" t="str">
            <v>Tr4-2001</v>
          </cell>
          <cell r="AH704" t="str">
            <v>2001-Tr4</v>
          </cell>
          <cell r="AI704">
            <v>11</v>
          </cell>
          <cell r="AJ704" t="str">
            <v>11</v>
          </cell>
        </row>
        <row r="705">
          <cell r="AA705" t="str">
            <v>Aaa</v>
          </cell>
          <cell r="AB705">
            <v>37210</v>
          </cell>
          <cell r="AC705">
            <v>2001</v>
          </cell>
          <cell r="AD705" t="str">
            <v>St2</v>
          </cell>
          <cell r="AE705" t="str">
            <v>Qd3</v>
          </cell>
          <cell r="AF705" t="str">
            <v>Tr4</v>
          </cell>
          <cell r="AG705" t="str">
            <v>Tr4-2001</v>
          </cell>
          <cell r="AH705" t="str">
            <v>2001-Tr4</v>
          </cell>
          <cell r="AI705">
            <v>11</v>
          </cell>
          <cell r="AJ705" t="str">
            <v>11</v>
          </cell>
        </row>
        <row r="706">
          <cell r="AA706" t="str">
            <v>Aaa</v>
          </cell>
          <cell r="AB706">
            <v>37211</v>
          </cell>
          <cell r="AC706">
            <v>2001</v>
          </cell>
          <cell r="AD706" t="str">
            <v>St2</v>
          </cell>
          <cell r="AE706" t="str">
            <v>Qd3</v>
          </cell>
          <cell r="AF706" t="str">
            <v>Tr4</v>
          </cell>
          <cell r="AG706" t="str">
            <v>Tr4-2001</v>
          </cell>
          <cell r="AH706" t="str">
            <v>2001-Tr4</v>
          </cell>
          <cell r="AI706">
            <v>11</v>
          </cell>
          <cell r="AJ706" t="str">
            <v>11</v>
          </cell>
        </row>
        <row r="707">
          <cell r="AA707" t="str">
            <v>Aaa</v>
          </cell>
          <cell r="AB707">
            <v>37212</v>
          </cell>
          <cell r="AC707">
            <v>2001</v>
          </cell>
          <cell r="AD707" t="str">
            <v>St2</v>
          </cell>
          <cell r="AE707" t="str">
            <v>Qd3</v>
          </cell>
          <cell r="AF707" t="str">
            <v>Tr4</v>
          </cell>
          <cell r="AG707" t="str">
            <v>Tr4-2001</v>
          </cell>
          <cell r="AH707" t="str">
            <v>2001-Tr4</v>
          </cell>
          <cell r="AI707">
            <v>11</v>
          </cell>
          <cell r="AJ707" t="str">
            <v>11</v>
          </cell>
        </row>
        <row r="708">
          <cell r="AA708" t="str">
            <v>Aaa</v>
          </cell>
          <cell r="AB708">
            <v>37213</v>
          </cell>
          <cell r="AC708">
            <v>2001</v>
          </cell>
          <cell r="AD708" t="str">
            <v>St2</v>
          </cell>
          <cell r="AE708" t="str">
            <v>Qd3</v>
          </cell>
          <cell r="AF708" t="str">
            <v>Tr4</v>
          </cell>
          <cell r="AG708" t="str">
            <v>Tr4-2001</v>
          </cell>
          <cell r="AH708" t="str">
            <v>2001-Tr4</v>
          </cell>
          <cell r="AI708">
            <v>11</v>
          </cell>
          <cell r="AJ708" t="str">
            <v>11</v>
          </cell>
        </row>
        <row r="709">
          <cell r="AA709" t="str">
            <v>Aaa</v>
          </cell>
          <cell r="AB709">
            <v>37214</v>
          </cell>
          <cell r="AC709">
            <v>2001</v>
          </cell>
          <cell r="AD709" t="str">
            <v>St2</v>
          </cell>
          <cell r="AE709" t="str">
            <v>Qd3</v>
          </cell>
          <cell r="AF709" t="str">
            <v>Tr4</v>
          </cell>
          <cell r="AG709" t="str">
            <v>Tr4-2001</v>
          </cell>
          <cell r="AH709" t="str">
            <v>2001-Tr4</v>
          </cell>
          <cell r="AI709">
            <v>11</v>
          </cell>
          <cell r="AJ709" t="str">
            <v>11</v>
          </cell>
        </row>
        <row r="710">
          <cell r="AA710" t="str">
            <v>Aaa</v>
          </cell>
          <cell r="AB710">
            <v>37215</v>
          </cell>
          <cell r="AC710">
            <v>2001</v>
          </cell>
          <cell r="AD710" t="str">
            <v>St2</v>
          </cell>
          <cell r="AE710" t="str">
            <v>Qd3</v>
          </cell>
          <cell r="AF710" t="str">
            <v>Tr4</v>
          </cell>
          <cell r="AG710" t="str">
            <v>Tr4-2001</v>
          </cell>
          <cell r="AH710" t="str">
            <v>2001-Tr4</v>
          </cell>
          <cell r="AI710">
            <v>11</v>
          </cell>
          <cell r="AJ710" t="str">
            <v>11</v>
          </cell>
        </row>
        <row r="711">
          <cell r="AA711" t="str">
            <v>Aaa</v>
          </cell>
          <cell r="AB711">
            <v>37216</v>
          </cell>
          <cell r="AC711">
            <v>2001</v>
          </cell>
          <cell r="AD711" t="str">
            <v>St2</v>
          </cell>
          <cell r="AE711" t="str">
            <v>Qd3</v>
          </cell>
          <cell r="AF711" t="str">
            <v>Tr4</v>
          </cell>
          <cell r="AG711" t="str">
            <v>Tr4-2001</v>
          </cell>
          <cell r="AH711" t="str">
            <v>2001-Tr4</v>
          </cell>
          <cell r="AI711">
            <v>11</v>
          </cell>
          <cell r="AJ711" t="str">
            <v>11</v>
          </cell>
        </row>
        <row r="712">
          <cell r="AA712" t="str">
            <v>Aaa</v>
          </cell>
          <cell r="AB712">
            <v>37217</v>
          </cell>
          <cell r="AC712">
            <v>2001</v>
          </cell>
          <cell r="AD712" t="str">
            <v>St2</v>
          </cell>
          <cell r="AE712" t="str">
            <v>Qd3</v>
          </cell>
          <cell r="AF712" t="str">
            <v>Tr4</v>
          </cell>
          <cell r="AG712" t="str">
            <v>Tr4-2001</v>
          </cell>
          <cell r="AH712" t="str">
            <v>2001-Tr4</v>
          </cell>
          <cell r="AI712">
            <v>11</v>
          </cell>
          <cell r="AJ712" t="str">
            <v>11</v>
          </cell>
        </row>
        <row r="713">
          <cell r="AA713" t="str">
            <v>Aaa</v>
          </cell>
          <cell r="AB713">
            <v>37218</v>
          </cell>
          <cell r="AC713">
            <v>2001</v>
          </cell>
          <cell r="AD713" t="str">
            <v>St2</v>
          </cell>
          <cell r="AE713" t="str">
            <v>Qd3</v>
          </cell>
          <cell r="AF713" t="str">
            <v>Tr4</v>
          </cell>
          <cell r="AG713" t="str">
            <v>Tr4-2001</v>
          </cell>
          <cell r="AH713" t="str">
            <v>2001-Tr4</v>
          </cell>
          <cell r="AI713">
            <v>11</v>
          </cell>
          <cell r="AJ713" t="str">
            <v>11</v>
          </cell>
        </row>
        <row r="714">
          <cell r="AA714" t="str">
            <v>Aaa</v>
          </cell>
          <cell r="AB714">
            <v>37219</v>
          </cell>
          <cell r="AC714">
            <v>2001</v>
          </cell>
          <cell r="AD714" t="str">
            <v>St2</v>
          </cell>
          <cell r="AE714" t="str">
            <v>Qd3</v>
          </cell>
          <cell r="AF714" t="str">
            <v>Tr4</v>
          </cell>
          <cell r="AG714" t="str">
            <v>Tr4-2001</v>
          </cell>
          <cell r="AH714" t="str">
            <v>2001-Tr4</v>
          </cell>
          <cell r="AI714">
            <v>11</v>
          </cell>
          <cell r="AJ714" t="str">
            <v>11</v>
          </cell>
        </row>
        <row r="715">
          <cell r="AA715" t="str">
            <v>Aaa</v>
          </cell>
          <cell r="AB715">
            <v>37220</v>
          </cell>
          <cell r="AC715">
            <v>2001</v>
          </cell>
          <cell r="AD715" t="str">
            <v>St2</v>
          </cell>
          <cell r="AE715" t="str">
            <v>Qd3</v>
          </cell>
          <cell r="AF715" t="str">
            <v>Tr4</v>
          </cell>
          <cell r="AG715" t="str">
            <v>Tr4-2001</v>
          </cell>
          <cell r="AH715" t="str">
            <v>2001-Tr4</v>
          </cell>
          <cell r="AI715">
            <v>11</v>
          </cell>
          <cell r="AJ715" t="str">
            <v>11</v>
          </cell>
        </row>
        <row r="716">
          <cell r="AA716" t="str">
            <v>Aaa</v>
          </cell>
          <cell r="AB716">
            <v>37221</v>
          </cell>
          <cell r="AC716">
            <v>2001</v>
          </cell>
          <cell r="AD716" t="str">
            <v>St2</v>
          </cell>
          <cell r="AE716" t="str">
            <v>Qd3</v>
          </cell>
          <cell r="AF716" t="str">
            <v>Tr4</v>
          </cell>
          <cell r="AG716" t="str">
            <v>Tr4-2001</v>
          </cell>
          <cell r="AH716" t="str">
            <v>2001-Tr4</v>
          </cell>
          <cell r="AI716">
            <v>11</v>
          </cell>
          <cell r="AJ716" t="str">
            <v>11</v>
          </cell>
        </row>
        <row r="717">
          <cell r="AA717" t="str">
            <v>Aaa</v>
          </cell>
          <cell r="AB717">
            <v>37222</v>
          </cell>
          <cell r="AC717">
            <v>2001</v>
          </cell>
          <cell r="AD717" t="str">
            <v>St2</v>
          </cell>
          <cell r="AE717" t="str">
            <v>Qd3</v>
          </cell>
          <cell r="AF717" t="str">
            <v>Tr4</v>
          </cell>
          <cell r="AG717" t="str">
            <v>Tr4-2001</v>
          </cell>
          <cell r="AH717" t="str">
            <v>2001-Tr4</v>
          </cell>
          <cell r="AI717">
            <v>11</v>
          </cell>
          <cell r="AJ717" t="str">
            <v>11</v>
          </cell>
        </row>
        <row r="718">
          <cell r="AA718" t="str">
            <v>Aaa</v>
          </cell>
          <cell r="AB718">
            <v>37223</v>
          </cell>
          <cell r="AC718">
            <v>2001</v>
          </cell>
          <cell r="AD718" t="str">
            <v>St2</v>
          </cell>
          <cell r="AE718" t="str">
            <v>Qd3</v>
          </cell>
          <cell r="AF718" t="str">
            <v>Tr4</v>
          </cell>
          <cell r="AG718" t="str">
            <v>Tr4-2001</v>
          </cell>
          <cell r="AH718" t="str">
            <v>2001-Tr4</v>
          </cell>
          <cell r="AI718">
            <v>11</v>
          </cell>
          <cell r="AJ718" t="str">
            <v>11</v>
          </cell>
        </row>
        <row r="719">
          <cell r="AA719" t="str">
            <v>Aaa</v>
          </cell>
          <cell r="AB719">
            <v>37224</v>
          </cell>
          <cell r="AC719">
            <v>2001</v>
          </cell>
          <cell r="AD719" t="str">
            <v>St2</v>
          </cell>
          <cell r="AE719" t="str">
            <v>Qd3</v>
          </cell>
          <cell r="AF719" t="str">
            <v>Tr4</v>
          </cell>
          <cell r="AG719" t="str">
            <v>Tr4-2001</v>
          </cell>
          <cell r="AH719" t="str">
            <v>2001-Tr4</v>
          </cell>
          <cell r="AI719">
            <v>11</v>
          </cell>
          <cell r="AJ719" t="str">
            <v>11</v>
          </cell>
        </row>
        <row r="720">
          <cell r="AA720" t="str">
            <v>Aaa</v>
          </cell>
          <cell r="AB720">
            <v>37225</v>
          </cell>
          <cell r="AC720">
            <v>2001</v>
          </cell>
          <cell r="AD720" t="str">
            <v>St2</v>
          </cell>
          <cell r="AE720" t="str">
            <v>Qd3</v>
          </cell>
          <cell r="AF720" t="str">
            <v>Tr4</v>
          </cell>
          <cell r="AG720" t="str">
            <v>Tr4-2001</v>
          </cell>
          <cell r="AH720" t="str">
            <v>2001-Tr4</v>
          </cell>
          <cell r="AI720">
            <v>11</v>
          </cell>
          <cell r="AJ720" t="str">
            <v>11</v>
          </cell>
        </row>
        <row r="721">
          <cell r="AA721" t="str">
            <v>Aaa</v>
          </cell>
          <cell r="AB721">
            <v>37226</v>
          </cell>
          <cell r="AC721">
            <v>2001</v>
          </cell>
          <cell r="AD721" t="str">
            <v>St2</v>
          </cell>
          <cell r="AE721" t="str">
            <v>Qd3</v>
          </cell>
          <cell r="AF721" t="str">
            <v>Tr4</v>
          </cell>
          <cell r="AG721" t="str">
            <v>Tr4-2001</v>
          </cell>
          <cell r="AH721" t="str">
            <v>2001-Tr4</v>
          </cell>
          <cell r="AI721">
            <v>12</v>
          </cell>
          <cell r="AJ721" t="str">
            <v>12</v>
          </cell>
        </row>
        <row r="722">
          <cell r="AA722" t="str">
            <v>Aaa</v>
          </cell>
          <cell r="AB722">
            <v>37227</v>
          </cell>
          <cell r="AC722">
            <v>2001</v>
          </cell>
          <cell r="AD722" t="str">
            <v>St2</v>
          </cell>
          <cell r="AE722" t="str">
            <v>Qd3</v>
          </cell>
          <cell r="AF722" t="str">
            <v>Tr4</v>
          </cell>
          <cell r="AG722" t="str">
            <v>Tr4-2001</v>
          </cell>
          <cell r="AH722" t="str">
            <v>2001-Tr4</v>
          </cell>
          <cell r="AI722">
            <v>12</v>
          </cell>
          <cell r="AJ722" t="str">
            <v>12</v>
          </cell>
        </row>
        <row r="723">
          <cell r="AA723" t="str">
            <v>Aaa</v>
          </cell>
          <cell r="AB723">
            <v>37228</v>
          </cell>
          <cell r="AC723">
            <v>2001</v>
          </cell>
          <cell r="AD723" t="str">
            <v>St2</v>
          </cell>
          <cell r="AE723" t="str">
            <v>Qd3</v>
          </cell>
          <cell r="AF723" t="str">
            <v>Tr4</v>
          </cell>
          <cell r="AG723" t="str">
            <v>Tr4-2001</v>
          </cell>
          <cell r="AH723" t="str">
            <v>2001-Tr4</v>
          </cell>
          <cell r="AI723">
            <v>12</v>
          </cell>
          <cell r="AJ723" t="str">
            <v>12</v>
          </cell>
        </row>
        <row r="724">
          <cell r="AA724" t="str">
            <v>Aaa</v>
          </cell>
          <cell r="AB724">
            <v>37229</v>
          </cell>
          <cell r="AC724">
            <v>2001</v>
          </cell>
          <cell r="AD724" t="str">
            <v>St2</v>
          </cell>
          <cell r="AE724" t="str">
            <v>Qd3</v>
          </cell>
          <cell r="AF724" t="str">
            <v>Tr4</v>
          </cell>
          <cell r="AG724" t="str">
            <v>Tr4-2001</v>
          </cell>
          <cell r="AH724" t="str">
            <v>2001-Tr4</v>
          </cell>
          <cell r="AI724">
            <v>12</v>
          </cell>
          <cell r="AJ724" t="str">
            <v>12</v>
          </cell>
        </row>
        <row r="725">
          <cell r="AA725" t="str">
            <v>Aaa</v>
          </cell>
          <cell r="AB725">
            <v>37230</v>
          </cell>
          <cell r="AC725">
            <v>2001</v>
          </cell>
          <cell r="AD725" t="str">
            <v>St2</v>
          </cell>
          <cell r="AE725" t="str">
            <v>Qd3</v>
          </cell>
          <cell r="AF725" t="str">
            <v>Tr4</v>
          </cell>
          <cell r="AG725" t="str">
            <v>Tr4-2001</v>
          </cell>
          <cell r="AH725" t="str">
            <v>2001-Tr4</v>
          </cell>
          <cell r="AI725">
            <v>12</v>
          </cell>
          <cell r="AJ725" t="str">
            <v>12</v>
          </cell>
        </row>
        <row r="726">
          <cell r="AA726" t="str">
            <v>Aaa</v>
          </cell>
          <cell r="AB726">
            <v>37231</v>
          </cell>
          <cell r="AC726">
            <v>2001</v>
          </cell>
          <cell r="AD726" t="str">
            <v>St2</v>
          </cell>
          <cell r="AE726" t="str">
            <v>Qd3</v>
          </cell>
          <cell r="AF726" t="str">
            <v>Tr4</v>
          </cell>
          <cell r="AG726" t="str">
            <v>Tr4-2001</v>
          </cell>
          <cell r="AH726" t="str">
            <v>2001-Tr4</v>
          </cell>
          <cell r="AI726">
            <v>12</v>
          </cell>
          <cell r="AJ726" t="str">
            <v>12</v>
          </cell>
        </row>
        <row r="727">
          <cell r="AA727" t="str">
            <v>Aaa</v>
          </cell>
          <cell r="AB727">
            <v>37232</v>
          </cell>
          <cell r="AC727">
            <v>2001</v>
          </cell>
          <cell r="AD727" t="str">
            <v>St2</v>
          </cell>
          <cell r="AE727" t="str">
            <v>Qd3</v>
          </cell>
          <cell r="AF727" t="str">
            <v>Tr4</v>
          </cell>
          <cell r="AG727" t="str">
            <v>Tr4-2001</v>
          </cell>
          <cell r="AH727" t="str">
            <v>2001-Tr4</v>
          </cell>
          <cell r="AI727">
            <v>12</v>
          </cell>
          <cell r="AJ727" t="str">
            <v>12</v>
          </cell>
        </row>
        <row r="728">
          <cell r="AA728" t="str">
            <v>Aaa</v>
          </cell>
          <cell r="AB728">
            <v>37233</v>
          </cell>
          <cell r="AC728">
            <v>2001</v>
          </cell>
          <cell r="AD728" t="str">
            <v>St2</v>
          </cell>
          <cell r="AE728" t="str">
            <v>Qd3</v>
          </cell>
          <cell r="AF728" t="str">
            <v>Tr4</v>
          </cell>
          <cell r="AG728" t="str">
            <v>Tr4-2001</v>
          </cell>
          <cell r="AH728" t="str">
            <v>2001-Tr4</v>
          </cell>
          <cell r="AI728">
            <v>12</v>
          </cell>
          <cell r="AJ728" t="str">
            <v>12</v>
          </cell>
        </row>
        <row r="729">
          <cell r="AA729" t="str">
            <v>Aaa</v>
          </cell>
          <cell r="AB729">
            <v>37234</v>
          </cell>
          <cell r="AC729">
            <v>2001</v>
          </cell>
          <cell r="AD729" t="str">
            <v>St2</v>
          </cell>
          <cell r="AE729" t="str">
            <v>Qd3</v>
          </cell>
          <cell r="AF729" t="str">
            <v>Tr4</v>
          </cell>
          <cell r="AG729" t="str">
            <v>Tr4-2001</v>
          </cell>
          <cell r="AH729" t="str">
            <v>2001-Tr4</v>
          </cell>
          <cell r="AI729">
            <v>12</v>
          </cell>
          <cell r="AJ729" t="str">
            <v>12</v>
          </cell>
        </row>
        <row r="730">
          <cell r="AA730" t="str">
            <v>Aaa</v>
          </cell>
          <cell r="AB730">
            <v>37235</v>
          </cell>
          <cell r="AC730">
            <v>2001</v>
          </cell>
          <cell r="AD730" t="str">
            <v>St2</v>
          </cell>
          <cell r="AE730" t="str">
            <v>Qd3</v>
          </cell>
          <cell r="AF730" t="str">
            <v>Tr4</v>
          </cell>
          <cell r="AG730" t="str">
            <v>Tr4-2001</v>
          </cell>
          <cell r="AH730" t="str">
            <v>2001-Tr4</v>
          </cell>
          <cell r="AI730">
            <v>12</v>
          </cell>
          <cell r="AJ730" t="str">
            <v>12</v>
          </cell>
        </row>
        <row r="731">
          <cell r="AA731" t="str">
            <v>Aaa</v>
          </cell>
          <cell r="AB731">
            <v>37236</v>
          </cell>
          <cell r="AC731">
            <v>2001</v>
          </cell>
          <cell r="AD731" t="str">
            <v>St2</v>
          </cell>
          <cell r="AE731" t="str">
            <v>Qd3</v>
          </cell>
          <cell r="AF731" t="str">
            <v>Tr4</v>
          </cell>
          <cell r="AG731" t="str">
            <v>Tr4-2001</v>
          </cell>
          <cell r="AH731" t="str">
            <v>2001-Tr4</v>
          </cell>
          <cell r="AI731">
            <v>12</v>
          </cell>
          <cell r="AJ731" t="str">
            <v>12</v>
          </cell>
        </row>
        <row r="732">
          <cell r="AA732" t="str">
            <v>Aaa</v>
          </cell>
          <cell r="AB732">
            <v>37237</v>
          </cell>
          <cell r="AC732">
            <v>2001</v>
          </cell>
          <cell r="AD732" t="str">
            <v>St2</v>
          </cell>
          <cell r="AE732" t="str">
            <v>Qd3</v>
          </cell>
          <cell r="AF732" t="str">
            <v>Tr4</v>
          </cell>
          <cell r="AG732" t="str">
            <v>Tr4-2001</v>
          </cell>
          <cell r="AH732" t="str">
            <v>2001-Tr4</v>
          </cell>
          <cell r="AI732">
            <v>12</v>
          </cell>
          <cell r="AJ732" t="str">
            <v>12</v>
          </cell>
        </row>
        <row r="733">
          <cell r="AA733" t="str">
            <v>Aaa</v>
          </cell>
          <cell r="AB733">
            <v>37238</v>
          </cell>
          <cell r="AC733">
            <v>2001</v>
          </cell>
          <cell r="AD733" t="str">
            <v>St2</v>
          </cell>
          <cell r="AE733" t="str">
            <v>Qd3</v>
          </cell>
          <cell r="AF733" t="str">
            <v>Tr4</v>
          </cell>
          <cell r="AG733" t="str">
            <v>Tr4-2001</v>
          </cell>
          <cell r="AH733" t="str">
            <v>2001-Tr4</v>
          </cell>
          <cell r="AI733">
            <v>12</v>
          </cell>
          <cell r="AJ733" t="str">
            <v>12</v>
          </cell>
        </row>
        <row r="734">
          <cell r="AA734" t="str">
            <v>Aaa</v>
          </cell>
          <cell r="AB734">
            <v>37239</v>
          </cell>
          <cell r="AC734">
            <v>2001</v>
          </cell>
          <cell r="AD734" t="str">
            <v>St2</v>
          </cell>
          <cell r="AE734" t="str">
            <v>Qd3</v>
          </cell>
          <cell r="AF734" t="str">
            <v>Tr4</v>
          </cell>
          <cell r="AG734" t="str">
            <v>Tr4-2001</v>
          </cell>
          <cell r="AH734" t="str">
            <v>2001-Tr4</v>
          </cell>
          <cell r="AI734">
            <v>12</v>
          </cell>
          <cell r="AJ734" t="str">
            <v>12</v>
          </cell>
        </row>
        <row r="735">
          <cell r="AA735" t="str">
            <v>Aaa</v>
          </cell>
          <cell r="AB735">
            <v>37240</v>
          </cell>
          <cell r="AC735">
            <v>2001</v>
          </cell>
          <cell r="AD735" t="str">
            <v>St2</v>
          </cell>
          <cell r="AE735" t="str">
            <v>Qd3</v>
          </cell>
          <cell r="AF735" t="str">
            <v>Tr4</v>
          </cell>
          <cell r="AG735" t="str">
            <v>Tr4-2001</v>
          </cell>
          <cell r="AH735" t="str">
            <v>2001-Tr4</v>
          </cell>
          <cell r="AI735">
            <v>12</v>
          </cell>
          <cell r="AJ735" t="str">
            <v>12</v>
          </cell>
        </row>
        <row r="736">
          <cell r="AA736" t="str">
            <v>Aaa</v>
          </cell>
          <cell r="AB736">
            <v>37241</v>
          </cell>
          <cell r="AC736">
            <v>2001</v>
          </cell>
          <cell r="AD736" t="str">
            <v>St2</v>
          </cell>
          <cell r="AE736" t="str">
            <v>Qd3</v>
          </cell>
          <cell r="AF736" t="str">
            <v>Tr4</v>
          </cell>
          <cell r="AG736" t="str">
            <v>Tr4-2001</v>
          </cell>
          <cell r="AH736" t="str">
            <v>2001-Tr4</v>
          </cell>
          <cell r="AI736">
            <v>12</v>
          </cell>
          <cell r="AJ736" t="str">
            <v>12</v>
          </cell>
        </row>
        <row r="737">
          <cell r="AA737" t="str">
            <v>Aaa</v>
          </cell>
          <cell r="AB737">
            <v>37242</v>
          </cell>
          <cell r="AC737">
            <v>2001</v>
          </cell>
          <cell r="AD737" t="str">
            <v>St2</v>
          </cell>
          <cell r="AE737" t="str">
            <v>Qd3</v>
          </cell>
          <cell r="AF737" t="str">
            <v>Tr4</v>
          </cell>
          <cell r="AG737" t="str">
            <v>Tr4-2001</v>
          </cell>
          <cell r="AH737" t="str">
            <v>2001-Tr4</v>
          </cell>
          <cell r="AI737">
            <v>12</v>
          </cell>
          <cell r="AJ737" t="str">
            <v>12</v>
          </cell>
        </row>
        <row r="738">
          <cell r="AA738" t="str">
            <v>Aaa</v>
          </cell>
          <cell r="AB738">
            <v>37243</v>
          </cell>
          <cell r="AC738">
            <v>2001</v>
          </cell>
          <cell r="AD738" t="str">
            <v>St2</v>
          </cell>
          <cell r="AE738" t="str">
            <v>Qd3</v>
          </cell>
          <cell r="AF738" t="str">
            <v>Tr4</v>
          </cell>
          <cell r="AG738" t="str">
            <v>Tr4-2001</v>
          </cell>
          <cell r="AH738" t="str">
            <v>2001-Tr4</v>
          </cell>
          <cell r="AI738">
            <v>12</v>
          </cell>
          <cell r="AJ738" t="str">
            <v>12</v>
          </cell>
        </row>
        <row r="739">
          <cell r="AA739" t="str">
            <v>Aaa</v>
          </cell>
          <cell r="AB739">
            <v>37244</v>
          </cell>
          <cell r="AC739">
            <v>2001</v>
          </cell>
          <cell r="AD739" t="str">
            <v>St2</v>
          </cell>
          <cell r="AE739" t="str">
            <v>Qd3</v>
          </cell>
          <cell r="AF739" t="str">
            <v>Tr4</v>
          </cell>
          <cell r="AG739" t="str">
            <v>Tr4-2001</v>
          </cell>
          <cell r="AH739" t="str">
            <v>2001-Tr4</v>
          </cell>
          <cell r="AI739">
            <v>12</v>
          </cell>
          <cell r="AJ739" t="str">
            <v>12</v>
          </cell>
        </row>
        <row r="740">
          <cell r="AA740" t="str">
            <v>Aaa</v>
          </cell>
          <cell r="AB740">
            <v>37245</v>
          </cell>
          <cell r="AC740">
            <v>2001</v>
          </cell>
          <cell r="AD740" t="str">
            <v>St2</v>
          </cell>
          <cell r="AE740" t="str">
            <v>Qd3</v>
          </cell>
          <cell r="AF740" t="str">
            <v>Tr4</v>
          </cell>
          <cell r="AG740" t="str">
            <v>Tr4-2001</v>
          </cell>
          <cell r="AH740" t="str">
            <v>2001-Tr4</v>
          </cell>
          <cell r="AI740">
            <v>12</v>
          </cell>
          <cell r="AJ740" t="str">
            <v>12</v>
          </cell>
        </row>
        <row r="741">
          <cell r="AA741" t="str">
            <v>Aaa</v>
          </cell>
          <cell r="AB741">
            <v>37246</v>
          </cell>
          <cell r="AC741">
            <v>2001</v>
          </cell>
          <cell r="AD741" t="str">
            <v>St2</v>
          </cell>
          <cell r="AE741" t="str">
            <v>Qd3</v>
          </cell>
          <cell r="AF741" t="str">
            <v>Tr4</v>
          </cell>
          <cell r="AG741" t="str">
            <v>Tr4-2001</v>
          </cell>
          <cell r="AH741" t="str">
            <v>2001-Tr4</v>
          </cell>
          <cell r="AI741">
            <v>12</v>
          </cell>
          <cell r="AJ741" t="str">
            <v>12</v>
          </cell>
        </row>
        <row r="742">
          <cell r="AA742" t="str">
            <v>Aaa</v>
          </cell>
          <cell r="AB742">
            <v>37247</v>
          </cell>
          <cell r="AC742">
            <v>2001</v>
          </cell>
          <cell r="AD742" t="str">
            <v>St2</v>
          </cell>
          <cell r="AE742" t="str">
            <v>Qd3</v>
          </cell>
          <cell r="AF742" t="str">
            <v>Tr4</v>
          </cell>
          <cell r="AG742" t="str">
            <v>Tr4-2001</v>
          </cell>
          <cell r="AH742" t="str">
            <v>2001-Tr4</v>
          </cell>
          <cell r="AI742">
            <v>12</v>
          </cell>
          <cell r="AJ742" t="str">
            <v>12</v>
          </cell>
        </row>
        <row r="743">
          <cell r="AA743" t="str">
            <v>Aaa</v>
          </cell>
          <cell r="AB743">
            <v>37248</v>
          </cell>
          <cell r="AC743">
            <v>2001</v>
          </cell>
          <cell r="AD743" t="str">
            <v>St2</v>
          </cell>
          <cell r="AE743" t="str">
            <v>Qd3</v>
          </cell>
          <cell r="AF743" t="str">
            <v>Tr4</v>
          </cell>
          <cell r="AG743" t="str">
            <v>Tr4-2001</v>
          </cell>
          <cell r="AH743" t="str">
            <v>2001-Tr4</v>
          </cell>
          <cell r="AI743">
            <v>12</v>
          </cell>
          <cell r="AJ743" t="str">
            <v>12</v>
          </cell>
        </row>
        <row r="744">
          <cell r="AA744" t="str">
            <v>Aaa</v>
          </cell>
          <cell r="AB744">
            <v>37249</v>
          </cell>
          <cell r="AC744">
            <v>2001</v>
          </cell>
          <cell r="AD744" t="str">
            <v>St2</v>
          </cell>
          <cell r="AE744" t="str">
            <v>Qd3</v>
          </cell>
          <cell r="AF744" t="str">
            <v>Tr4</v>
          </cell>
          <cell r="AG744" t="str">
            <v>Tr4-2001</v>
          </cell>
          <cell r="AH744" t="str">
            <v>2001-Tr4</v>
          </cell>
          <cell r="AI744">
            <v>12</v>
          </cell>
          <cell r="AJ744" t="str">
            <v>12</v>
          </cell>
        </row>
        <row r="745">
          <cell r="AA745" t="str">
            <v>Aaa</v>
          </cell>
          <cell r="AB745">
            <v>37250</v>
          </cell>
          <cell r="AC745">
            <v>2001</v>
          </cell>
          <cell r="AD745" t="str">
            <v>St2</v>
          </cell>
          <cell r="AE745" t="str">
            <v>Qd3</v>
          </cell>
          <cell r="AF745" t="str">
            <v>Tr4</v>
          </cell>
          <cell r="AG745" t="str">
            <v>Tr4-2001</v>
          </cell>
          <cell r="AH745" t="str">
            <v>2001-Tr4</v>
          </cell>
          <cell r="AI745">
            <v>12</v>
          </cell>
          <cell r="AJ745" t="str">
            <v>12</v>
          </cell>
        </row>
        <row r="746">
          <cell r="AA746" t="str">
            <v>Aaa</v>
          </cell>
          <cell r="AB746">
            <v>37251</v>
          </cell>
          <cell r="AC746">
            <v>2001</v>
          </cell>
          <cell r="AD746" t="str">
            <v>St2</v>
          </cell>
          <cell r="AE746" t="str">
            <v>Qd3</v>
          </cell>
          <cell r="AF746" t="str">
            <v>Tr4</v>
          </cell>
          <cell r="AG746" t="str">
            <v>Tr4-2001</v>
          </cell>
          <cell r="AH746" t="str">
            <v>2001-Tr4</v>
          </cell>
          <cell r="AI746">
            <v>12</v>
          </cell>
          <cell r="AJ746" t="str">
            <v>12</v>
          </cell>
        </row>
        <row r="747">
          <cell r="AA747" t="str">
            <v>Aaa</v>
          </cell>
          <cell r="AB747">
            <v>37252</v>
          </cell>
          <cell r="AC747">
            <v>2001</v>
          </cell>
          <cell r="AD747" t="str">
            <v>St2</v>
          </cell>
          <cell r="AE747" t="str">
            <v>Qd3</v>
          </cell>
          <cell r="AF747" t="str">
            <v>Tr4</v>
          </cell>
          <cell r="AG747" t="str">
            <v>Tr4-2001</v>
          </cell>
          <cell r="AH747" t="str">
            <v>2001-Tr4</v>
          </cell>
          <cell r="AI747">
            <v>12</v>
          </cell>
          <cell r="AJ747" t="str">
            <v>12</v>
          </cell>
        </row>
        <row r="748">
          <cell r="AA748" t="str">
            <v>Aaa</v>
          </cell>
          <cell r="AB748">
            <v>37253</v>
          </cell>
          <cell r="AC748">
            <v>2001</v>
          </cell>
          <cell r="AD748" t="str">
            <v>St2</v>
          </cell>
          <cell r="AE748" t="str">
            <v>Qd3</v>
          </cell>
          <cell r="AF748" t="str">
            <v>Tr4</v>
          </cell>
          <cell r="AG748" t="str">
            <v>Tr4-2001</v>
          </cell>
          <cell r="AH748" t="str">
            <v>2001-Tr4</v>
          </cell>
          <cell r="AI748">
            <v>12</v>
          </cell>
          <cell r="AJ748" t="str">
            <v>12</v>
          </cell>
        </row>
        <row r="749">
          <cell r="AA749" t="str">
            <v>Aaa</v>
          </cell>
          <cell r="AB749">
            <v>37254</v>
          </cell>
          <cell r="AC749">
            <v>2001</v>
          </cell>
          <cell r="AD749" t="str">
            <v>St2</v>
          </cell>
          <cell r="AE749" t="str">
            <v>Qd3</v>
          </cell>
          <cell r="AF749" t="str">
            <v>Tr4</v>
          </cell>
          <cell r="AG749" t="str">
            <v>Tr4-2001</v>
          </cell>
          <cell r="AH749" t="str">
            <v>2001-Tr4</v>
          </cell>
          <cell r="AI749">
            <v>12</v>
          </cell>
          <cell r="AJ749" t="str">
            <v>12</v>
          </cell>
        </row>
        <row r="750">
          <cell r="AA750" t="str">
            <v>Aaa</v>
          </cell>
          <cell r="AB750">
            <v>37255</v>
          </cell>
          <cell r="AC750">
            <v>2001</v>
          </cell>
          <cell r="AD750" t="str">
            <v>St2</v>
          </cell>
          <cell r="AE750" t="str">
            <v>Qd3</v>
          </cell>
          <cell r="AF750" t="str">
            <v>Tr4</v>
          </cell>
          <cell r="AG750" t="str">
            <v>Tr4-2001</v>
          </cell>
          <cell r="AH750" t="str">
            <v>2001-Tr4</v>
          </cell>
          <cell r="AI750">
            <v>12</v>
          </cell>
          <cell r="AJ750" t="str">
            <v>12</v>
          </cell>
        </row>
        <row r="751">
          <cell r="AA751" t="str">
            <v>Aaa</v>
          </cell>
          <cell r="AB751">
            <v>37256</v>
          </cell>
          <cell r="AC751">
            <v>2001</v>
          </cell>
          <cell r="AD751" t="str">
            <v>St2</v>
          </cell>
          <cell r="AE751" t="str">
            <v>Qd3</v>
          </cell>
          <cell r="AF751" t="str">
            <v>Tr4</v>
          </cell>
          <cell r="AG751" t="str">
            <v>Tr4-2001</v>
          </cell>
          <cell r="AH751" t="str">
            <v>2001-Tr4</v>
          </cell>
          <cell r="AI751">
            <v>12</v>
          </cell>
          <cell r="AJ751" t="str">
            <v>12</v>
          </cell>
        </row>
        <row r="752">
          <cell r="AA752" t="str">
            <v>Aaa</v>
          </cell>
          <cell r="AB752">
            <v>37257</v>
          </cell>
          <cell r="AC752">
            <v>2002</v>
          </cell>
          <cell r="AD752" t="str">
            <v>St1</v>
          </cell>
          <cell r="AE752" t="str">
            <v>Qd1</v>
          </cell>
          <cell r="AF752" t="str">
            <v>Tr1</v>
          </cell>
          <cell r="AG752" t="str">
            <v>Tr1-2002</v>
          </cell>
          <cell r="AH752" t="str">
            <v>2002-Tr1</v>
          </cell>
          <cell r="AI752">
            <v>1</v>
          </cell>
          <cell r="AJ752" t="str">
            <v>01</v>
          </cell>
        </row>
        <row r="753">
          <cell r="AA753" t="str">
            <v>Aaa</v>
          </cell>
          <cell r="AB753">
            <v>37258</v>
          </cell>
          <cell r="AC753">
            <v>2002</v>
          </cell>
          <cell r="AD753" t="str">
            <v>St1</v>
          </cell>
          <cell r="AE753" t="str">
            <v>Qd1</v>
          </cell>
          <cell r="AF753" t="str">
            <v>Tr1</v>
          </cell>
          <cell r="AG753" t="str">
            <v>Tr1-2002</v>
          </cell>
          <cell r="AH753" t="str">
            <v>2002-Tr1</v>
          </cell>
          <cell r="AI753">
            <v>1</v>
          </cell>
          <cell r="AJ753" t="str">
            <v>01</v>
          </cell>
        </row>
        <row r="754">
          <cell r="AA754" t="str">
            <v>Aaa</v>
          </cell>
          <cell r="AB754">
            <v>37259</v>
          </cell>
          <cell r="AC754">
            <v>2002</v>
          </cell>
          <cell r="AD754" t="str">
            <v>St1</v>
          </cell>
          <cell r="AE754" t="str">
            <v>Qd1</v>
          </cell>
          <cell r="AF754" t="str">
            <v>Tr1</v>
          </cell>
          <cell r="AG754" t="str">
            <v>Tr1-2002</v>
          </cell>
          <cell r="AH754" t="str">
            <v>2002-Tr1</v>
          </cell>
          <cell r="AI754">
            <v>1</v>
          </cell>
          <cell r="AJ754" t="str">
            <v>01</v>
          </cell>
        </row>
        <row r="755">
          <cell r="AA755" t="str">
            <v>Aaa</v>
          </cell>
          <cell r="AB755">
            <v>37260</v>
          </cell>
          <cell r="AC755">
            <v>2002</v>
          </cell>
          <cell r="AD755" t="str">
            <v>St1</v>
          </cell>
          <cell r="AE755" t="str">
            <v>Qd1</v>
          </cell>
          <cell r="AF755" t="str">
            <v>Tr1</v>
          </cell>
          <cell r="AG755" t="str">
            <v>Tr1-2002</v>
          </cell>
          <cell r="AH755" t="str">
            <v>2002-Tr1</v>
          </cell>
          <cell r="AI755">
            <v>1</v>
          </cell>
          <cell r="AJ755" t="str">
            <v>01</v>
          </cell>
        </row>
        <row r="756">
          <cell r="AA756" t="str">
            <v>Aaa</v>
          </cell>
          <cell r="AB756">
            <v>37261</v>
          </cell>
          <cell r="AC756">
            <v>2002</v>
          </cell>
          <cell r="AD756" t="str">
            <v>St1</v>
          </cell>
          <cell r="AE756" t="str">
            <v>Qd1</v>
          </cell>
          <cell r="AF756" t="str">
            <v>Tr1</v>
          </cell>
          <cell r="AG756" t="str">
            <v>Tr1-2002</v>
          </cell>
          <cell r="AH756" t="str">
            <v>2002-Tr1</v>
          </cell>
          <cell r="AI756">
            <v>1</v>
          </cell>
          <cell r="AJ756" t="str">
            <v>01</v>
          </cell>
        </row>
        <row r="757">
          <cell r="AA757" t="str">
            <v>Aaa</v>
          </cell>
          <cell r="AB757">
            <v>37262</v>
          </cell>
          <cell r="AC757">
            <v>2002</v>
          </cell>
          <cell r="AD757" t="str">
            <v>St1</v>
          </cell>
          <cell r="AE757" t="str">
            <v>Qd1</v>
          </cell>
          <cell r="AF757" t="str">
            <v>Tr1</v>
          </cell>
          <cell r="AG757" t="str">
            <v>Tr1-2002</v>
          </cell>
          <cell r="AH757" t="str">
            <v>2002-Tr1</v>
          </cell>
          <cell r="AI757">
            <v>1</v>
          </cell>
          <cell r="AJ757" t="str">
            <v>01</v>
          </cell>
        </row>
        <row r="758">
          <cell r="AA758" t="str">
            <v>Aaa</v>
          </cell>
          <cell r="AB758">
            <v>37263</v>
          </cell>
          <cell r="AC758">
            <v>2002</v>
          </cell>
          <cell r="AD758" t="str">
            <v>St1</v>
          </cell>
          <cell r="AE758" t="str">
            <v>Qd1</v>
          </cell>
          <cell r="AF758" t="str">
            <v>Tr1</v>
          </cell>
          <cell r="AG758" t="str">
            <v>Tr1-2002</v>
          </cell>
          <cell r="AH758" t="str">
            <v>2002-Tr1</v>
          </cell>
          <cell r="AI758">
            <v>1</v>
          </cell>
          <cell r="AJ758" t="str">
            <v>01</v>
          </cell>
        </row>
        <row r="759">
          <cell r="AA759" t="str">
            <v>Aaa</v>
          </cell>
          <cell r="AB759">
            <v>37264</v>
          </cell>
          <cell r="AC759">
            <v>2002</v>
          </cell>
          <cell r="AD759" t="str">
            <v>St1</v>
          </cell>
          <cell r="AE759" t="str">
            <v>Qd1</v>
          </cell>
          <cell r="AF759" t="str">
            <v>Tr1</v>
          </cell>
          <cell r="AG759" t="str">
            <v>Tr1-2002</v>
          </cell>
          <cell r="AH759" t="str">
            <v>2002-Tr1</v>
          </cell>
          <cell r="AI759">
            <v>1</v>
          </cell>
          <cell r="AJ759" t="str">
            <v>01</v>
          </cell>
        </row>
        <row r="760">
          <cell r="AA760" t="str">
            <v>Aaa</v>
          </cell>
          <cell r="AB760">
            <v>37265</v>
          </cell>
          <cell r="AC760">
            <v>2002</v>
          </cell>
          <cell r="AD760" t="str">
            <v>St1</v>
          </cell>
          <cell r="AE760" t="str">
            <v>Qd1</v>
          </cell>
          <cell r="AF760" t="str">
            <v>Tr1</v>
          </cell>
          <cell r="AG760" t="str">
            <v>Tr1-2002</v>
          </cell>
          <cell r="AH760" t="str">
            <v>2002-Tr1</v>
          </cell>
          <cell r="AI760">
            <v>1</v>
          </cell>
          <cell r="AJ760" t="str">
            <v>01</v>
          </cell>
        </row>
        <row r="761">
          <cell r="AA761" t="str">
            <v>Aaa</v>
          </cell>
          <cell r="AB761">
            <v>37266</v>
          </cell>
          <cell r="AC761">
            <v>2002</v>
          </cell>
          <cell r="AD761" t="str">
            <v>St1</v>
          </cell>
          <cell r="AE761" t="str">
            <v>Qd1</v>
          </cell>
          <cell r="AF761" t="str">
            <v>Tr1</v>
          </cell>
          <cell r="AG761" t="str">
            <v>Tr1-2002</v>
          </cell>
          <cell r="AH761" t="str">
            <v>2002-Tr1</v>
          </cell>
          <cell r="AI761">
            <v>1</v>
          </cell>
          <cell r="AJ761" t="str">
            <v>01</v>
          </cell>
        </row>
        <row r="762">
          <cell r="AA762" t="str">
            <v>Aaa</v>
          </cell>
          <cell r="AB762">
            <v>37267</v>
          </cell>
          <cell r="AC762">
            <v>2002</v>
          </cell>
          <cell r="AD762" t="str">
            <v>St1</v>
          </cell>
          <cell r="AE762" t="str">
            <v>Qd1</v>
          </cell>
          <cell r="AF762" t="str">
            <v>Tr1</v>
          </cell>
          <cell r="AG762" t="str">
            <v>Tr1-2002</v>
          </cell>
          <cell r="AH762" t="str">
            <v>2002-Tr1</v>
          </cell>
          <cell r="AI762">
            <v>1</v>
          </cell>
          <cell r="AJ762" t="str">
            <v>01</v>
          </cell>
        </row>
        <row r="763">
          <cell r="AA763" t="str">
            <v>Aaa</v>
          </cell>
          <cell r="AB763">
            <v>37268</v>
          </cell>
          <cell r="AC763">
            <v>2002</v>
          </cell>
          <cell r="AD763" t="str">
            <v>St1</v>
          </cell>
          <cell r="AE763" t="str">
            <v>Qd1</v>
          </cell>
          <cell r="AF763" t="str">
            <v>Tr1</v>
          </cell>
          <cell r="AG763" t="str">
            <v>Tr1-2002</v>
          </cell>
          <cell r="AH763" t="str">
            <v>2002-Tr1</v>
          </cell>
          <cell r="AI763">
            <v>1</v>
          </cell>
          <cell r="AJ763" t="str">
            <v>01</v>
          </cell>
        </row>
        <row r="764">
          <cell r="AA764" t="str">
            <v>Aaa</v>
          </cell>
          <cell r="AB764">
            <v>37269</v>
          </cell>
          <cell r="AC764">
            <v>2002</v>
          </cell>
          <cell r="AD764" t="str">
            <v>St1</v>
          </cell>
          <cell r="AE764" t="str">
            <v>Qd1</v>
          </cell>
          <cell r="AF764" t="str">
            <v>Tr1</v>
          </cell>
          <cell r="AG764" t="str">
            <v>Tr1-2002</v>
          </cell>
          <cell r="AH764" t="str">
            <v>2002-Tr1</v>
          </cell>
          <cell r="AI764">
            <v>1</v>
          </cell>
          <cell r="AJ764" t="str">
            <v>01</v>
          </cell>
        </row>
        <row r="765">
          <cell r="AA765" t="str">
            <v>Aaa</v>
          </cell>
          <cell r="AB765">
            <v>37270</v>
          </cell>
          <cell r="AC765">
            <v>2002</v>
          </cell>
          <cell r="AD765" t="str">
            <v>St1</v>
          </cell>
          <cell r="AE765" t="str">
            <v>Qd1</v>
          </cell>
          <cell r="AF765" t="str">
            <v>Tr1</v>
          </cell>
          <cell r="AG765" t="str">
            <v>Tr1-2002</v>
          </cell>
          <cell r="AH765" t="str">
            <v>2002-Tr1</v>
          </cell>
          <cell r="AI765">
            <v>1</v>
          </cell>
          <cell r="AJ765" t="str">
            <v>01</v>
          </cell>
        </row>
        <row r="766">
          <cell r="AA766" t="str">
            <v>Aaa</v>
          </cell>
          <cell r="AB766">
            <v>37271</v>
          </cell>
          <cell r="AC766">
            <v>2002</v>
          </cell>
          <cell r="AD766" t="str">
            <v>St1</v>
          </cell>
          <cell r="AE766" t="str">
            <v>Qd1</v>
          </cell>
          <cell r="AF766" t="str">
            <v>Tr1</v>
          </cell>
          <cell r="AG766" t="str">
            <v>Tr1-2002</v>
          </cell>
          <cell r="AH766" t="str">
            <v>2002-Tr1</v>
          </cell>
          <cell r="AI766">
            <v>1</v>
          </cell>
          <cell r="AJ766" t="str">
            <v>01</v>
          </cell>
        </row>
        <row r="767">
          <cell r="AA767" t="str">
            <v>Aaa</v>
          </cell>
          <cell r="AB767">
            <v>37272</v>
          </cell>
          <cell r="AC767">
            <v>2002</v>
          </cell>
          <cell r="AD767" t="str">
            <v>St1</v>
          </cell>
          <cell r="AE767" t="str">
            <v>Qd1</v>
          </cell>
          <cell r="AF767" t="str">
            <v>Tr1</v>
          </cell>
          <cell r="AG767" t="str">
            <v>Tr1-2002</v>
          </cell>
          <cell r="AH767" t="str">
            <v>2002-Tr1</v>
          </cell>
          <cell r="AI767">
            <v>1</v>
          </cell>
          <cell r="AJ767" t="str">
            <v>01</v>
          </cell>
        </row>
        <row r="768">
          <cell r="AA768" t="str">
            <v>Aaa</v>
          </cell>
          <cell r="AB768">
            <v>37273</v>
          </cell>
          <cell r="AC768">
            <v>2002</v>
          </cell>
          <cell r="AD768" t="str">
            <v>St1</v>
          </cell>
          <cell r="AE768" t="str">
            <v>Qd1</v>
          </cell>
          <cell r="AF768" t="str">
            <v>Tr1</v>
          </cell>
          <cell r="AG768" t="str">
            <v>Tr1-2002</v>
          </cell>
          <cell r="AH768" t="str">
            <v>2002-Tr1</v>
          </cell>
          <cell r="AI768">
            <v>1</v>
          </cell>
          <cell r="AJ768" t="str">
            <v>01</v>
          </cell>
        </row>
        <row r="769">
          <cell r="AA769" t="str">
            <v>Aaa</v>
          </cell>
          <cell r="AB769">
            <v>37274</v>
          </cell>
          <cell r="AC769">
            <v>2002</v>
          </cell>
          <cell r="AD769" t="str">
            <v>St1</v>
          </cell>
          <cell r="AE769" t="str">
            <v>Qd1</v>
          </cell>
          <cell r="AF769" t="str">
            <v>Tr1</v>
          </cell>
          <cell r="AG769" t="str">
            <v>Tr1-2002</v>
          </cell>
          <cell r="AH769" t="str">
            <v>2002-Tr1</v>
          </cell>
          <cell r="AI769">
            <v>1</v>
          </cell>
          <cell r="AJ769" t="str">
            <v>01</v>
          </cell>
        </row>
        <row r="770">
          <cell r="AA770" t="str">
            <v>Aaa</v>
          </cell>
          <cell r="AB770">
            <v>37275</v>
          </cell>
          <cell r="AC770">
            <v>2002</v>
          </cell>
          <cell r="AD770" t="str">
            <v>St1</v>
          </cell>
          <cell r="AE770" t="str">
            <v>Qd1</v>
          </cell>
          <cell r="AF770" t="str">
            <v>Tr1</v>
          </cell>
          <cell r="AG770" t="str">
            <v>Tr1-2002</v>
          </cell>
          <cell r="AH770" t="str">
            <v>2002-Tr1</v>
          </cell>
          <cell r="AI770">
            <v>1</v>
          </cell>
          <cell r="AJ770" t="str">
            <v>01</v>
          </cell>
        </row>
        <row r="771">
          <cell r="AA771" t="str">
            <v>Aaa</v>
          </cell>
          <cell r="AB771">
            <v>37276</v>
          </cell>
          <cell r="AC771">
            <v>2002</v>
          </cell>
          <cell r="AD771" t="str">
            <v>St1</v>
          </cell>
          <cell r="AE771" t="str">
            <v>Qd1</v>
          </cell>
          <cell r="AF771" t="str">
            <v>Tr1</v>
          </cell>
          <cell r="AG771" t="str">
            <v>Tr1-2002</v>
          </cell>
          <cell r="AH771" t="str">
            <v>2002-Tr1</v>
          </cell>
          <cell r="AI771">
            <v>1</v>
          </cell>
          <cell r="AJ771" t="str">
            <v>01</v>
          </cell>
        </row>
        <row r="772">
          <cell r="AA772" t="str">
            <v>Aaa</v>
          </cell>
          <cell r="AB772">
            <v>37277</v>
          </cell>
          <cell r="AC772">
            <v>2002</v>
          </cell>
          <cell r="AD772" t="str">
            <v>St1</v>
          </cell>
          <cell r="AE772" t="str">
            <v>Qd1</v>
          </cell>
          <cell r="AF772" t="str">
            <v>Tr1</v>
          </cell>
          <cell r="AG772" t="str">
            <v>Tr1-2002</v>
          </cell>
          <cell r="AH772" t="str">
            <v>2002-Tr1</v>
          </cell>
          <cell r="AI772">
            <v>1</v>
          </cell>
          <cell r="AJ772" t="str">
            <v>01</v>
          </cell>
        </row>
        <row r="773">
          <cell r="AA773" t="str">
            <v>Aaa</v>
          </cell>
          <cell r="AB773">
            <v>37278</v>
          </cell>
          <cell r="AC773">
            <v>2002</v>
          </cell>
          <cell r="AD773" t="str">
            <v>St1</v>
          </cell>
          <cell r="AE773" t="str">
            <v>Qd1</v>
          </cell>
          <cell r="AF773" t="str">
            <v>Tr1</v>
          </cell>
          <cell r="AG773" t="str">
            <v>Tr1-2002</v>
          </cell>
          <cell r="AH773" t="str">
            <v>2002-Tr1</v>
          </cell>
          <cell r="AI773">
            <v>1</v>
          </cell>
          <cell r="AJ773" t="str">
            <v>01</v>
          </cell>
        </row>
        <row r="774">
          <cell r="AA774" t="str">
            <v>Aaa</v>
          </cell>
          <cell r="AB774">
            <v>37279</v>
          </cell>
          <cell r="AC774">
            <v>2002</v>
          </cell>
          <cell r="AD774" t="str">
            <v>St1</v>
          </cell>
          <cell r="AE774" t="str">
            <v>Qd1</v>
          </cell>
          <cell r="AF774" t="str">
            <v>Tr1</v>
          </cell>
          <cell r="AG774" t="str">
            <v>Tr1-2002</v>
          </cell>
          <cell r="AH774" t="str">
            <v>2002-Tr1</v>
          </cell>
          <cell r="AI774">
            <v>1</v>
          </cell>
          <cell r="AJ774" t="str">
            <v>01</v>
          </cell>
        </row>
        <row r="775">
          <cell r="AA775" t="str">
            <v>Aaa</v>
          </cell>
          <cell r="AB775">
            <v>37280</v>
          </cell>
          <cell r="AC775">
            <v>2002</v>
          </cell>
          <cell r="AD775" t="str">
            <v>St1</v>
          </cell>
          <cell r="AE775" t="str">
            <v>Qd1</v>
          </cell>
          <cell r="AF775" t="str">
            <v>Tr1</v>
          </cell>
          <cell r="AG775" t="str">
            <v>Tr1-2002</v>
          </cell>
          <cell r="AH775" t="str">
            <v>2002-Tr1</v>
          </cell>
          <cell r="AI775">
            <v>1</v>
          </cell>
          <cell r="AJ775" t="str">
            <v>01</v>
          </cell>
        </row>
        <row r="776">
          <cell r="AA776" t="str">
            <v>Aaa</v>
          </cell>
          <cell r="AB776">
            <v>37281</v>
          </cell>
          <cell r="AC776">
            <v>2002</v>
          </cell>
          <cell r="AD776" t="str">
            <v>St1</v>
          </cell>
          <cell r="AE776" t="str">
            <v>Qd1</v>
          </cell>
          <cell r="AF776" t="str">
            <v>Tr1</v>
          </cell>
          <cell r="AG776" t="str">
            <v>Tr1-2002</v>
          </cell>
          <cell r="AH776" t="str">
            <v>2002-Tr1</v>
          </cell>
          <cell r="AI776">
            <v>1</v>
          </cell>
          <cell r="AJ776" t="str">
            <v>01</v>
          </cell>
        </row>
        <row r="777">
          <cell r="AA777" t="str">
            <v>Aaa</v>
          </cell>
          <cell r="AB777">
            <v>37282</v>
          </cell>
          <cell r="AC777">
            <v>2002</v>
          </cell>
          <cell r="AD777" t="str">
            <v>St1</v>
          </cell>
          <cell r="AE777" t="str">
            <v>Qd1</v>
          </cell>
          <cell r="AF777" t="str">
            <v>Tr1</v>
          </cell>
          <cell r="AG777" t="str">
            <v>Tr1-2002</v>
          </cell>
          <cell r="AH777" t="str">
            <v>2002-Tr1</v>
          </cell>
          <cell r="AI777">
            <v>1</v>
          </cell>
          <cell r="AJ777" t="str">
            <v>01</v>
          </cell>
        </row>
        <row r="778">
          <cell r="AA778" t="str">
            <v>Aaa</v>
          </cell>
          <cell r="AB778">
            <v>37283</v>
          </cell>
          <cell r="AC778">
            <v>2002</v>
          </cell>
          <cell r="AD778" t="str">
            <v>St1</v>
          </cell>
          <cell r="AE778" t="str">
            <v>Qd1</v>
          </cell>
          <cell r="AF778" t="str">
            <v>Tr1</v>
          </cell>
          <cell r="AG778" t="str">
            <v>Tr1-2002</v>
          </cell>
          <cell r="AH778" t="str">
            <v>2002-Tr1</v>
          </cell>
          <cell r="AI778">
            <v>1</v>
          </cell>
          <cell r="AJ778" t="str">
            <v>01</v>
          </cell>
        </row>
        <row r="779">
          <cell r="AA779" t="str">
            <v>Aaa</v>
          </cell>
          <cell r="AB779">
            <v>37284</v>
          </cell>
          <cell r="AC779">
            <v>2002</v>
          </cell>
          <cell r="AD779" t="str">
            <v>St1</v>
          </cell>
          <cell r="AE779" t="str">
            <v>Qd1</v>
          </cell>
          <cell r="AF779" t="str">
            <v>Tr1</v>
          </cell>
          <cell r="AG779" t="str">
            <v>Tr1-2002</v>
          </cell>
          <cell r="AH779" t="str">
            <v>2002-Tr1</v>
          </cell>
          <cell r="AI779">
            <v>1</v>
          </cell>
          <cell r="AJ779" t="str">
            <v>01</v>
          </cell>
        </row>
        <row r="780">
          <cell r="AA780" t="str">
            <v>Aaa</v>
          </cell>
          <cell r="AB780">
            <v>37285</v>
          </cell>
          <cell r="AC780">
            <v>2002</v>
          </cell>
          <cell r="AD780" t="str">
            <v>St1</v>
          </cell>
          <cell r="AE780" t="str">
            <v>Qd1</v>
          </cell>
          <cell r="AF780" t="str">
            <v>Tr1</v>
          </cell>
          <cell r="AG780" t="str">
            <v>Tr1-2002</v>
          </cell>
          <cell r="AH780" t="str">
            <v>2002-Tr1</v>
          </cell>
          <cell r="AI780">
            <v>1</v>
          </cell>
          <cell r="AJ780" t="str">
            <v>01</v>
          </cell>
        </row>
        <row r="781">
          <cell r="AA781" t="str">
            <v>Aaa</v>
          </cell>
          <cell r="AB781">
            <v>37286</v>
          </cell>
          <cell r="AC781">
            <v>2002</v>
          </cell>
          <cell r="AD781" t="str">
            <v>St1</v>
          </cell>
          <cell r="AE781" t="str">
            <v>Qd1</v>
          </cell>
          <cell r="AF781" t="str">
            <v>Tr1</v>
          </cell>
          <cell r="AG781" t="str">
            <v>Tr1-2002</v>
          </cell>
          <cell r="AH781" t="str">
            <v>2002-Tr1</v>
          </cell>
          <cell r="AI781">
            <v>1</v>
          </cell>
          <cell r="AJ781" t="str">
            <v>01</v>
          </cell>
        </row>
        <row r="782">
          <cell r="AA782" t="str">
            <v>Aaa</v>
          </cell>
          <cell r="AB782">
            <v>37287</v>
          </cell>
          <cell r="AC782">
            <v>2002</v>
          </cell>
          <cell r="AD782" t="str">
            <v>St1</v>
          </cell>
          <cell r="AE782" t="str">
            <v>Qd1</v>
          </cell>
          <cell r="AF782" t="str">
            <v>Tr1</v>
          </cell>
          <cell r="AG782" t="str">
            <v>Tr1-2002</v>
          </cell>
          <cell r="AH782" t="str">
            <v>2002-Tr1</v>
          </cell>
          <cell r="AI782">
            <v>1</v>
          </cell>
          <cell r="AJ782" t="str">
            <v>01</v>
          </cell>
        </row>
        <row r="783">
          <cell r="AA783" t="str">
            <v>Aaa</v>
          </cell>
          <cell r="AB783">
            <v>37288</v>
          </cell>
          <cell r="AC783">
            <v>2002</v>
          </cell>
          <cell r="AD783" t="str">
            <v>St1</v>
          </cell>
          <cell r="AE783" t="str">
            <v>Qd1</v>
          </cell>
          <cell r="AF783" t="str">
            <v>Tr1</v>
          </cell>
          <cell r="AG783" t="str">
            <v>Tr1-2002</v>
          </cell>
          <cell r="AH783" t="str">
            <v>2002-Tr1</v>
          </cell>
          <cell r="AI783">
            <v>2</v>
          </cell>
          <cell r="AJ783" t="str">
            <v>02</v>
          </cell>
        </row>
        <row r="784">
          <cell r="AA784" t="str">
            <v>Aaa</v>
          </cell>
          <cell r="AB784">
            <v>37289</v>
          </cell>
          <cell r="AC784">
            <v>2002</v>
          </cell>
          <cell r="AD784" t="str">
            <v>St1</v>
          </cell>
          <cell r="AE784" t="str">
            <v>Qd1</v>
          </cell>
          <cell r="AF784" t="str">
            <v>Tr1</v>
          </cell>
          <cell r="AG784" t="str">
            <v>Tr1-2002</v>
          </cell>
          <cell r="AH784" t="str">
            <v>2002-Tr1</v>
          </cell>
          <cell r="AI784">
            <v>2</v>
          </cell>
          <cell r="AJ784" t="str">
            <v>02</v>
          </cell>
        </row>
        <row r="785">
          <cell r="AA785" t="str">
            <v>Aaa</v>
          </cell>
          <cell r="AB785">
            <v>37290</v>
          </cell>
          <cell r="AC785">
            <v>2002</v>
          </cell>
          <cell r="AD785" t="str">
            <v>St1</v>
          </cell>
          <cell r="AE785" t="str">
            <v>Qd1</v>
          </cell>
          <cell r="AF785" t="str">
            <v>Tr1</v>
          </cell>
          <cell r="AG785" t="str">
            <v>Tr1-2002</v>
          </cell>
          <cell r="AH785" t="str">
            <v>2002-Tr1</v>
          </cell>
          <cell r="AI785">
            <v>2</v>
          </cell>
          <cell r="AJ785" t="str">
            <v>02</v>
          </cell>
        </row>
        <row r="786">
          <cell r="AA786" t="str">
            <v>Aaa</v>
          </cell>
          <cell r="AB786">
            <v>37291</v>
          </cell>
          <cell r="AC786">
            <v>2002</v>
          </cell>
          <cell r="AD786" t="str">
            <v>St1</v>
          </cell>
          <cell r="AE786" t="str">
            <v>Qd1</v>
          </cell>
          <cell r="AF786" t="str">
            <v>Tr1</v>
          </cell>
          <cell r="AG786" t="str">
            <v>Tr1-2002</v>
          </cell>
          <cell r="AH786" t="str">
            <v>2002-Tr1</v>
          </cell>
          <cell r="AI786">
            <v>2</v>
          </cell>
          <cell r="AJ786" t="str">
            <v>02</v>
          </cell>
        </row>
        <row r="787">
          <cell r="AA787" t="str">
            <v>Aaa</v>
          </cell>
          <cell r="AB787">
            <v>37292</v>
          </cell>
          <cell r="AC787">
            <v>2002</v>
          </cell>
          <cell r="AD787" t="str">
            <v>St1</v>
          </cell>
          <cell r="AE787" t="str">
            <v>Qd1</v>
          </cell>
          <cell r="AF787" t="str">
            <v>Tr1</v>
          </cell>
          <cell r="AG787" t="str">
            <v>Tr1-2002</v>
          </cell>
          <cell r="AH787" t="str">
            <v>2002-Tr1</v>
          </cell>
          <cell r="AI787">
            <v>2</v>
          </cell>
          <cell r="AJ787" t="str">
            <v>02</v>
          </cell>
        </row>
        <row r="788">
          <cell r="AA788" t="str">
            <v>Aaa</v>
          </cell>
          <cell r="AB788">
            <v>37293</v>
          </cell>
          <cell r="AC788">
            <v>2002</v>
          </cell>
          <cell r="AD788" t="str">
            <v>St1</v>
          </cell>
          <cell r="AE788" t="str">
            <v>Qd1</v>
          </cell>
          <cell r="AF788" t="str">
            <v>Tr1</v>
          </cell>
          <cell r="AG788" t="str">
            <v>Tr1-2002</v>
          </cell>
          <cell r="AH788" t="str">
            <v>2002-Tr1</v>
          </cell>
          <cell r="AI788">
            <v>2</v>
          </cell>
          <cell r="AJ788" t="str">
            <v>02</v>
          </cell>
        </row>
        <row r="789">
          <cell r="AA789" t="str">
            <v>Aaa</v>
          </cell>
          <cell r="AB789">
            <v>37294</v>
          </cell>
          <cell r="AC789">
            <v>2002</v>
          </cell>
          <cell r="AD789" t="str">
            <v>St1</v>
          </cell>
          <cell r="AE789" t="str">
            <v>Qd1</v>
          </cell>
          <cell r="AF789" t="str">
            <v>Tr1</v>
          </cell>
          <cell r="AG789" t="str">
            <v>Tr1-2002</v>
          </cell>
          <cell r="AH789" t="str">
            <v>2002-Tr1</v>
          </cell>
          <cell r="AI789">
            <v>2</v>
          </cell>
          <cell r="AJ789" t="str">
            <v>02</v>
          </cell>
        </row>
        <row r="790">
          <cell r="AA790" t="str">
            <v>Aaa</v>
          </cell>
          <cell r="AB790">
            <v>37295</v>
          </cell>
          <cell r="AC790">
            <v>2002</v>
          </cell>
          <cell r="AD790" t="str">
            <v>St1</v>
          </cell>
          <cell r="AE790" t="str">
            <v>Qd1</v>
          </cell>
          <cell r="AF790" t="str">
            <v>Tr1</v>
          </cell>
          <cell r="AG790" t="str">
            <v>Tr1-2002</v>
          </cell>
          <cell r="AH790" t="str">
            <v>2002-Tr1</v>
          </cell>
          <cell r="AI790">
            <v>2</v>
          </cell>
          <cell r="AJ790" t="str">
            <v>02</v>
          </cell>
        </row>
        <row r="791">
          <cell r="AA791" t="str">
            <v>Aaa</v>
          </cell>
          <cell r="AB791">
            <v>37296</v>
          </cell>
          <cell r="AC791">
            <v>2002</v>
          </cell>
          <cell r="AD791" t="str">
            <v>St1</v>
          </cell>
          <cell r="AE791" t="str">
            <v>Qd1</v>
          </cell>
          <cell r="AF791" t="str">
            <v>Tr1</v>
          </cell>
          <cell r="AG791" t="str">
            <v>Tr1-2002</v>
          </cell>
          <cell r="AH791" t="str">
            <v>2002-Tr1</v>
          </cell>
          <cell r="AI791">
            <v>2</v>
          </cell>
          <cell r="AJ791" t="str">
            <v>02</v>
          </cell>
        </row>
        <row r="792">
          <cell r="AA792" t="str">
            <v>Aaa</v>
          </cell>
          <cell r="AB792">
            <v>37297</v>
          </cell>
          <cell r="AC792">
            <v>2002</v>
          </cell>
          <cell r="AD792" t="str">
            <v>St1</v>
          </cell>
          <cell r="AE792" t="str">
            <v>Qd1</v>
          </cell>
          <cell r="AF792" t="str">
            <v>Tr1</v>
          </cell>
          <cell r="AG792" t="str">
            <v>Tr1-2002</v>
          </cell>
          <cell r="AH792" t="str">
            <v>2002-Tr1</v>
          </cell>
          <cell r="AI792">
            <v>2</v>
          </cell>
          <cell r="AJ792" t="str">
            <v>02</v>
          </cell>
        </row>
        <row r="793">
          <cell r="AA793" t="str">
            <v>Aaa</v>
          </cell>
          <cell r="AB793">
            <v>37298</v>
          </cell>
          <cell r="AC793">
            <v>2002</v>
          </cell>
          <cell r="AD793" t="str">
            <v>St1</v>
          </cell>
          <cell r="AE793" t="str">
            <v>Qd1</v>
          </cell>
          <cell r="AF793" t="str">
            <v>Tr1</v>
          </cell>
          <cell r="AG793" t="str">
            <v>Tr1-2002</v>
          </cell>
          <cell r="AH793" t="str">
            <v>2002-Tr1</v>
          </cell>
          <cell r="AI793">
            <v>2</v>
          </cell>
          <cell r="AJ793" t="str">
            <v>02</v>
          </cell>
        </row>
        <row r="794">
          <cell r="AA794" t="str">
            <v>Aaa</v>
          </cell>
          <cell r="AB794">
            <v>37299</v>
          </cell>
          <cell r="AC794">
            <v>2002</v>
          </cell>
          <cell r="AD794" t="str">
            <v>St1</v>
          </cell>
          <cell r="AE794" t="str">
            <v>Qd1</v>
          </cell>
          <cell r="AF794" t="str">
            <v>Tr1</v>
          </cell>
          <cell r="AG794" t="str">
            <v>Tr1-2002</v>
          </cell>
          <cell r="AH794" t="str">
            <v>2002-Tr1</v>
          </cell>
          <cell r="AI794">
            <v>2</v>
          </cell>
          <cell r="AJ794" t="str">
            <v>02</v>
          </cell>
        </row>
        <row r="795">
          <cell r="AA795" t="str">
            <v>Aaa</v>
          </cell>
          <cell r="AB795">
            <v>37300</v>
          </cell>
          <cell r="AC795">
            <v>2002</v>
          </cell>
          <cell r="AD795" t="str">
            <v>St1</v>
          </cell>
          <cell r="AE795" t="str">
            <v>Qd1</v>
          </cell>
          <cell r="AF795" t="str">
            <v>Tr1</v>
          </cell>
          <cell r="AG795" t="str">
            <v>Tr1-2002</v>
          </cell>
          <cell r="AH795" t="str">
            <v>2002-Tr1</v>
          </cell>
          <cell r="AI795">
            <v>2</v>
          </cell>
          <cell r="AJ795" t="str">
            <v>02</v>
          </cell>
        </row>
        <row r="796">
          <cell r="AA796" t="str">
            <v>Aaa</v>
          </cell>
          <cell r="AB796">
            <v>37301</v>
          </cell>
          <cell r="AC796">
            <v>2002</v>
          </cell>
          <cell r="AD796" t="str">
            <v>St1</v>
          </cell>
          <cell r="AE796" t="str">
            <v>Qd1</v>
          </cell>
          <cell r="AF796" t="str">
            <v>Tr1</v>
          </cell>
          <cell r="AG796" t="str">
            <v>Tr1-2002</v>
          </cell>
          <cell r="AH796" t="str">
            <v>2002-Tr1</v>
          </cell>
          <cell r="AI796">
            <v>2</v>
          </cell>
          <cell r="AJ796" t="str">
            <v>02</v>
          </cell>
        </row>
        <row r="797">
          <cell r="AA797" t="str">
            <v>Aaa</v>
          </cell>
          <cell r="AB797">
            <v>37302</v>
          </cell>
          <cell r="AC797">
            <v>2002</v>
          </cell>
          <cell r="AD797" t="str">
            <v>St1</v>
          </cell>
          <cell r="AE797" t="str">
            <v>Qd1</v>
          </cell>
          <cell r="AF797" t="str">
            <v>Tr1</v>
          </cell>
          <cell r="AG797" t="str">
            <v>Tr1-2002</v>
          </cell>
          <cell r="AH797" t="str">
            <v>2002-Tr1</v>
          </cell>
          <cell r="AI797">
            <v>2</v>
          </cell>
          <cell r="AJ797" t="str">
            <v>02</v>
          </cell>
        </row>
        <row r="798">
          <cell r="AA798" t="str">
            <v>Aaa</v>
          </cell>
          <cell r="AB798">
            <v>37303</v>
          </cell>
          <cell r="AC798">
            <v>2002</v>
          </cell>
          <cell r="AD798" t="str">
            <v>St1</v>
          </cell>
          <cell r="AE798" t="str">
            <v>Qd1</v>
          </cell>
          <cell r="AF798" t="str">
            <v>Tr1</v>
          </cell>
          <cell r="AG798" t="str">
            <v>Tr1-2002</v>
          </cell>
          <cell r="AH798" t="str">
            <v>2002-Tr1</v>
          </cell>
          <cell r="AI798">
            <v>2</v>
          </cell>
          <cell r="AJ798" t="str">
            <v>02</v>
          </cell>
        </row>
        <row r="799">
          <cell r="AA799" t="str">
            <v>Aaa</v>
          </cell>
          <cell r="AB799">
            <v>37304</v>
          </cell>
          <cell r="AC799">
            <v>2002</v>
          </cell>
          <cell r="AD799" t="str">
            <v>St1</v>
          </cell>
          <cell r="AE799" t="str">
            <v>Qd1</v>
          </cell>
          <cell r="AF799" t="str">
            <v>Tr1</v>
          </cell>
          <cell r="AG799" t="str">
            <v>Tr1-2002</v>
          </cell>
          <cell r="AH799" t="str">
            <v>2002-Tr1</v>
          </cell>
          <cell r="AI799">
            <v>2</v>
          </cell>
          <cell r="AJ799" t="str">
            <v>02</v>
          </cell>
        </row>
        <row r="800">
          <cell r="AA800" t="str">
            <v>Aaa</v>
          </cell>
          <cell r="AB800">
            <v>37305</v>
          </cell>
          <cell r="AC800">
            <v>2002</v>
          </cell>
          <cell r="AD800" t="str">
            <v>St1</v>
          </cell>
          <cell r="AE800" t="str">
            <v>Qd1</v>
          </cell>
          <cell r="AF800" t="str">
            <v>Tr1</v>
          </cell>
          <cell r="AG800" t="str">
            <v>Tr1-2002</v>
          </cell>
          <cell r="AH800" t="str">
            <v>2002-Tr1</v>
          </cell>
          <cell r="AI800">
            <v>2</v>
          </cell>
          <cell r="AJ800" t="str">
            <v>02</v>
          </cell>
        </row>
        <row r="801">
          <cell r="AA801" t="str">
            <v>Aaa</v>
          </cell>
          <cell r="AB801">
            <v>37306</v>
          </cell>
          <cell r="AC801">
            <v>2002</v>
          </cell>
          <cell r="AD801" t="str">
            <v>St1</v>
          </cell>
          <cell r="AE801" t="str">
            <v>Qd1</v>
          </cell>
          <cell r="AF801" t="str">
            <v>Tr1</v>
          </cell>
          <cell r="AG801" t="str">
            <v>Tr1-2002</v>
          </cell>
          <cell r="AH801" t="str">
            <v>2002-Tr1</v>
          </cell>
          <cell r="AI801">
            <v>2</v>
          </cell>
          <cell r="AJ801" t="str">
            <v>02</v>
          </cell>
        </row>
        <row r="802">
          <cell r="AA802" t="str">
            <v>Aaa</v>
          </cell>
          <cell r="AB802">
            <v>37307</v>
          </cell>
          <cell r="AC802">
            <v>2002</v>
          </cell>
          <cell r="AD802" t="str">
            <v>St1</v>
          </cell>
          <cell r="AE802" t="str">
            <v>Qd1</v>
          </cell>
          <cell r="AF802" t="str">
            <v>Tr1</v>
          </cell>
          <cell r="AG802" t="str">
            <v>Tr1-2002</v>
          </cell>
          <cell r="AH802" t="str">
            <v>2002-Tr1</v>
          </cell>
          <cell r="AI802">
            <v>2</v>
          </cell>
          <cell r="AJ802" t="str">
            <v>02</v>
          </cell>
        </row>
        <row r="803">
          <cell r="AA803" t="str">
            <v>Aaa</v>
          </cell>
          <cell r="AB803">
            <v>37308</v>
          </cell>
          <cell r="AC803">
            <v>2002</v>
          </cell>
          <cell r="AD803" t="str">
            <v>St1</v>
          </cell>
          <cell r="AE803" t="str">
            <v>Qd1</v>
          </cell>
          <cell r="AF803" t="str">
            <v>Tr1</v>
          </cell>
          <cell r="AG803" t="str">
            <v>Tr1-2002</v>
          </cell>
          <cell r="AH803" t="str">
            <v>2002-Tr1</v>
          </cell>
          <cell r="AI803">
            <v>2</v>
          </cell>
          <cell r="AJ803" t="str">
            <v>02</v>
          </cell>
        </row>
        <row r="804">
          <cell r="AA804" t="str">
            <v>Aaa</v>
          </cell>
          <cell r="AB804">
            <v>37309</v>
          </cell>
          <cell r="AC804">
            <v>2002</v>
          </cell>
          <cell r="AD804" t="str">
            <v>St1</v>
          </cell>
          <cell r="AE804" t="str">
            <v>Qd1</v>
          </cell>
          <cell r="AF804" t="str">
            <v>Tr1</v>
          </cell>
          <cell r="AG804" t="str">
            <v>Tr1-2002</v>
          </cell>
          <cell r="AH804" t="str">
            <v>2002-Tr1</v>
          </cell>
          <cell r="AI804">
            <v>2</v>
          </cell>
          <cell r="AJ804" t="str">
            <v>02</v>
          </cell>
        </row>
        <row r="805">
          <cell r="AA805" t="str">
            <v>Aaa</v>
          </cell>
          <cell r="AB805">
            <v>37310</v>
          </cell>
          <cell r="AC805">
            <v>2002</v>
          </cell>
          <cell r="AD805" t="str">
            <v>St1</v>
          </cell>
          <cell r="AE805" t="str">
            <v>Qd1</v>
          </cell>
          <cell r="AF805" t="str">
            <v>Tr1</v>
          </cell>
          <cell r="AG805" t="str">
            <v>Tr1-2002</v>
          </cell>
          <cell r="AH805" t="str">
            <v>2002-Tr1</v>
          </cell>
          <cell r="AI805">
            <v>2</v>
          </cell>
          <cell r="AJ805" t="str">
            <v>02</v>
          </cell>
        </row>
        <row r="806">
          <cell r="AA806" t="str">
            <v>Aaa</v>
          </cell>
          <cell r="AB806">
            <v>37311</v>
          </cell>
          <cell r="AC806">
            <v>2002</v>
          </cell>
          <cell r="AD806" t="str">
            <v>St1</v>
          </cell>
          <cell r="AE806" t="str">
            <v>Qd1</v>
          </cell>
          <cell r="AF806" t="str">
            <v>Tr1</v>
          </cell>
          <cell r="AG806" t="str">
            <v>Tr1-2002</v>
          </cell>
          <cell r="AH806" t="str">
            <v>2002-Tr1</v>
          </cell>
          <cell r="AI806">
            <v>2</v>
          </cell>
          <cell r="AJ806" t="str">
            <v>02</v>
          </cell>
        </row>
        <row r="807">
          <cell r="AA807" t="str">
            <v>Aaa</v>
          </cell>
          <cell r="AB807">
            <v>37312</v>
          </cell>
          <cell r="AC807">
            <v>2002</v>
          </cell>
          <cell r="AD807" t="str">
            <v>St1</v>
          </cell>
          <cell r="AE807" t="str">
            <v>Qd1</v>
          </cell>
          <cell r="AF807" t="str">
            <v>Tr1</v>
          </cell>
          <cell r="AG807" t="str">
            <v>Tr1-2002</v>
          </cell>
          <cell r="AH807" t="str">
            <v>2002-Tr1</v>
          </cell>
          <cell r="AI807">
            <v>2</v>
          </cell>
          <cell r="AJ807" t="str">
            <v>02</v>
          </cell>
        </row>
        <row r="808">
          <cell r="AA808" t="str">
            <v>Aaa</v>
          </cell>
          <cell r="AB808">
            <v>37313</v>
          </cell>
          <cell r="AC808">
            <v>2002</v>
          </cell>
          <cell r="AD808" t="str">
            <v>St1</v>
          </cell>
          <cell r="AE808" t="str">
            <v>Qd1</v>
          </cell>
          <cell r="AF808" t="str">
            <v>Tr1</v>
          </cell>
          <cell r="AG808" t="str">
            <v>Tr1-2002</v>
          </cell>
          <cell r="AH808" t="str">
            <v>2002-Tr1</v>
          </cell>
          <cell r="AI808">
            <v>2</v>
          </cell>
          <cell r="AJ808" t="str">
            <v>02</v>
          </cell>
        </row>
        <row r="809">
          <cell r="AA809" t="str">
            <v>Aaa</v>
          </cell>
          <cell r="AB809">
            <v>37314</v>
          </cell>
          <cell r="AC809">
            <v>2002</v>
          </cell>
          <cell r="AD809" t="str">
            <v>St1</v>
          </cell>
          <cell r="AE809" t="str">
            <v>Qd1</v>
          </cell>
          <cell r="AF809" t="str">
            <v>Tr1</v>
          </cell>
          <cell r="AG809" t="str">
            <v>Tr1-2002</v>
          </cell>
          <cell r="AH809" t="str">
            <v>2002-Tr1</v>
          </cell>
          <cell r="AI809">
            <v>2</v>
          </cell>
          <cell r="AJ809" t="str">
            <v>02</v>
          </cell>
        </row>
        <row r="810">
          <cell r="AA810" t="str">
            <v>Aaa</v>
          </cell>
          <cell r="AB810">
            <v>37315</v>
          </cell>
          <cell r="AC810">
            <v>2002</v>
          </cell>
          <cell r="AD810" t="str">
            <v>St1</v>
          </cell>
          <cell r="AE810" t="str">
            <v>Qd1</v>
          </cell>
          <cell r="AF810" t="str">
            <v>Tr1</v>
          </cell>
          <cell r="AG810" t="str">
            <v>Tr1-2002</v>
          </cell>
          <cell r="AH810" t="str">
            <v>2002-Tr1</v>
          </cell>
          <cell r="AI810">
            <v>2</v>
          </cell>
          <cell r="AJ810" t="str">
            <v>02</v>
          </cell>
        </row>
        <row r="811">
          <cell r="AA811" t="str">
            <v>Aaa</v>
          </cell>
          <cell r="AB811">
            <v>37316</v>
          </cell>
          <cell r="AC811">
            <v>2002</v>
          </cell>
          <cell r="AD811" t="str">
            <v>St1</v>
          </cell>
          <cell r="AE811" t="str">
            <v>Qd1</v>
          </cell>
          <cell r="AF811" t="str">
            <v>Tr1</v>
          </cell>
          <cell r="AG811" t="str">
            <v>Tr1-2002</v>
          </cell>
          <cell r="AH811" t="str">
            <v>2002-Tr1</v>
          </cell>
          <cell r="AI811">
            <v>3</v>
          </cell>
          <cell r="AJ811" t="str">
            <v>03</v>
          </cell>
        </row>
        <row r="812">
          <cell r="AA812" t="str">
            <v>Aaa</v>
          </cell>
          <cell r="AB812">
            <v>37317</v>
          </cell>
          <cell r="AC812">
            <v>2002</v>
          </cell>
          <cell r="AD812" t="str">
            <v>St1</v>
          </cell>
          <cell r="AE812" t="str">
            <v>Qd1</v>
          </cell>
          <cell r="AF812" t="str">
            <v>Tr1</v>
          </cell>
          <cell r="AG812" t="str">
            <v>Tr1-2002</v>
          </cell>
          <cell r="AH812" t="str">
            <v>2002-Tr1</v>
          </cell>
          <cell r="AI812">
            <v>3</v>
          </cell>
          <cell r="AJ812" t="str">
            <v>03</v>
          </cell>
        </row>
        <row r="813">
          <cell r="AA813" t="str">
            <v>Aaa</v>
          </cell>
          <cell r="AB813">
            <v>37318</v>
          </cell>
          <cell r="AC813">
            <v>2002</v>
          </cell>
          <cell r="AD813" t="str">
            <v>St1</v>
          </cell>
          <cell r="AE813" t="str">
            <v>Qd1</v>
          </cell>
          <cell r="AF813" t="str">
            <v>Tr1</v>
          </cell>
          <cell r="AG813" t="str">
            <v>Tr1-2002</v>
          </cell>
          <cell r="AH813" t="str">
            <v>2002-Tr1</v>
          </cell>
          <cell r="AI813">
            <v>3</v>
          </cell>
          <cell r="AJ813" t="str">
            <v>03</v>
          </cell>
        </row>
        <row r="814">
          <cell r="AA814" t="str">
            <v>Aaa</v>
          </cell>
          <cell r="AB814">
            <v>37319</v>
          </cell>
          <cell r="AC814">
            <v>2002</v>
          </cell>
          <cell r="AD814" t="str">
            <v>St1</v>
          </cell>
          <cell r="AE814" t="str">
            <v>Qd1</v>
          </cell>
          <cell r="AF814" t="str">
            <v>Tr1</v>
          </cell>
          <cell r="AG814" t="str">
            <v>Tr1-2002</v>
          </cell>
          <cell r="AH814" t="str">
            <v>2002-Tr1</v>
          </cell>
          <cell r="AI814">
            <v>3</v>
          </cell>
          <cell r="AJ814" t="str">
            <v>03</v>
          </cell>
        </row>
        <row r="815">
          <cell r="AA815" t="str">
            <v>Aaa</v>
          </cell>
          <cell r="AB815">
            <v>37320</v>
          </cell>
          <cell r="AC815">
            <v>2002</v>
          </cell>
          <cell r="AD815" t="str">
            <v>St1</v>
          </cell>
          <cell r="AE815" t="str">
            <v>Qd1</v>
          </cell>
          <cell r="AF815" t="str">
            <v>Tr1</v>
          </cell>
          <cell r="AG815" t="str">
            <v>Tr1-2002</v>
          </cell>
          <cell r="AH815" t="str">
            <v>2002-Tr1</v>
          </cell>
          <cell r="AI815">
            <v>3</v>
          </cell>
          <cell r="AJ815" t="str">
            <v>03</v>
          </cell>
        </row>
        <row r="816">
          <cell r="AA816" t="str">
            <v>Aaa</v>
          </cell>
          <cell r="AB816">
            <v>37321</v>
          </cell>
          <cell r="AC816">
            <v>2002</v>
          </cell>
          <cell r="AD816" t="str">
            <v>St1</v>
          </cell>
          <cell r="AE816" t="str">
            <v>Qd1</v>
          </cell>
          <cell r="AF816" t="str">
            <v>Tr1</v>
          </cell>
          <cell r="AG816" t="str">
            <v>Tr1-2002</v>
          </cell>
          <cell r="AH816" t="str">
            <v>2002-Tr1</v>
          </cell>
          <cell r="AI816">
            <v>3</v>
          </cell>
          <cell r="AJ816" t="str">
            <v>03</v>
          </cell>
        </row>
        <row r="817">
          <cell r="AA817" t="str">
            <v>Aaa</v>
          </cell>
          <cell r="AB817">
            <v>37322</v>
          </cell>
          <cell r="AC817">
            <v>2002</v>
          </cell>
          <cell r="AD817" t="str">
            <v>St1</v>
          </cell>
          <cell r="AE817" t="str">
            <v>Qd1</v>
          </cell>
          <cell r="AF817" t="str">
            <v>Tr1</v>
          </cell>
          <cell r="AG817" t="str">
            <v>Tr1-2002</v>
          </cell>
          <cell r="AH817" t="str">
            <v>2002-Tr1</v>
          </cell>
          <cell r="AI817">
            <v>3</v>
          </cell>
          <cell r="AJ817" t="str">
            <v>03</v>
          </cell>
        </row>
        <row r="818">
          <cell r="AA818" t="str">
            <v>Aaa</v>
          </cell>
          <cell r="AB818">
            <v>37323</v>
          </cell>
          <cell r="AC818">
            <v>2002</v>
          </cell>
          <cell r="AD818" t="str">
            <v>St1</v>
          </cell>
          <cell r="AE818" t="str">
            <v>Qd1</v>
          </cell>
          <cell r="AF818" t="str">
            <v>Tr1</v>
          </cell>
          <cell r="AG818" t="str">
            <v>Tr1-2002</v>
          </cell>
          <cell r="AH818" t="str">
            <v>2002-Tr1</v>
          </cell>
          <cell r="AI818">
            <v>3</v>
          </cell>
          <cell r="AJ818" t="str">
            <v>03</v>
          </cell>
        </row>
        <row r="819">
          <cell r="AA819" t="str">
            <v>Aaa</v>
          </cell>
          <cell r="AB819">
            <v>37324</v>
          </cell>
          <cell r="AC819">
            <v>2002</v>
          </cell>
          <cell r="AD819" t="str">
            <v>St1</v>
          </cell>
          <cell r="AE819" t="str">
            <v>Qd1</v>
          </cell>
          <cell r="AF819" t="str">
            <v>Tr1</v>
          </cell>
          <cell r="AG819" t="str">
            <v>Tr1-2002</v>
          </cell>
          <cell r="AH819" t="str">
            <v>2002-Tr1</v>
          </cell>
          <cell r="AI819">
            <v>3</v>
          </cell>
          <cell r="AJ819" t="str">
            <v>03</v>
          </cell>
        </row>
        <row r="820">
          <cell r="AA820" t="str">
            <v>Aaa</v>
          </cell>
          <cell r="AB820">
            <v>37325</v>
          </cell>
          <cell r="AC820">
            <v>2002</v>
          </cell>
          <cell r="AD820" t="str">
            <v>St1</v>
          </cell>
          <cell r="AE820" t="str">
            <v>Qd1</v>
          </cell>
          <cell r="AF820" t="str">
            <v>Tr1</v>
          </cell>
          <cell r="AG820" t="str">
            <v>Tr1-2002</v>
          </cell>
          <cell r="AH820" t="str">
            <v>2002-Tr1</v>
          </cell>
          <cell r="AI820">
            <v>3</v>
          </cell>
          <cell r="AJ820" t="str">
            <v>03</v>
          </cell>
        </row>
        <row r="821">
          <cell r="AA821" t="str">
            <v>Aaa</v>
          </cell>
          <cell r="AB821">
            <v>37326</v>
          </cell>
          <cell r="AC821">
            <v>2002</v>
          </cell>
          <cell r="AD821" t="str">
            <v>St1</v>
          </cell>
          <cell r="AE821" t="str">
            <v>Qd1</v>
          </cell>
          <cell r="AF821" t="str">
            <v>Tr1</v>
          </cell>
          <cell r="AG821" t="str">
            <v>Tr1-2002</v>
          </cell>
          <cell r="AH821" t="str">
            <v>2002-Tr1</v>
          </cell>
          <cell r="AI821">
            <v>3</v>
          </cell>
          <cell r="AJ821" t="str">
            <v>03</v>
          </cell>
        </row>
        <row r="822">
          <cell r="AA822" t="str">
            <v>Aaa</v>
          </cell>
          <cell r="AB822">
            <v>37327</v>
          </cell>
          <cell r="AC822">
            <v>2002</v>
          </cell>
          <cell r="AD822" t="str">
            <v>St1</v>
          </cell>
          <cell r="AE822" t="str">
            <v>Qd1</v>
          </cell>
          <cell r="AF822" t="str">
            <v>Tr1</v>
          </cell>
          <cell r="AG822" t="str">
            <v>Tr1-2002</v>
          </cell>
          <cell r="AH822" t="str">
            <v>2002-Tr1</v>
          </cell>
          <cell r="AI822">
            <v>3</v>
          </cell>
          <cell r="AJ822" t="str">
            <v>03</v>
          </cell>
        </row>
        <row r="823">
          <cell r="AA823" t="str">
            <v>Aaa</v>
          </cell>
          <cell r="AB823">
            <v>37328</v>
          </cell>
          <cell r="AC823">
            <v>2002</v>
          </cell>
          <cell r="AD823" t="str">
            <v>St1</v>
          </cell>
          <cell r="AE823" t="str">
            <v>Qd1</v>
          </cell>
          <cell r="AF823" t="str">
            <v>Tr1</v>
          </cell>
          <cell r="AG823" t="str">
            <v>Tr1-2002</v>
          </cell>
          <cell r="AH823" t="str">
            <v>2002-Tr1</v>
          </cell>
          <cell r="AI823">
            <v>3</v>
          </cell>
          <cell r="AJ823" t="str">
            <v>03</v>
          </cell>
        </row>
        <row r="824">
          <cell r="AA824" t="str">
            <v>Aaa</v>
          </cell>
          <cell r="AB824">
            <v>37329</v>
          </cell>
          <cell r="AC824">
            <v>2002</v>
          </cell>
          <cell r="AD824" t="str">
            <v>St1</v>
          </cell>
          <cell r="AE824" t="str">
            <v>Qd1</v>
          </cell>
          <cell r="AF824" t="str">
            <v>Tr1</v>
          </cell>
          <cell r="AG824" t="str">
            <v>Tr1-2002</v>
          </cell>
          <cell r="AH824" t="str">
            <v>2002-Tr1</v>
          </cell>
          <cell r="AI824">
            <v>3</v>
          </cell>
          <cell r="AJ824" t="str">
            <v>03</v>
          </cell>
        </row>
        <row r="825">
          <cell r="AA825" t="str">
            <v>Aaa</v>
          </cell>
          <cell r="AB825">
            <v>37330</v>
          </cell>
          <cell r="AC825">
            <v>2002</v>
          </cell>
          <cell r="AD825" t="str">
            <v>St1</v>
          </cell>
          <cell r="AE825" t="str">
            <v>Qd1</v>
          </cell>
          <cell r="AF825" t="str">
            <v>Tr1</v>
          </cell>
          <cell r="AG825" t="str">
            <v>Tr1-2002</v>
          </cell>
          <cell r="AH825" t="str">
            <v>2002-Tr1</v>
          </cell>
          <cell r="AI825">
            <v>3</v>
          </cell>
          <cell r="AJ825" t="str">
            <v>03</v>
          </cell>
        </row>
        <row r="826">
          <cell r="AA826" t="str">
            <v>Aaa</v>
          </cell>
          <cell r="AB826">
            <v>37331</v>
          </cell>
          <cell r="AC826">
            <v>2002</v>
          </cell>
          <cell r="AD826" t="str">
            <v>St1</v>
          </cell>
          <cell r="AE826" t="str">
            <v>Qd1</v>
          </cell>
          <cell r="AF826" t="str">
            <v>Tr1</v>
          </cell>
          <cell r="AG826" t="str">
            <v>Tr1-2002</v>
          </cell>
          <cell r="AH826" t="str">
            <v>2002-Tr1</v>
          </cell>
          <cell r="AI826">
            <v>3</v>
          </cell>
          <cell r="AJ826" t="str">
            <v>03</v>
          </cell>
        </row>
        <row r="827">
          <cell r="AA827" t="str">
            <v>Aaa</v>
          </cell>
          <cell r="AB827">
            <v>37332</v>
          </cell>
          <cell r="AC827">
            <v>2002</v>
          </cell>
          <cell r="AD827" t="str">
            <v>St1</v>
          </cell>
          <cell r="AE827" t="str">
            <v>Qd1</v>
          </cell>
          <cell r="AF827" t="str">
            <v>Tr1</v>
          </cell>
          <cell r="AG827" t="str">
            <v>Tr1-2002</v>
          </cell>
          <cell r="AH827" t="str">
            <v>2002-Tr1</v>
          </cell>
          <cell r="AI827">
            <v>3</v>
          </cell>
          <cell r="AJ827" t="str">
            <v>03</v>
          </cell>
        </row>
        <row r="828">
          <cell r="AA828" t="str">
            <v>Aaa</v>
          </cell>
          <cell r="AB828">
            <v>37333</v>
          </cell>
          <cell r="AC828">
            <v>2002</v>
          </cell>
          <cell r="AD828" t="str">
            <v>St1</v>
          </cell>
          <cell r="AE828" t="str">
            <v>Qd1</v>
          </cell>
          <cell r="AF828" t="str">
            <v>Tr1</v>
          </cell>
          <cell r="AG828" t="str">
            <v>Tr1-2002</v>
          </cell>
          <cell r="AH828" t="str">
            <v>2002-Tr1</v>
          </cell>
          <cell r="AI828">
            <v>3</v>
          </cell>
          <cell r="AJ828" t="str">
            <v>03</v>
          </cell>
        </row>
        <row r="829">
          <cell r="AA829" t="str">
            <v>Aaa</v>
          </cell>
          <cell r="AB829">
            <v>37334</v>
          </cell>
          <cell r="AC829">
            <v>2002</v>
          </cell>
          <cell r="AD829" t="str">
            <v>St1</v>
          </cell>
          <cell r="AE829" t="str">
            <v>Qd1</v>
          </cell>
          <cell r="AF829" t="str">
            <v>Tr1</v>
          </cell>
          <cell r="AG829" t="str">
            <v>Tr1-2002</v>
          </cell>
          <cell r="AH829" t="str">
            <v>2002-Tr1</v>
          </cell>
          <cell r="AI829">
            <v>3</v>
          </cell>
          <cell r="AJ829" t="str">
            <v>03</v>
          </cell>
        </row>
        <row r="830">
          <cell r="AA830" t="str">
            <v>Aaa</v>
          </cell>
          <cell r="AB830">
            <v>37335</v>
          </cell>
          <cell r="AC830">
            <v>2002</v>
          </cell>
          <cell r="AD830" t="str">
            <v>St1</v>
          </cell>
          <cell r="AE830" t="str">
            <v>Qd1</v>
          </cell>
          <cell r="AF830" t="str">
            <v>Tr1</v>
          </cell>
          <cell r="AG830" t="str">
            <v>Tr1-2002</v>
          </cell>
          <cell r="AH830" t="str">
            <v>2002-Tr1</v>
          </cell>
          <cell r="AI830">
            <v>3</v>
          </cell>
          <cell r="AJ830" t="str">
            <v>03</v>
          </cell>
        </row>
        <row r="831">
          <cell r="AA831" t="str">
            <v>Aaa</v>
          </cell>
          <cell r="AB831">
            <v>37336</v>
          </cell>
          <cell r="AC831">
            <v>2002</v>
          </cell>
          <cell r="AD831" t="str">
            <v>St1</v>
          </cell>
          <cell r="AE831" t="str">
            <v>Qd1</v>
          </cell>
          <cell r="AF831" t="str">
            <v>Tr1</v>
          </cell>
          <cell r="AG831" t="str">
            <v>Tr1-2002</v>
          </cell>
          <cell r="AH831" t="str">
            <v>2002-Tr1</v>
          </cell>
          <cell r="AI831">
            <v>3</v>
          </cell>
          <cell r="AJ831" t="str">
            <v>03</v>
          </cell>
        </row>
        <row r="832">
          <cell r="AA832" t="str">
            <v>Aaa</v>
          </cell>
          <cell r="AB832">
            <v>37337</v>
          </cell>
          <cell r="AC832">
            <v>2002</v>
          </cell>
          <cell r="AD832" t="str">
            <v>St1</v>
          </cell>
          <cell r="AE832" t="str">
            <v>Qd1</v>
          </cell>
          <cell r="AF832" t="str">
            <v>Tr1</v>
          </cell>
          <cell r="AG832" t="str">
            <v>Tr1-2002</v>
          </cell>
          <cell r="AH832" t="str">
            <v>2002-Tr1</v>
          </cell>
          <cell r="AI832">
            <v>3</v>
          </cell>
          <cell r="AJ832" t="str">
            <v>03</v>
          </cell>
        </row>
        <row r="833">
          <cell r="AA833" t="str">
            <v>Aaa</v>
          </cell>
          <cell r="AB833">
            <v>37338</v>
          </cell>
          <cell r="AC833">
            <v>2002</v>
          </cell>
          <cell r="AD833" t="str">
            <v>St1</v>
          </cell>
          <cell r="AE833" t="str">
            <v>Qd1</v>
          </cell>
          <cell r="AF833" t="str">
            <v>Tr1</v>
          </cell>
          <cell r="AG833" t="str">
            <v>Tr1-2002</v>
          </cell>
          <cell r="AH833" t="str">
            <v>2002-Tr1</v>
          </cell>
          <cell r="AI833">
            <v>3</v>
          </cell>
          <cell r="AJ833" t="str">
            <v>03</v>
          </cell>
        </row>
        <row r="834">
          <cell r="AA834" t="str">
            <v>Aaa</v>
          </cell>
          <cell r="AB834">
            <v>37339</v>
          </cell>
          <cell r="AC834">
            <v>2002</v>
          </cell>
          <cell r="AD834" t="str">
            <v>St1</v>
          </cell>
          <cell r="AE834" t="str">
            <v>Qd1</v>
          </cell>
          <cell r="AF834" t="str">
            <v>Tr1</v>
          </cell>
          <cell r="AG834" t="str">
            <v>Tr1-2002</v>
          </cell>
          <cell r="AH834" t="str">
            <v>2002-Tr1</v>
          </cell>
          <cell r="AI834">
            <v>3</v>
          </cell>
          <cell r="AJ834" t="str">
            <v>03</v>
          </cell>
        </row>
        <row r="835">
          <cell r="AA835" t="str">
            <v>Aaa</v>
          </cell>
          <cell r="AB835">
            <v>37340</v>
          </cell>
          <cell r="AC835">
            <v>2002</v>
          </cell>
          <cell r="AD835" t="str">
            <v>St1</v>
          </cell>
          <cell r="AE835" t="str">
            <v>Qd1</v>
          </cell>
          <cell r="AF835" t="str">
            <v>Tr1</v>
          </cell>
          <cell r="AG835" t="str">
            <v>Tr1-2002</v>
          </cell>
          <cell r="AH835" t="str">
            <v>2002-Tr1</v>
          </cell>
          <cell r="AI835">
            <v>3</v>
          </cell>
          <cell r="AJ835" t="str">
            <v>03</v>
          </cell>
        </row>
        <row r="836">
          <cell r="AA836" t="str">
            <v>Aaa</v>
          </cell>
          <cell r="AB836">
            <v>37341</v>
          </cell>
          <cell r="AC836">
            <v>2002</v>
          </cell>
          <cell r="AD836" t="str">
            <v>St1</v>
          </cell>
          <cell r="AE836" t="str">
            <v>Qd1</v>
          </cell>
          <cell r="AF836" t="str">
            <v>Tr1</v>
          </cell>
          <cell r="AG836" t="str">
            <v>Tr1-2002</v>
          </cell>
          <cell r="AH836" t="str">
            <v>2002-Tr1</v>
          </cell>
          <cell r="AI836">
            <v>3</v>
          </cell>
          <cell r="AJ836" t="str">
            <v>03</v>
          </cell>
        </row>
        <row r="837">
          <cell r="AA837" t="str">
            <v>Aaa</v>
          </cell>
          <cell r="AB837">
            <v>37342</v>
          </cell>
          <cell r="AC837">
            <v>2002</v>
          </cell>
          <cell r="AD837" t="str">
            <v>St1</v>
          </cell>
          <cell r="AE837" t="str">
            <v>Qd1</v>
          </cell>
          <cell r="AF837" t="str">
            <v>Tr1</v>
          </cell>
          <cell r="AG837" t="str">
            <v>Tr1-2002</v>
          </cell>
          <cell r="AH837" t="str">
            <v>2002-Tr1</v>
          </cell>
          <cell r="AI837">
            <v>3</v>
          </cell>
          <cell r="AJ837" t="str">
            <v>03</v>
          </cell>
        </row>
        <row r="838">
          <cell r="AA838" t="str">
            <v>Aaa</v>
          </cell>
          <cell r="AB838">
            <v>37343</v>
          </cell>
          <cell r="AC838">
            <v>2002</v>
          </cell>
          <cell r="AD838" t="str">
            <v>St1</v>
          </cell>
          <cell r="AE838" t="str">
            <v>Qd1</v>
          </cell>
          <cell r="AF838" t="str">
            <v>Tr1</v>
          </cell>
          <cell r="AG838" t="str">
            <v>Tr1-2002</v>
          </cell>
          <cell r="AH838" t="str">
            <v>2002-Tr1</v>
          </cell>
          <cell r="AI838">
            <v>3</v>
          </cell>
          <cell r="AJ838" t="str">
            <v>03</v>
          </cell>
        </row>
        <row r="839">
          <cell r="AA839" t="str">
            <v>Aaa</v>
          </cell>
          <cell r="AB839">
            <v>37344</v>
          </cell>
          <cell r="AC839">
            <v>2002</v>
          </cell>
          <cell r="AD839" t="str">
            <v>St1</v>
          </cell>
          <cell r="AE839" t="str">
            <v>Qd1</v>
          </cell>
          <cell r="AF839" t="str">
            <v>Tr1</v>
          </cell>
          <cell r="AG839" t="str">
            <v>Tr1-2002</v>
          </cell>
          <cell r="AH839" t="str">
            <v>2002-Tr1</v>
          </cell>
          <cell r="AI839">
            <v>3</v>
          </cell>
          <cell r="AJ839" t="str">
            <v>03</v>
          </cell>
        </row>
        <row r="840">
          <cell r="AA840" t="str">
            <v>Aaa</v>
          </cell>
          <cell r="AB840">
            <v>37345</v>
          </cell>
          <cell r="AC840">
            <v>2002</v>
          </cell>
          <cell r="AD840" t="str">
            <v>St1</v>
          </cell>
          <cell r="AE840" t="str">
            <v>Qd1</v>
          </cell>
          <cell r="AF840" t="str">
            <v>Tr1</v>
          </cell>
          <cell r="AG840" t="str">
            <v>Tr1-2002</v>
          </cell>
          <cell r="AH840" t="str">
            <v>2002-Tr1</v>
          </cell>
          <cell r="AI840">
            <v>3</v>
          </cell>
          <cell r="AJ840" t="str">
            <v>03</v>
          </cell>
        </row>
        <row r="841">
          <cell r="AA841" t="str">
            <v>Aaa</v>
          </cell>
          <cell r="AB841">
            <v>37346</v>
          </cell>
          <cell r="AC841">
            <v>2002</v>
          </cell>
          <cell r="AD841" t="str">
            <v>St1</v>
          </cell>
          <cell r="AE841" t="str">
            <v>Qd1</v>
          </cell>
          <cell r="AF841" t="str">
            <v>Tr1</v>
          </cell>
          <cell r="AG841" t="str">
            <v>Tr1-2002</v>
          </cell>
          <cell r="AH841" t="str">
            <v>2002-Tr1</v>
          </cell>
          <cell r="AI841">
            <v>3</v>
          </cell>
          <cell r="AJ841" t="str">
            <v>03</v>
          </cell>
        </row>
        <row r="842">
          <cell r="AA842" t="str">
            <v>Aaa</v>
          </cell>
          <cell r="AB842">
            <v>37347</v>
          </cell>
          <cell r="AC842">
            <v>2002</v>
          </cell>
          <cell r="AD842" t="str">
            <v>St1</v>
          </cell>
          <cell r="AE842" t="str">
            <v>Qd1</v>
          </cell>
          <cell r="AF842" t="str">
            <v>Tr2</v>
          </cell>
          <cell r="AG842" t="str">
            <v>Tr2-2002</v>
          </cell>
          <cell r="AH842" t="str">
            <v>2002-Tr2</v>
          </cell>
          <cell r="AI842">
            <v>4</v>
          </cell>
          <cell r="AJ842" t="str">
            <v>04</v>
          </cell>
        </row>
        <row r="843">
          <cell r="AA843" t="str">
            <v>Aaa</v>
          </cell>
          <cell r="AB843">
            <v>37348</v>
          </cell>
          <cell r="AC843">
            <v>2002</v>
          </cell>
          <cell r="AD843" t="str">
            <v>St1</v>
          </cell>
          <cell r="AE843" t="str">
            <v>Qd1</v>
          </cell>
          <cell r="AF843" t="str">
            <v>Tr2</v>
          </cell>
          <cell r="AG843" t="str">
            <v>Tr2-2002</v>
          </cell>
          <cell r="AH843" t="str">
            <v>2002-Tr2</v>
          </cell>
          <cell r="AI843">
            <v>4</v>
          </cell>
          <cell r="AJ843" t="str">
            <v>04</v>
          </cell>
        </row>
        <row r="844">
          <cell r="AA844" t="str">
            <v>Aaa</v>
          </cell>
          <cell r="AB844">
            <v>37349</v>
          </cell>
          <cell r="AC844">
            <v>2002</v>
          </cell>
          <cell r="AD844" t="str">
            <v>St1</v>
          </cell>
          <cell r="AE844" t="str">
            <v>Qd1</v>
          </cell>
          <cell r="AF844" t="str">
            <v>Tr2</v>
          </cell>
          <cell r="AG844" t="str">
            <v>Tr2-2002</v>
          </cell>
          <cell r="AH844" t="str">
            <v>2002-Tr2</v>
          </cell>
          <cell r="AI844">
            <v>4</v>
          </cell>
          <cell r="AJ844" t="str">
            <v>04</v>
          </cell>
        </row>
        <row r="845">
          <cell r="AA845" t="str">
            <v>Aaa</v>
          </cell>
          <cell r="AB845">
            <v>37350</v>
          </cell>
          <cell r="AC845">
            <v>2002</v>
          </cell>
          <cell r="AD845" t="str">
            <v>St1</v>
          </cell>
          <cell r="AE845" t="str">
            <v>Qd1</v>
          </cell>
          <cell r="AF845" t="str">
            <v>Tr2</v>
          </cell>
          <cell r="AG845" t="str">
            <v>Tr2-2002</v>
          </cell>
          <cell r="AH845" t="str">
            <v>2002-Tr2</v>
          </cell>
          <cell r="AI845">
            <v>4</v>
          </cell>
          <cell r="AJ845" t="str">
            <v>04</v>
          </cell>
        </row>
        <row r="846">
          <cell r="AA846" t="str">
            <v>Aaa</v>
          </cell>
          <cell r="AB846">
            <v>37351</v>
          </cell>
          <cell r="AC846">
            <v>2002</v>
          </cell>
          <cell r="AD846" t="str">
            <v>St1</v>
          </cell>
          <cell r="AE846" t="str">
            <v>Qd1</v>
          </cell>
          <cell r="AF846" t="str">
            <v>Tr2</v>
          </cell>
          <cell r="AG846" t="str">
            <v>Tr2-2002</v>
          </cell>
          <cell r="AH846" t="str">
            <v>2002-Tr2</v>
          </cell>
          <cell r="AI846">
            <v>4</v>
          </cell>
          <cell r="AJ846" t="str">
            <v>04</v>
          </cell>
        </row>
        <row r="847">
          <cell r="AA847" t="str">
            <v>Aaa</v>
          </cell>
          <cell r="AB847">
            <v>37352</v>
          </cell>
          <cell r="AC847">
            <v>2002</v>
          </cell>
          <cell r="AD847" t="str">
            <v>St1</v>
          </cell>
          <cell r="AE847" t="str">
            <v>Qd1</v>
          </cell>
          <cell r="AF847" t="str">
            <v>Tr2</v>
          </cell>
          <cell r="AG847" t="str">
            <v>Tr2-2002</v>
          </cell>
          <cell r="AH847" t="str">
            <v>2002-Tr2</v>
          </cell>
          <cell r="AI847">
            <v>4</v>
          </cell>
          <cell r="AJ847" t="str">
            <v>04</v>
          </cell>
        </row>
        <row r="848">
          <cell r="AA848" t="str">
            <v>Aaa</v>
          </cell>
          <cell r="AB848">
            <v>37353</v>
          </cell>
          <cell r="AC848">
            <v>2002</v>
          </cell>
          <cell r="AD848" t="str">
            <v>St1</v>
          </cell>
          <cell r="AE848" t="str">
            <v>Qd1</v>
          </cell>
          <cell r="AF848" t="str">
            <v>Tr2</v>
          </cell>
          <cell r="AG848" t="str">
            <v>Tr2-2002</v>
          </cell>
          <cell r="AH848" t="str">
            <v>2002-Tr2</v>
          </cell>
          <cell r="AI848">
            <v>4</v>
          </cell>
          <cell r="AJ848" t="str">
            <v>04</v>
          </cell>
        </row>
        <row r="849">
          <cell r="AA849" t="str">
            <v>Aaa</v>
          </cell>
          <cell r="AB849">
            <v>37354</v>
          </cell>
          <cell r="AC849">
            <v>2002</v>
          </cell>
          <cell r="AD849" t="str">
            <v>St1</v>
          </cell>
          <cell r="AE849" t="str">
            <v>Qd1</v>
          </cell>
          <cell r="AF849" t="str">
            <v>Tr2</v>
          </cell>
          <cell r="AG849" t="str">
            <v>Tr2-2002</v>
          </cell>
          <cell r="AH849" t="str">
            <v>2002-Tr2</v>
          </cell>
          <cell r="AI849">
            <v>4</v>
          </cell>
          <cell r="AJ849" t="str">
            <v>04</v>
          </cell>
        </row>
        <row r="850">
          <cell r="AA850" t="str">
            <v>Aaa</v>
          </cell>
          <cell r="AB850">
            <v>37355</v>
          </cell>
          <cell r="AC850">
            <v>2002</v>
          </cell>
          <cell r="AD850" t="str">
            <v>St1</v>
          </cell>
          <cell r="AE850" t="str">
            <v>Qd1</v>
          </cell>
          <cell r="AF850" t="str">
            <v>Tr2</v>
          </cell>
          <cell r="AG850" t="str">
            <v>Tr2-2002</v>
          </cell>
          <cell r="AH850" t="str">
            <v>2002-Tr2</v>
          </cell>
          <cell r="AI850">
            <v>4</v>
          </cell>
          <cell r="AJ850" t="str">
            <v>04</v>
          </cell>
        </row>
        <row r="851">
          <cell r="AA851" t="str">
            <v>Aaa</v>
          </cell>
          <cell r="AB851">
            <v>37356</v>
          </cell>
          <cell r="AC851">
            <v>2002</v>
          </cell>
          <cell r="AD851" t="str">
            <v>St1</v>
          </cell>
          <cell r="AE851" t="str">
            <v>Qd1</v>
          </cell>
          <cell r="AF851" t="str">
            <v>Tr2</v>
          </cell>
          <cell r="AG851" t="str">
            <v>Tr2-2002</v>
          </cell>
          <cell r="AH851" t="str">
            <v>2002-Tr2</v>
          </cell>
          <cell r="AI851">
            <v>4</v>
          </cell>
          <cell r="AJ851" t="str">
            <v>04</v>
          </cell>
        </row>
        <row r="852">
          <cell r="AA852" t="str">
            <v>Aaa</v>
          </cell>
          <cell r="AB852">
            <v>37357</v>
          </cell>
          <cell r="AC852">
            <v>2002</v>
          </cell>
          <cell r="AD852" t="str">
            <v>St1</v>
          </cell>
          <cell r="AE852" t="str">
            <v>Qd1</v>
          </cell>
          <cell r="AF852" t="str">
            <v>Tr2</v>
          </cell>
          <cell r="AG852" t="str">
            <v>Tr2-2002</v>
          </cell>
          <cell r="AH852" t="str">
            <v>2002-Tr2</v>
          </cell>
          <cell r="AI852">
            <v>4</v>
          </cell>
          <cell r="AJ852" t="str">
            <v>04</v>
          </cell>
        </row>
        <row r="853">
          <cell r="AA853" t="str">
            <v>Aaa</v>
          </cell>
          <cell r="AB853">
            <v>37358</v>
          </cell>
          <cell r="AC853">
            <v>2002</v>
          </cell>
          <cell r="AD853" t="str">
            <v>St1</v>
          </cell>
          <cell r="AE853" t="str">
            <v>Qd1</v>
          </cell>
          <cell r="AF853" t="str">
            <v>Tr2</v>
          </cell>
          <cell r="AG853" t="str">
            <v>Tr2-2002</v>
          </cell>
          <cell r="AH853" t="str">
            <v>2002-Tr2</v>
          </cell>
          <cell r="AI853">
            <v>4</v>
          </cell>
          <cell r="AJ853" t="str">
            <v>04</v>
          </cell>
        </row>
        <row r="854">
          <cell r="AA854" t="str">
            <v>Aaa</v>
          </cell>
          <cell r="AB854">
            <v>37359</v>
          </cell>
          <cell r="AC854">
            <v>2002</v>
          </cell>
          <cell r="AD854" t="str">
            <v>St1</v>
          </cell>
          <cell r="AE854" t="str">
            <v>Qd1</v>
          </cell>
          <cell r="AF854" t="str">
            <v>Tr2</v>
          </cell>
          <cell r="AG854" t="str">
            <v>Tr2-2002</v>
          </cell>
          <cell r="AH854" t="str">
            <v>2002-Tr2</v>
          </cell>
          <cell r="AI854">
            <v>4</v>
          </cell>
          <cell r="AJ854" t="str">
            <v>04</v>
          </cell>
        </row>
        <row r="855">
          <cell r="AA855" t="str">
            <v>Aaa</v>
          </cell>
          <cell r="AB855">
            <v>37360</v>
          </cell>
          <cell r="AC855">
            <v>2002</v>
          </cell>
          <cell r="AD855" t="str">
            <v>St1</v>
          </cell>
          <cell r="AE855" t="str">
            <v>Qd1</v>
          </cell>
          <cell r="AF855" t="str">
            <v>Tr2</v>
          </cell>
          <cell r="AG855" t="str">
            <v>Tr2-2002</v>
          </cell>
          <cell r="AH855" t="str">
            <v>2002-Tr2</v>
          </cell>
          <cell r="AI855">
            <v>4</v>
          </cell>
          <cell r="AJ855" t="str">
            <v>04</v>
          </cell>
        </row>
        <row r="856">
          <cell r="AA856" t="str">
            <v>Aaa</v>
          </cell>
          <cell r="AB856">
            <v>37361</v>
          </cell>
          <cell r="AC856">
            <v>2002</v>
          </cell>
          <cell r="AD856" t="str">
            <v>St1</v>
          </cell>
          <cell r="AE856" t="str">
            <v>Qd1</v>
          </cell>
          <cell r="AF856" t="str">
            <v>Tr2</v>
          </cell>
          <cell r="AG856" t="str">
            <v>Tr2-2002</v>
          </cell>
          <cell r="AH856" t="str">
            <v>2002-Tr2</v>
          </cell>
          <cell r="AI856">
            <v>4</v>
          </cell>
          <cell r="AJ856" t="str">
            <v>04</v>
          </cell>
        </row>
        <row r="857">
          <cell r="AA857" t="str">
            <v>Aaa</v>
          </cell>
          <cell r="AB857">
            <v>37362</v>
          </cell>
          <cell r="AC857">
            <v>2002</v>
          </cell>
          <cell r="AD857" t="str">
            <v>St1</v>
          </cell>
          <cell r="AE857" t="str">
            <v>Qd1</v>
          </cell>
          <cell r="AF857" t="str">
            <v>Tr2</v>
          </cell>
          <cell r="AG857" t="str">
            <v>Tr2-2002</v>
          </cell>
          <cell r="AH857" t="str">
            <v>2002-Tr2</v>
          </cell>
          <cell r="AI857">
            <v>4</v>
          </cell>
          <cell r="AJ857" t="str">
            <v>04</v>
          </cell>
        </row>
        <row r="858">
          <cell r="AA858" t="str">
            <v>Aaa</v>
          </cell>
          <cell r="AB858">
            <v>37363</v>
          </cell>
          <cell r="AC858">
            <v>2002</v>
          </cell>
          <cell r="AD858" t="str">
            <v>St1</v>
          </cell>
          <cell r="AE858" t="str">
            <v>Qd1</v>
          </cell>
          <cell r="AF858" t="str">
            <v>Tr2</v>
          </cell>
          <cell r="AG858" t="str">
            <v>Tr2-2002</v>
          </cell>
          <cell r="AH858" t="str">
            <v>2002-Tr2</v>
          </cell>
          <cell r="AI858">
            <v>4</v>
          </cell>
          <cell r="AJ858" t="str">
            <v>04</v>
          </cell>
        </row>
        <row r="859">
          <cell r="AA859" t="str">
            <v>Aaa</v>
          </cell>
          <cell r="AB859">
            <v>37364</v>
          </cell>
          <cell r="AC859">
            <v>2002</v>
          </cell>
          <cell r="AD859" t="str">
            <v>St1</v>
          </cell>
          <cell r="AE859" t="str">
            <v>Qd1</v>
          </cell>
          <cell r="AF859" t="str">
            <v>Tr2</v>
          </cell>
          <cell r="AG859" t="str">
            <v>Tr2-2002</v>
          </cell>
          <cell r="AH859" t="str">
            <v>2002-Tr2</v>
          </cell>
          <cell r="AI859">
            <v>4</v>
          </cell>
          <cell r="AJ859" t="str">
            <v>04</v>
          </cell>
        </row>
        <row r="860">
          <cell r="AA860" t="str">
            <v>Aaa</v>
          </cell>
          <cell r="AB860">
            <v>37365</v>
          </cell>
          <cell r="AC860">
            <v>2002</v>
          </cell>
          <cell r="AD860" t="str">
            <v>St1</v>
          </cell>
          <cell r="AE860" t="str">
            <v>Qd1</v>
          </cell>
          <cell r="AF860" t="str">
            <v>Tr2</v>
          </cell>
          <cell r="AG860" t="str">
            <v>Tr2-2002</v>
          </cell>
          <cell r="AH860" t="str">
            <v>2002-Tr2</v>
          </cell>
          <cell r="AI860">
            <v>4</v>
          </cell>
          <cell r="AJ860" t="str">
            <v>04</v>
          </cell>
        </row>
        <row r="861">
          <cell r="AA861" t="str">
            <v>Aaa</v>
          </cell>
          <cell r="AB861">
            <v>37366</v>
          </cell>
          <cell r="AC861">
            <v>2002</v>
          </cell>
          <cell r="AD861" t="str">
            <v>St1</v>
          </cell>
          <cell r="AE861" t="str">
            <v>Qd1</v>
          </cell>
          <cell r="AF861" t="str">
            <v>Tr2</v>
          </cell>
          <cell r="AG861" t="str">
            <v>Tr2-2002</v>
          </cell>
          <cell r="AH861" t="str">
            <v>2002-Tr2</v>
          </cell>
          <cell r="AI861">
            <v>4</v>
          </cell>
          <cell r="AJ861" t="str">
            <v>04</v>
          </cell>
        </row>
        <row r="862">
          <cell r="AA862" t="str">
            <v>Aaa</v>
          </cell>
          <cell r="AB862">
            <v>37367</v>
          </cell>
          <cell r="AC862">
            <v>2002</v>
          </cell>
          <cell r="AD862" t="str">
            <v>St1</v>
          </cell>
          <cell r="AE862" t="str">
            <v>Qd1</v>
          </cell>
          <cell r="AF862" t="str">
            <v>Tr2</v>
          </cell>
          <cell r="AG862" t="str">
            <v>Tr2-2002</v>
          </cell>
          <cell r="AH862" t="str">
            <v>2002-Tr2</v>
          </cell>
          <cell r="AI862">
            <v>4</v>
          </cell>
          <cell r="AJ862" t="str">
            <v>04</v>
          </cell>
        </row>
        <row r="863">
          <cell r="AA863" t="str">
            <v>Aaa</v>
          </cell>
          <cell r="AB863">
            <v>37368</v>
          </cell>
          <cell r="AC863">
            <v>2002</v>
          </cell>
          <cell r="AD863" t="str">
            <v>St1</v>
          </cell>
          <cell r="AE863" t="str">
            <v>Qd1</v>
          </cell>
          <cell r="AF863" t="str">
            <v>Tr2</v>
          </cell>
          <cell r="AG863" t="str">
            <v>Tr2-2002</v>
          </cell>
          <cell r="AH863" t="str">
            <v>2002-Tr2</v>
          </cell>
          <cell r="AI863">
            <v>4</v>
          </cell>
          <cell r="AJ863" t="str">
            <v>04</v>
          </cell>
        </row>
        <row r="864">
          <cell r="AA864" t="str">
            <v>Aaa</v>
          </cell>
          <cell r="AB864">
            <v>37369</v>
          </cell>
          <cell r="AC864">
            <v>2002</v>
          </cell>
          <cell r="AD864" t="str">
            <v>St1</v>
          </cell>
          <cell r="AE864" t="str">
            <v>Qd1</v>
          </cell>
          <cell r="AF864" t="str">
            <v>Tr2</v>
          </cell>
          <cell r="AG864" t="str">
            <v>Tr2-2002</v>
          </cell>
          <cell r="AH864" t="str">
            <v>2002-Tr2</v>
          </cell>
          <cell r="AI864">
            <v>4</v>
          </cell>
          <cell r="AJ864" t="str">
            <v>04</v>
          </cell>
        </row>
        <row r="865">
          <cell r="AA865" t="str">
            <v>Aaa</v>
          </cell>
          <cell r="AB865">
            <v>37370</v>
          </cell>
          <cell r="AC865">
            <v>2002</v>
          </cell>
          <cell r="AD865" t="str">
            <v>St1</v>
          </cell>
          <cell r="AE865" t="str">
            <v>Qd1</v>
          </cell>
          <cell r="AF865" t="str">
            <v>Tr2</v>
          </cell>
          <cell r="AG865" t="str">
            <v>Tr2-2002</v>
          </cell>
          <cell r="AH865" t="str">
            <v>2002-Tr2</v>
          </cell>
          <cell r="AI865">
            <v>4</v>
          </cell>
          <cell r="AJ865" t="str">
            <v>04</v>
          </cell>
        </row>
        <row r="866">
          <cell r="AA866" t="str">
            <v>Aaa</v>
          </cell>
          <cell r="AB866">
            <v>37371</v>
          </cell>
          <cell r="AC866">
            <v>2002</v>
          </cell>
          <cell r="AD866" t="str">
            <v>St1</v>
          </cell>
          <cell r="AE866" t="str">
            <v>Qd1</v>
          </cell>
          <cell r="AF866" t="str">
            <v>Tr2</v>
          </cell>
          <cell r="AG866" t="str">
            <v>Tr2-2002</v>
          </cell>
          <cell r="AH866" t="str">
            <v>2002-Tr2</v>
          </cell>
          <cell r="AI866">
            <v>4</v>
          </cell>
          <cell r="AJ866" t="str">
            <v>04</v>
          </cell>
        </row>
        <row r="867">
          <cell r="AA867" t="str">
            <v>Aaa</v>
          </cell>
          <cell r="AB867">
            <v>37372</v>
          </cell>
          <cell r="AC867">
            <v>2002</v>
          </cell>
          <cell r="AD867" t="str">
            <v>St1</v>
          </cell>
          <cell r="AE867" t="str">
            <v>Qd1</v>
          </cell>
          <cell r="AF867" t="str">
            <v>Tr2</v>
          </cell>
          <cell r="AG867" t="str">
            <v>Tr2-2002</v>
          </cell>
          <cell r="AH867" t="str">
            <v>2002-Tr2</v>
          </cell>
          <cell r="AI867">
            <v>4</v>
          </cell>
          <cell r="AJ867" t="str">
            <v>04</v>
          </cell>
        </row>
        <row r="868">
          <cell r="AA868" t="str">
            <v>Aaa</v>
          </cell>
          <cell r="AB868">
            <v>37373</v>
          </cell>
          <cell r="AC868">
            <v>2002</v>
          </cell>
          <cell r="AD868" t="str">
            <v>St1</v>
          </cell>
          <cell r="AE868" t="str">
            <v>Qd1</v>
          </cell>
          <cell r="AF868" t="str">
            <v>Tr2</v>
          </cell>
          <cell r="AG868" t="str">
            <v>Tr2-2002</v>
          </cell>
          <cell r="AH868" t="str">
            <v>2002-Tr2</v>
          </cell>
          <cell r="AI868">
            <v>4</v>
          </cell>
          <cell r="AJ868" t="str">
            <v>04</v>
          </cell>
        </row>
        <row r="869">
          <cell r="AA869" t="str">
            <v>Aaa</v>
          </cell>
          <cell r="AB869">
            <v>37374</v>
          </cell>
          <cell r="AC869">
            <v>2002</v>
          </cell>
          <cell r="AD869" t="str">
            <v>St1</v>
          </cell>
          <cell r="AE869" t="str">
            <v>Qd1</v>
          </cell>
          <cell r="AF869" t="str">
            <v>Tr2</v>
          </cell>
          <cell r="AG869" t="str">
            <v>Tr2-2002</v>
          </cell>
          <cell r="AH869" t="str">
            <v>2002-Tr2</v>
          </cell>
          <cell r="AI869">
            <v>4</v>
          </cell>
          <cell r="AJ869" t="str">
            <v>04</v>
          </cell>
        </row>
        <row r="870">
          <cell r="AA870" t="str">
            <v>Aaa</v>
          </cell>
          <cell r="AB870">
            <v>37375</v>
          </cell>
          <cell r="AC870">
            <v>2002</v>
          </cell>
          <cell r="AD870" t="str">
            <v>St1</v>
          </cell>
          <cell r="AE870" t="str">
            <v>Qd1</v>
          </cell>
          <cell r="AF870" t="str">
            <v>Tr2</v>
          </cell>
          <cell r="AG870" t="str">
            <v>Tr2-2002</v>
          </cell>
          <cell r="AH870" t="str">
            <v>2002-Tr2</v>
          </cell>
          <cell r="AI870">
            <v>4</v>
          </cell>
          <cell r="AJ870" t="str">
            <v>04</v>
          </cell>
        </row>
        <row r="871">
          <cell r="AA871" t="str">
            <v>Aaa</v>
          </cell>
          <cell r="AB871">
            <v>37376</v>
          </cell>
          <cell r="AC871">
            <v>2002</v>
          </cell>
          <cell r="AD871" t="str">
            <v>St1</v>
          </cell>
          <cell r="AE871" t="str">
            <v>Qd1</v>
          </cell>
          <cell r="AF871" t="str">
            <v>Tr2</v>
          </cell>
          <cell r="AG871" t="str">
            <v>Tr2-2002</v>
          </cell>
          <cell r="AH871" t="str">
            <v>2002-Tr2</v>
          </cell>
          <cell r="AI871">
            <v>4</v>
          </cell>
          <cell r="AJ871" t="str">
            <v>04</v>
          </cell>
        </row>
        <row r="872">
          <cell r="AA872" t="str">
            <v>Aaa</v>
          </cell>
          <cell r="AB872">
            <v>37377</v>
          </cell>
          <cell r="AC872">
            <v>2002</v>
          </cell>
          <cell r="AD872" t="str">
            <v>St1</v>
          </cell>
          <cell r="AE872" t="str">
            <v>Qd2</v>
          </cell>
          <cell r="AF872" t="str">
            <v>Tr2</v>
          </cell>
          <cell r="AG872" t="str">
            <v>Tr2-2002</v>
          </cell>
          <cell r="AH872" t="str">
            <v>2002-Tr2</v>
          </cell>
          <cell r="AI872">
            <v>5</v>
          </cell>
          <cell r="AJ872" t="str">
            <v>05</v>
          </cell>
        </row>
        <row r="873">
          <cell r="AA873" t="str">
            <v>Aaa</v>
          </cell>
          <cell r="AB873">
            <v>37378</v>
          </cell>
          <cell r="AC873">
            <v>2002</v>
          </cell>
          <cell r="AD873" t="str">
            <v>St1</v>
          </cell>
          <cell r="AE873" t="str">
            <v>Qd2</v>
          </cell>
          <cell r="AF873" t="str">
            <v>Tr2</v>
          </cell>
          <cell r="AG873" t="str">
            <v>Tr2-2002</v>
          </cell>
          <cell r="AH873" t="str">
            <v>2002-Tr2</v>
          </cell>
          <cell r="AI873">
            <v>5</v>
          </cell>
          <cell r="AJ873" t="str">
            <v>05</v>
          </cell>
        </row>
        <row r="874">
          <cell r="AA874" t="str">
            <v>Aaa</v>
          </cell>
          <cell r="AB874">
            <v>37379</v>
          </cell>
          <cell r="AC874">
            <v>2002</v>
          </cell>
          <cell r="AD874" t="str">
            <v>St1</v>
          </cell>
          <cell r="AE874" t="str">
            <v>Qd2</v>
          </cell>
          <cell r="AF874" t="str">
            <v>Tr2</v>
          </cell>
          <cell r="AG874" t="str">
            <v>Tr2-2002</v>
          </cell>
          <cell r="AH874" t="str">
            <v>2002-Tr2</v>
          </cell>
          <cell r="AI874">
            <v>5</v>
          </cell>
          <cell r="AJ874" t="str">
            <v>05</v>
          </cell>
        </row>
        <row r="875">
          <cell r="AA875" t="str">
            <v>Aaa</v>
          </cell>
          <cell r="AB875">
            <v>37380</v>
          </cell>
          <cell r="AC875">
            <v>2002</v>
          </cell>
          <cell r="AD875" t="str">
            <v>St1</v>
          </cell>
          <cell r="AE875" t="str">
            <v>Qd2</v>
          </cell>
          <cell r="AF875" t="str">
            <v>Tr2</v>
          </cell>
          <cell r="AG875" t="str">
            <v>Tr2-2002</v>
          </cell>
          <cell r="AH875" t="str">
            <v>2002-Tr2</v>
          </cell>
          <cell r="AI875">
            <v>5</v>
          </cell>
          <cell r="AJ875" t="str">
            <v>05</v>
          </cell>
        </row>
        <row r="876">
          <cell r="AA876" t="str">
            <v>Aaa</v>
          </cell>
          <cell r="AB876">
            <v>37381</v>
          </cell>
          <cell r="AC876">
            <v>2002</v>
          </cell>
          <cell r="AD876" t="str">
            <v>St1</v>
          </cell>
          <cell r="AE876" t="str">
            <v>Qd2</v>
          </cell>
          <cell r="AF876" t="str">
            <v>Tr2</v>
          </cell>
          <cell r="AG876" t="str">
            <v>Tr2-2002</v>
          </cell>
          <cell r="AH876" t="str">
            <v>2002-Tr2</v>
          </cell>
          <cell r="AI876">
            <v>5</v>
          </cell>
          <cell r="AJ876" t="str">
            <v>05</v>
          </cell>
        </row>
        <row r="877">
          <cell r="AA877" t="str">
            <v>Aaa</v>
          </cell>
          <cell r="AB877">
            <v>37382</v>
          </cell>
          <cell r="AC877">
            <v>2002</v>
          </cell>
          <cell r="AD877" t="str">
            <v>St1</v>
          </cell>
          <cell r="AE877" t="str">
            <v>Qd2</v>
          </cell>
          <cell r="AF877" t="str">
            <v>Tr2</v>
          </cell>
          <cell r="AG877" t="str">
            <v>Tr2-2002</v>
          </cell>
          <cell r="AH877" t="str">
            <v>2002-Tr2</v>
          </cell>
          <cell r="AI877">
            <v>5</v>
          </cell>
          <cell r="AJ877" t="str">
            <v>05</v>
          </cell>
        </row>
        <row r="878">
          <cell r="AA878" t="str">
            <v>Aaa</v>
          </cell>
          <cell r="AB878">
            <v>37383</v>
          </cell>
          <cell r="AC878">
            <v>2002</v>
          </cell>
          <cell r="AD878" t="str">
            <v>St1</v>
          </cell>
          <cell r="AE878" t="str">
            <v>Qd2</v>
          </cell>
          <cell r="AF878" t="str">
            <v>Tr2</v>
          </cell>
          <cell r="AG878" t="str">
            <v>Tr2-2002</v>
          </cell>
          <cell r="AH878" t="str">
            <v>2002-Tr2</v>
          </cell>
          <cell r="AI878">
            <v>5</v>
          </cell>
          <cell r="AJ878" t="str">
            <v>05</v>
          </cell>
        </row>
        <row r="879">
          <cell r="AA879" t="str">
            <v>Aaa</v>
          </cell>
          <cell r="AB879">
            <v>37384</v>
          </cell>
          <cell r="AC879">
            <v>2002</v>
          </cell>
          <cell r="AD879" t="str">
            <v>St1</v>
          </cell>
          <cell r="AE879" t="str">
            <v>Qd2</v>
          </cell>
          <cell r="AF879" t="str">
            <v>Tr2</v>
          </cell>
          <cell r="AG879" t="str">
            <v>Tr2-2002</v>
          </cell>
          <cell r="AH879" t="str">
            <v>2002-Tr2</v>
          </cell>
          <cell r="AI879">
            <v>5</v>
          </cell>
          <cell r="AJ879" t="str">
            <v>05</v>
          </cell>
        </row>
        <row r="880">
          <cell r="AA880" t="str">
            <v>Aaa</v>
          </cell>
          <cell r="AB880">
            <v>37385</v>
          </cell>
          <cell r="AC880">
            <v>2002</v>
          </cell>
          <cell r="AD880" t="str">
            <v>St1</v>
          </cell>
          <cell r="AE880" t="str">
            <v>Qd2</v>
          </cell>
          <cell r="AF880" t="str">
            <v>Tr2</v>
          </cell>
          <cell r="AG880" t="str">
            <v>Tr2-2002</v>
          </cell>
          <cell r="AH880" t="str">
            <v>2002-Tr2</v>
          </cell>
          <cell r="AI880">
            <v>5</v>
          </cell>
          <cell r="AJ880" t="str">
            <v>05</v>
          </cell>
        </row>
        <row r="881">
          <cell r="AA881" t="str">
            <v>Aaa</v>
          </cell>
          <cell r="AB881">
            <v>37386</v>
          </cell>
          <cell r="AC881">
            <v>2002</v>
          </cell>
          <cell r="AD881" t="str">
            <v>St1</v>
          </cell>
          <cell r="AE881" t="str">
            <v>Qd2</v>
          </cell>
          <cell r="AF881" t="str">
            <v>Tr2</v>
          </cell>
          <cell r="AG881" t="str">
            <v>Tr2-2002</v>
          </cell>
          <cell r="AH881" t="str">
            <v>2002-Tr2</v>
          </cell>
          <cell r="AI881">
            <v>5</v>
          </cell>
          <cell r="AJ881" t="str">
            <v>05</v>
          </cell>
        </row>
        <row r="882">
          <cell r="AA882" t="str">
            <v>Aaa</v>
          </cell>
          <cell r="AB882">
            <v>37387</v>
          </cell>
          <cell r="AC882">
            <v>2002</v>
          </cell>
          <cell r="AD882" t="str">
            <v>St1</v>
          </cell>
          <cell r="AE882" t="str">
            <v>Qd2</v>
          </cell>
          <cell r="AF882" t="str">
            <v>Tr2</v>
          </cell>
          <cell r="AG882" t="str">
            <v>Tr2-2002</v>
          </cell>
          <cell r="AH882" t="str">
            <v>2002-Tr2</v>
          </cell>
          <cell r="AI882">
            <v>5</v>
          </cell>
          <cell r="AJ882" t="str">
            <v>05</v>
          </cell>
        </row>
        <row r="883">
          <cell r="AA883" t="str">
            <v>Aaa</v>
          </cell>
          <cell r="AB883">
            <v>37388</v>
          </cell>
          <cell r="AC883">
            <v>2002</v>
          </cell>
          <cell r="AD883" t="str">
            <v>St1</v>
          </cell>
          <cell r="AE883" t="str">
            <v>Qd2</v>
          </cell>
          <cell r="AF883" t="str">
            <v>Tr2</v>
          </cell>
          <cell r="AG883" t="str">
            <v>Tr2-2002</v>
          </cell>
          <cell r="AH883" t="str">
            <v>2002-Tr2</v>
          </cell>
          <cell r="AI883">
            <v>5</v>
          </cell>
          <cell r="AJ883" t="str">
            <v>05</v>
          </cell>
        </row>
        <row r="884">
          <cell r="AA884" t="str">
            <v>Aaa</v>
          </cell>
          <cell r="AB884">
            <v>37389</v>
          </cell>
          <cell r="AC884">
            <v>2002</v>
          </cell>
          <cell r="AD884" t="str">
            <v>St1</v>
          </cell>
          <cell r="AE884" t="str">
            <v>Qd2</v>
          </cell>
          <cell r="AF884" t="str">
            <v>Tr2</v>
          </cell>
          <cell r="AG884" t="str">
            <v>Tr2-2002</v>
          </cell>
          <cell r="AH884" t="str">
            <v>2002-Tr2</v>
          </cell>
          <cell r="AI884">
            <v>5</v>
          </cell>
          <cell r="AJ884" t="str">
            <v>05</v>
          </cell>
        </row>
        <row r="885">
          <cell r="AA885" t="str">
            <v>Aaa</v>
          </cell>
          <cell r="AB885">
            <v>37390</v>
          </cell>
          <cell r="AC885">
            <v>2002</v>
          </cell>
          <cell r="AD885" t="str">
            <v>St1</v>
          </cell>
          <cell r="AE885" t="str">
            <v>Qd2</v>
          </cell>
          <cell r="AF885" t="str">
            <v>Tr2</v>
          </cell>
          <cell r="AG885" t="str">
            <v>Tr2-2002</v>
          </cell>
          <cell r="AH885" t="str">
            <v>2002-Tr2</v>
          </cell>
          <cell r="AI885">
            <v>5</v>
          </cell>
          <cell r="AJ885" t="str">
            <v>05</v>
          </cell>
        </row>
        <row r="886">
          <cell r="AA886" t="str">
            <v>Aaa</v>
          </cell>
          <cell r="AB886">
            <v>37391</v>
          </cell>
          <cell r="AC886">
            <v>2002</v>
          </cell>
          <cell r="AD886" t="str">
            <v>St1</v>
          </cell>
          <cell r="AE886" t="str">
            <v>Qd2</v>
          </cell>
          <cell r="AF886" t="str">
            <v>Tr2</v>
          </cell>
          <cell r="AG886" t="str">
            <v>Tr2-2002</v>
          </cell>
          <cell r="AH886" t="str">
            <v>2002-Tr2</v>
          </cell>
          <cell r="AI886">
            <v>5</v>
          </cell>
          <cell r="AJ886" t="str">
            <v>05</v>
          </cell>
        </row>
        <row r="887">
          <cell r="AA887" t="str">
            <v>Aaa</v>
          </cell>
          <cell r="AB887">
            <v>37392</v>
          </cell>
          <cell r="AC887">
            <v>2002</v>
          </cell>
          <cell r="AD887" t="str">
            <v>St1</v>
          </cell>
          <cell r="AE887" t="str">
            <v>Qd2</v>
          </cell>
          <cell r="AF887" t="str">
            <v>Tr2</v>
          </cell>
          <cell r="AG887" t="str">
            <v>Tr2-2002</v>
          </cell>
          <cell r="AH887" t="str">
            <v>2002-Tr2</v>
          </cell>
          <cell r="AI887">
            <v>5</v>
          </cell>
          <cell r="AJ887" t="str">
            <v>05</v>
          </cell>
        </row>
        <row r="888">
          <cell r="AA888" t="str">
            <v>Aaa</v>
          </cell>
          <cell r="AB888">
            <v>37393</v>
          </cell>
          <cell r="AC888">
            <v>2002</v>
          </cell>
          <cell r="AD888" t="str">
            <v>St1</v>
          </cell>
          <cell r="AE888" t="str">
            <v>Qd2</v>
          </cell>
          <cell r="AF888" t="str">
            <v>Tr2</v>
          </cell>
          <cell r="AG888" t="str">
            <v>Tr2-2002</v>
          </cell>
          <cell r="AH888" t="str">
            <v>2002-Tr2</v>
          </cell>
          <cell r="AI888">
            <v>5</v>
          </cell>
          <cell r="AJ888" t="str">
            <v>05</v>
          </cell>
        </row>
        <row r="889">
          <cell r="AA889" t="str">
            <v>Aaa</v>
          </cell>
          <cell r="AB889">
            <v>37394</v>
          </cell>
          <cell r="AC889">
            <v>2002</v>
          </cell>
          <cell r="AD889" t="str">
            <v>St1</v>
          </cell>
          <cell r="AE889" t="str">
            <v>Qd2</v>
          </cell>
          <cell r="AF889" t="str">
            <v>Tr2</v>
          </cell>
          <cell r="AG889" t="str">
            <v>Tr2-2002</v>
          </cell>
          <cell r="AH889" t="str">
            <v>2002-Tr2</v>
          </cell>
          <cell r="AI889">
            <v>5</v>
          </cell>
          <cell r="AJ889" t="str">
            <v>05</v>
          </cell>
        </row>
        <row r="890">
          <cell r="AA890" t="str">
            <v>Aaa</v>
          </cell>
          <cell r="AB890">
            <v>37395</v>
          </cell>
          <cell r="AC890">
            <v>2002</v>
          </cell>
          <cell r="AD890" t="str">
            <v>St1</v>
          </cell>
          <cell r="AE890" t="str">
            <v>Qd2</v>
          </cell>
          <cell r="AF890" t="str">
            <v>Tr2</v>
          </cell>
          <cell r="AG890" t="str">
            <v>Tr2-2002</v>
          </cell>
          <cell r="AH890" t="str">
            <v>2002-Tr2</v>
          </cell>
          <cell r="AI890">
            <v>5</v>
          </cell>
          <cell r="AJ890" t="str">
            <v>05</v>
          </cell>
        </row>
        <row r="891">
          <cell r="AA891" t="str">
            <v>Aaa</v>
          </cell>
          <cell r="AB891">
            <v>37396</v>
          </cell>
          <cell r="AC891">
            <v>2002</v>
          </cell>
          <cell r="AD891" t="str">
            <v>St1</v>
          </cell>
          <cell r="AE891" t="str">
            <v>Qd2</v>
          </cell>
          <cell r="AF891" t="str">
            <v>Tr2</v>
          </cell>
          <cell r="AG891" t="str">
            <v>Tr2-2002</v>
          </cell>
          <cell r="AH891" t="str">
            <v>2002-Tr2</v>
          </cell>
          <cell r="AI891">
            <v>5</v>
          </cell>
          <cell r="AJ891" t="str">
            <v>05</v>
          </cell>
        </row>
        <row r="892">
          <cell r="AA892" t="str">
            <v>Aaa</v>
          </cell>
          <cell r="AB892">
            <v>37397</v>
          </cell>
          <cell r="AC892">
            <v>2002</v>
          </cell>
          <cell r="AD892" t="str">
            <v>St1</v>
          </cell>
          <cell r="AE892" t="str">
            <v>Qd2</v>
          </cell>
          <cell r="AF892" t="str">
            <v>Tr2</v>
          </cell>
          <cell r="AG892" t="str">
            <v>Tr2-2002</v>
          </cell>
          <cell r="AH892" t="str">
            <v>2002-Tr2</v>
          </cell>
          <cell r="AI892">
            <v>5</v>
          </cell>
          <cell r="AJ892" t="str">
            <v>05</v>
          </cell>
        </row>
        <row r="893">
          <cell r="AA893" t="str">
            <v>Aaa</v>
          </cell>
          <cell r="AB893">
            <v>37398</v>
          </cell>
          <cell r="AC893">
            <v>2002</v>
          </cell>
          <cell r="AD893" t="str">
            <v>St1</v>
          </cell>
          <cell r="AE893" t="str">
            <v>Qd2</v>
          </cell>
          <cell r="AF893" t="str">
            <v>Tr2</v>
          </cell>
          <cell r="AG893" t="str">
            <v>Tr2-2002</v>
          </cell>
          <cell r="AH893" t="str">
            <v>2002-Tr2</v>
          </cell>
          <cell r="AI893">
            <v>5</v>
          </cell>
          <cell r="AJ893" t="str">
            <v>05</v>
          </cell>
        </row>
        <row r="894">
          <cell r="AA894" t="str">
            <v>Aaa</v>
          </cell>
          <cell r="AB894">
            <v>37399</v>
          </cell>
          <cell r="AC894">
            <v>2002</v>
          </cell>
          <cell r="AD894" t="str">
            <v>St1</v>
          </cell>
          <cell r="AE894" t="str">
            <v>Qd2</v>
          </cell>
          <cell r="AF894" t="str">
            <v>Tr2</v>
          </cell>
          <cell r="AG894" t="str">
            <v>Tr2-2002</v>
          </cell>
          <cell r="AH894" t="str">
            <v>2002-Tr2</v>
          </cell>
          <cell r="AI894">
            <v>5</v>
          </cell>
          <cell r="AJ894" t="str">
            <v>05</v>
          </cell>
        </row>
        <row r="895">
          <cell r="AA895" t="str">
            <v>Aaa</v>
          </cell>
          <cell r="AB895">
            <v>37400</v>
          </cell>
          <cell r="AC895">
            <v>2002</v>
          </cell>
          <cell r="AD895" t="str">
            <v>St1</v>
          </cell>
          <cell r="AE895" t="str">
            <v>Qd2</v>
          </cell>
          <cell r="AF895" t="str">
            <v>Tr2</v>
          </cell>
          <cell r="AG895" t="str">
            <v>Tr2-2002</v>
          </cell>
          <cell r="AH895" t="str">
            <v>2002-Tr2</v>
          </cell>
          <cell r="AI895">
            <v>5</v>
          </cell>
          <cell r="AJ895" t="str">
            <v>05</v>
          </cell>
        </row>
        <row r="896">
          <cell r="AA896" t="str">
            <v>Aaa</v>
          </cell>
          <cell r="AB896">
            <v>37401</v>
          </cell>
          <cell r="AC896">
            <v>2002</v>
          </cell>
          <cell r="AD896" t="str">
            <v>St1</v>
          </cell>
          <cell r="AE896" t="str">
            <v>Qd2</v>
          </cell>
          <cell r="AF896" t="str">
            <v>Tr2</v>
          </cell>
          <cell r="AG896" t="str">
            <v>Tr2-2002</v>
          </cell>
          <cell r="AH896" t="str">
            <v>2002-Tr2</v>
          </cell>
          <cell r="AI896">
            <v>5</v>
          </cell>
          <cell r="AJ896" t="str">
            <v>05</v>
          </cell>
        </row>
        <row r="897">
          <cell r="AA897" t="str">
            <v>Aaa</v>
          </cell>
          <cell r="AB897">
            <v>37402</v>
          </cell>
          <cell r="AC897">
            <v>2002</v>
          </cell>
          <cell r="AD897" t="str">
            <v>St1</v>
          </cell>
          <cell r="AE897" t="str">
            <v>Qd2</v>
          </cell>
          <cell r="AF897" t="str">
            <v>Tr2</v>
          </cell>
          <cell r="AG897" t="str">
            <v>Tr2-2002</v>
          </cell>
          <cell r="AH897" t="str">
            <v>2002-Tr2</v>
          </cell>
          <cell r="AI897">
            <v>5</v>
          </cell>
          <cell r="AJ897" t="str">
            <v>05</v>
          </cell>
        </row>
        <row r="898">
          <cell r="AA898" t="str">
            <v>Aaa</v>
          </cell>
          <cell r="AB898">
            <v>37403</v>
          </cell>
          <cell r="AC898">
            <v>2002</v>
          </cell>
          <cell r="AD898" t="str">
            <v>St1</v>
          </cell>
          <cell r="AE898" t="str">
            <v>Qd2</v>
          </cell>
          <cell r="AF898" t="str">
            <v>Tr2</v>
          </cell>
          <cell r="AG898" t="str">
            <v>Tr2-2002</v>
          </cell>
          <cell r="AH898" t="str">
            <v>2002-Tr2</v>
          </cell>
          <cell r="AI898">
            <v>5</v>
          </cell>
          <cell r="AJ898" t="str">
            <v>05</v>
          </cell>
        </row>
        <row r="899">
          <cell r="AA899" t="str">
            <v>Aaa</v>
          </cell>
          <cell r="AB899">
            <v>37404</v>
          </cell>
          <cell r="AC899">
            <v>2002</v>
          </cell>
          <cell r="AD899" t="str">
            <v>St1</v>
          </cell>
          <cell r="AE899" t="str">
            <v>Qd2</v>
          </cell>
          <cell r="AF899" t="str">
            <v>Tr2</v>
          </cell>
          <cell r="AG899" t="str">
            <v>Tr2-2002</v>
          </cell>
          <cell r="AH899" t="str">
            <v>2002-Tr2</v>
          </cell>
          <cell r="AI899">
            <v>5</v>
          </cell>
          <cell r="AJ899" t="str">
            <v>05</v>
          </cell>
        </row>
        <row r="900">
          <cell r="AA900" t="str">
            <v>Aaa</v>
          </cell>
          <cell r="AB900">
            <v>37405</v>
          </cell>
          <cell r="AC900">
            <v>2002</v>
          </cell>
          <cell r="AD900" t="str">
            <v>St1</v>
          </cell>
          <cell r="AE900" t="str">
            <v>Qd2</v>
          </cell>
          <cell r="AF900" t="str">
            <v>Tr2</v>
          </cell>
          <cell r="AG900" t="str">
            <v>Tr2-2002</v>
          </cell>
          <cell r="AH900" t="str">
            <v>2002-Tr2</v>
          </cell>
          <cell r="AI900">
            <v>5</v>
          </cell>
          <cell r="AJ900" t="str">
            <v>05</v>
          </cell>
        </row>
        <row r="901">
          <cell r="AA901" t="str">
            <v>Aaa</v>
          </cell>
          <cell r="AB901">
            <v>37406</v>
          </cell>
          <cell r="AC901">
            <v>2002</v>
          </cell>
          <cell r="AD901" t="str">
            <v>St1</v>
          </cell>
          <cell r="AE901" t="str">
            <v>Qd2</v>
          </cell>
          <cell r="AF901" t="str">
            <v>Tr2</v>
          </cell>
          <cell r="AG901" t="str">
            <v>Tr2-2002</v>
          </cell>
          <cell r="AH901" t="str">
            <v>2002-Tr2</v>
          </cell>
          <cell r="AI901">
            <v>5</v>
          </cell>
          <cell r="AJ901" t="str">
            <v>05</v>
          </cell>
        </row>
        <row r="902">
          <cell r="AA902" t="str">
            <v>Aaa</v>
          </cell>
          <cell r="AB902">
            <v>37407</v>
          </cell>
          <cell r="AC902">
            <v>2002</v>
          </cell>
          <cell r="AD902" t="str">
            <v>St1</v>
          </cell>
          <cell r="AE902" t="str">
            <v>Qd2</v>
          </cell>
          <cell r="AF902" t="str">
            <v>Tr2</v>
          </cell>
          <cell r="AG902" t="str">
            <v>Tr2-2002</v>
          </cell>
          <cell r="AH902" t="str">
            <v>2002-Tr2</v>
          </cell>
          <cell r="AI902">
            <v>5</v>
          </cell>
          <cell r="AJ902" t="str">
            <v>05</v>
          </cell>
        </row>
        <row r="903">
          <cell r="AA903" t="str">
            <v>Aaa</v>
          </cell>
          <cell r="AB903">
            <v>37408</v>
          </cell>
          <cell r="AC903">
            <v>2002</v>
          </cell>
          <cell r="AD903" t="str">
            <v>St1</v>
          </cell>
          <cell r="AE903" t="str">
            <v>Qd2</v>
          </cell>
          <cell r="AF903" t="str">
            <v>Tr2</v>
          </cell>
          <cell r="AG903" t="str">
            <v>Tr2-2002</v>
          </cell>
          <cell r="AH903" t="str">
            <v>2002-Tr2</v>
          </cell>
          <cell r="AI903">
            <v>6</v>
          </cell>
          <cell r="AJ903" t="str">
            <v>06</v>
          </cell>
        </row>
        <row r="904">
          <cell r="AA904" t="str">
            <v>Aaa</v>
          </cell>
          <cell r="AB904">
            <v>37409</v>
          </cell>
          <cell r="AC904">
            <v>2002</v>
          </cell>
          <cell r="AD904" t="str">
            <v>St1</v>
          </cell>
          <cell r="AE904" t="str">
            <v>Qd2</v>
          </cell>
          <cell r="AF904" t="str">
            <v>Tr2</v>
          </cell>
          <cell r="AG904" t="str">
            <v>Tr2-2002</v>
          </cell>
          <cell r="AH904" t="str">
            <v>2002-Tr2</v>
          </cell>
          <cell r="AI904">
            <v>6</v>
          </cell>
          <cell r="AJ904" t="str">
            <v>06</v>
          </cell>
        </row>
        <row r="905">
          <cell r="AA905" t="str">
            <v>Aaa</v>
          </cell>
          <cell r="AB905">
            <v>37410</v>
          </cell>
          <cell r="AC905">
            <v>2002</v>
          </cell>
          <cell r="AD905" t="str">
            <v>St1</v>
          </cell>
          <cell r="AE905" t="str">
            <v>Qd2</v>
          </cell>
          <cell r="AF905" t="str">
            <v>Tr2</v>
          </cell>
          <cell r="AG905" t="str">
            <v>Tr2-2002</v>
          </cell>
          <cell r="AH905" t="str">
            <v>2002-Tr2</v>
          </cell>
          <cell r="AI905">
            <v>6</v>
          </cell>
          <cell r="AJ905" t="str">
            <v>06</v>
          </cell>
        </row>
        <row r="906">
          <cell r="AA906" t="str">
            <v>Aaa</v>
          </cell>
          <cell r="AB906">
            <v>37411</v>
          </cell>
          <cell r="AC906">
            <v>2002</v>
          </cell>
          <cell r="AD906" t="str">
            <v>St1</v>
          </cell>
          <cell r="AE906" t="str">
            <v>Qd2</v>
          </cell>
          <cell r="AF906" t="str">
            <v>Tr2</v>
          </cell>
          <cell r="AG906" t="str">
            <v>Tr2-2002</v>
          </cell>
          <cell r="AH906" t="str">
            <v>2002-Tr2</v>
          </cell>
          <cell r="AI906">
            <v>6</v>
          </cell>
          <cell r="AJ906" t="str">
            <v>06</v>
          </cell>
        </row>
        <row r="907">
          <cell r="AA907" t="str">
            <v>Aaa</v>
          </cell>
          <cell r="AB907">
            <v>37412</v>
          </cell>
          <cell r="AC907">
            <v>2002</v>
          </cell>
          <cell r="AD907" t="str">
            <v>St1</v>
          </cell>
          <cell r="AE907" t="str">
            <v>Qd2</v>
          </cell>
          <cell r="AF907" t="str">
            <v>Tr2</v>
          </cell>
          <cell r="AG907" t="str">
            <v>Tr2-2002</v>
          </cell>
          <cell r="AH907" t="str">
            <v>2002-Tr2</v>
          </cell>
          <cell r="AI907">
            <v>6</v>
          </cell>
          <cell r="AJ907" t="str">
            <v>06</v>
          </cell>
        </row>
        <row r="908">
          <cell r="AA908" t="str">
            <v>Aaa</v>
          </cell>
          <cell r="AB908">
            <v>37413</v>
          </cell>
          <cell r="AC908">
            <v>2002</v>
          </cell>
          <cell r="AD908" t="str">
            <v>St1</v>
          </cell>
          <cell r="AE908" t="str">
            <v>Qd2</v>
          </cell>
          <cell r="AF908" t="str">
            <v>Tr2</v>
          </cell>
          <cell r="AG908" t="str">
            <v>Tr2-2002</v>
          </cell>
          <cell r="AH908" t="str">
            <v>2002-Tr2</v>
          </cell>
          <cell r="AI908">
            <v>6</v>
          </cell>
          <cell r="AJ908" t="str">
            <v>06</v>
          </cell>
        </row>
        <row r="909">
          <cell r="AA909" t="str">
            <v>Aaa</v>
          </cell>
          <cell r="AB909">
            <v>37414</v>
          </cell>
          <cell r="AC909">
            <v>2002</v>
          </cell>
          <cell r="AD909" t="str">
            <v>St1</v>
          </cell>
          <cell r="AE909" t="str">
            <v>Qd2</v>
          </cell>
          <cell r="AF909" t="str">
            <v>Tr2</v>
          </cell>
          <cell r="AG909" t="str">
            <v>Tr2-2002</v>
          </cell>
          <cell r="AH909" t="str">
            <v>2002-Tr2</v>
          </cell>
          <cell r="AI909">
            <v>6</v>
          </cell>
          <cell r="AJ909" t="str">
            <v>06</v>
          </cell>
        </row>
        <row r="910">
          <cell r="AA910" t="str">
            <v>Aaa</v>
          </cell>
          <cell r="AB910">
            <v>37415</v>
          </cell>
          <cell r="AC910">
            <v>2002</v>
          </cell>
          <cell r="AD910" t="str">
            <v>St1</v>
          </cell>
          <cell r="AE910" t="str">
            <v>Qd2</v>
          </cell>
          <cell r="AF910" t="str">
            <v>Tr2</v>
          </cell>
          <cell r="AG910" t="str">
            <v>Tr2-2002</v>
          </cell>
          <cell r="AH910" t="str">
            <v>2002-Tr2</v>
          </cell>
          <cell r="AI910">
            <v>6</v>
          </cell>
          <cell r="AJ910" t="str">
            <v>06</v>
          </cell>
        </row>
        <row r="911">
          <cell r="AA911" t="str">
            <v>Aaa</v>
          </cell>
          <cell r="AB911">
            <v>37416</v>
          </cell>
          <cell r="AC911">
            <v>2002</v>
          </cell>
          <cell r="AD911" t="str">
            <v>St1</v>
          </cell>
          <cell r="AE911" t="str">
            <v>Qd2</v>
          </cell>
          <cell r="AF911" t="str">
            <v>Tr2</v>
          </cell>
          <cell r="AG911" t="str">
            <v>Tr2-2002</v>
          </cell>
          <cell r="AH911" t="str">
            <v>2002-Tr2</v>
          </cell>
          <cell r="AI911">
            <v>6</v>
          </cell>
          <cell r="AJ911" t="str">
            <v>06</v>
          </cell>
        </row>
        <row r="912">
          <cell r="AA912" t="str">
            <v>Aaa</v>
          </cell>
          <cell r="AB912">
            <v>37417</v>
          </cell>
          <cell r="AC912">
            <v>2002</v>
          </cell>
          <cell r="AD912" t="str">
            <v>St1</v>
          </cell>
          <cell r="AE912" t="str">
            <v>Qd2</v>
          </cell>
          <cell r="AF912" t="str">
            <v>Tr2</v>
          </cell>
          <cell r="AG912" t="str">
            <v>Tr2-2002</v>
          </cell>
          <cell r="AH912" t="str">
            <v>2002-Tr2</v>
          </cell>
          <cell r="AI912">
            <v>6</v>
          </cell>
          <cell r="AJ912" t="str">
            <v>06</v>
          </cell>
        </row>
        <row r="913">
          <cell r="AA913" t="str">
            <v>Aaa</v>
          </cell>
          <cell r="AB913">
            <v>37418</v>
          </cell>
          <cell r="AC913">
            <v>2002</v>
          </cell>
          <cell r="AD913" t="str">
            <v>St1</v>
          </cell>
          <cell r="AE913" t="str">
            <v>Qd2</v>
          </cell>
          <cell r="AF913" t="str">
            <v>Tr2</v>
          </cell>
          <cell r="AG913" t="str">
            <v>Tr2-2002</v>
          </cell>
          <cell r="AH913" t="str">
            <v>2002-Tr2</v>
          </cell>
          <cell r="AI913">
            <v>6</v>
          </cell>
          <cell r="AJ913" t="str">
            <v>06</v>
          </cell>
        </row>
        <row r="914">
          <cell r="AA914" t="str">
            <v>Aaa</v>
          </cell>
          <cell r="AB914">
            <v>37419</v>
          </cell>
          <cell r="AC914">
            <v>2002</v>
          </cell>
          <cell r="AD914" t="str">
            <v>St1</v>
          </cell>
          <cell r="AE914" t="str">
            <v>Qd2</v>
          </cell>
          <cell r="AF914" t="str">
            <v>Tr2</v>
          </cell>
          <cell r="AG914" t="str">
            <v>Tr2-2002</v>
          </cell>
          <cell r="AH914" t="str">
            <v>2002-Tr2</v>
          </cell>
          <cell r="AI914">
            <v>6</v>
          </cell>
          <cell r="AJ914" t="str">
            <v>06</v>
          </cell>
        </row>
        <row r="915">
          <cell r="AA915" t="str">
            <v>Aaa</v>
          </cell>
          <cell r="AB915">
            <v>37420</v>
          </cell>
          <cell r="AC915">
            <v>2002</v>
          </cell>
          <cell r="AD915" t="str">
            <v>St1</v>
          </cell>
          <cell r="AE915" t="str">
            <v>Qd2</v>
          </cell>
          <cell r="AF915" t="str">
            <v>Tr2</v>
          </cell>
          <cell r="AG915" t="str">
            <v>Tr2-2002</v>
          </cell>
          <cell r="AH915" t="str">
            <v>2002-Tr2</v>
          </cell>
          <cell r="AI915">
            <v>6</v>
          </cell>
          <cell r="AJ915" t="str">
            <v>06</v>
          </cell>
        </row>
        <row r="916">
          <cell r="AA916" t="str">
            <v>Aaa</v>
          </cell>
          <cell r="AB916">
            <v>37421</v>
          </cell>
          <cell r="AC916">
            <v>2002</v>
          </cell>
          <cell r="AD916" t="str">
            <v>St1</v>
          </cell>
          <cell r="AE916" t="str">
            <v>Qd2</v>
          </cell>
          <cell r="AF916" t="str">
            <v>Tr2</v>
          </cell>
          <cell r="AG916" t="str">
            <v>Tr2-2002</v>
          </cell>
          <cell r="AH916" t="str">
            <v>2002-Tr2</v>
          </cell>
          <cell r="AI916">
            <v>6</v>
          </cell>
          <cell r="AJ916" t="str">
            <v>06</v>
          </cell>
        </row>
        <row r="917">
          <cell r="AA917" t="str">
            <v>Aaa</v>
          </cell>
          <cell r="AB917">
            <v>37422</v>
          </cell>
          <cell r="AC917">
            <v>2002</v>
          </cell>
          <cell r="AD917" t="str">
            <v>St1</v>
          </cell>
          <cell r="AE917" t="str">
            <v>Qd2</v>
          </cell>
          <cell r="AF917" t="str">
            <v>Tr2</v>
          </cell>
          <cell r="AG917" t="str">
            <v>Tr2-2002</v>
          </cell>
          <cell r="AH917" t="str">
            <v>2002-Tr2</v>
          </cell>
          <cell r="AI917">
            <v>6</v>
          </cell>
          <cell r="AJ917" t="str">
            <v>06</v>
          </cell>
        </row>
        <row r="918">
          <cell r="AA918" t="str">
            <v>Aaa</v>
          </cell>
          <cell r="AB918">
            <v>37423</v>
          </cell>
          <cell r="AC918">
            <v>2002</v>
          </cell>
          <cell r="AD918" t="str">
            <v>St1</v>
          </cell>
          <cell r="AE918" t="str">
            <v>Qd2</v>
          </cell>
          <cell r="AF918" t="str">
            <v>Tr2</v>
          </cell>
          <cell r="AG918" t="str">
            <v>Tr2-2002</v>
          </cell>
          <cell r="AH918" t="str">
            <v>2002-Tr2</v>
          </cell>
          <cell r="AI918">
            <v>6</v>
          </cell>
          <cell r="AJ918" t="str">
            <v>06</v>
          </cell>
        </row>
        <row r="919">
          <cell r="AA919" t="str">
            <v>Aaa</v>
          </cell>
          <cell r="AB919">
            <v>37424</v>
          </cell>
          <cell r="AC919">
            <v>2002</v>
          </cell>
          <cell r="AD919" t="str">
            <v>St1</v>
          </cell>
          <cell r="AE919" t="str">
            <v>Qd2</v>
          </cell>
          <cell r="AF919" t="str">
            <v>Tr2</v>
          </cell>
          <cell r="AG919" t="str">
            <v>Tr2-2002</v>
          </cell>
          <cell r="AH919" t="str">
            <v>2002-Tr2</v>
          </cell>
          <cell r="AI919">
            <v>6</v>
          </cell>
          <cell r="AJ919" t="str">
            <v>06</v>
          </cell>
        </row>
        <row r="920">
          <cell r="AA920" t="str">
            <v>Aaa</v>
          </cell>
          <cell r="AB920">
            <v>37425</v>
          </cell>
          <cell r="AC920">
            <v>2002</v>
          </cell>
          <cell r="AD920" t="str">
            <v>St1</v>
          </cell>
          <cell r="AE920" t="str">
            <v>Qd2</v>
          </cell>
          <cell r="AF920" t="str">
            <v>Tr2</v>
          </cell>
          <cell r="AG920" t="str">
            <v>Tr2-2002</v>
          </cell>
          <cell r="AH920" t="str">
            <v>2002-Tr2</v>
          </cell>
          <cell r="AI920">
            <v>6</v>
          </cell>
          <cell r="AJ920" t="str">
            <v>06</v>
          </cell>
        </row>
        <row r="921">
          <cell r="AA921" t="str">
            <v>Aaa</v>
          </cell>
          <cell r="AB921">
            <v>37426</v>
          </cell>
          <cell r="AC921">
            <v>2002</v>
          </cell>
          <cell r="AD921" t="str">
            <v>St1</v>
          </cell>
          <cell r="AE921" t="str">
            <v>Qd2</v>
          </cell>
          <cell r="AF921" t="str">
            <v>Tr2</v>
          </cell>
          <cell r="AG921" t="str">
            <v>Tr2-2002</v>
          </cell>
          <cell r="AH921" t="str">
            <v>2002-Tr2</v>
          </cell>
          <cell r="AI921">
            <v>6</v>
          </cell>
          <cell r="AJ921" t="str">
            <v>06</v>
          </cell>
        </row>
        <row r="922">
          <cell r="AA922" t="str">
            <v>Aaa</v>
          </cell>
          <cell r="AB922">
            <v>37427</v>
          </cell>
          <cell r="AC922">
            <v>2002</v>
          </cell>
          <cell r="AD922" t="str">
            <v>St1</v>
          </cell>
          <cell r="AE922" t="str">
            <v>Qd2</v>
          </cell>
          <cell r="AF922" t="str">
            <v>Tr2</v>
          </cell>
          <cell r="AG922" t="str">
            <v>Tr2-2002</v>
          </cell>
          <cell r="AH922" t="str">
            <v>2002-Tr2</v>
          </cell>
          <cell r="AI922">
            <v>6</v>
          </cell>
          <cell r="AJ922" t="str">
            <v>06</v>
          </cell>
        </row>
        <row r="923">
          <cell r="AA923" t="str">
            <v>Aaa</v>
          </cell>
          <cell r="AB923">
            <v>37428</v>
          </cell>
          <cell r="AC923">
            <v>2002</v>
          </cell>
          <cell r="AD923" t="str">
            <v>St1</v>
          </cell>
          <cell r="AE923" t="str">
            <v>Qd2</v>
          </cell>
          <cell r="AF923" t="str">
            <v>Tr2</v>
          </cell>
          <cell r="AG923" t="str">
            <v>Tr2-2002</v>
          </cell>
          <cell r="AH923" t="str">
            <v>2002-Tr2</v>
          </cell>
          <cell r="AI923">
            <v>6</v>
          </cell>
          <cell r="AJ923" t="str">
            <v>06</v>
          </cell>
        </row>
        <row r="924">
          <cell r="AA924" t="str">
            <v>Aaa</v>
          </cell>
          <cell r="AB924">
            <v>37429</v>
          </cell>
          <cell r="AC924">
            <v>2002</v>
          </cell>
          <cell r="AD924" t="str">
            <v>St1</v>
          </cell>
          <cell r="AE924" t="str">
            <v>Qd2</v>
          </cell>
          <cell r="AF924" t="str">
            <v>Tr2</v>
          </cell>
          <cell r="AG924" t="str">
            <v>Tr2-2002</v>
          </cell>
          <cell r="AH924" t="str">
            <v>2002-Tr2</v>
          </cell>
          <cell r="AI924">
            <v>6</v>
          </cell>
          <cell r="AJ924" t="str">
            <v>06</v>
          </cell>
        </row>
        <row r="925">
          <cell r="AA925" t="str">
            <v>Aaa</v>
          </cell>
          <cell r="AB925">
            <v>37430</v>
          </cell>
          <cell r="AC925">
            <v>2002</v>
          </cell>
          <cell r="AD925" t="str">
            <v>St1</v>
          </cell>
          <cell r="AE925" t="str">
            <v>Qd2</v>
          </cell>
          <cell r="AF925" t="str">
            <v>Tr2</v>
          </cell>
          <cell r="AG925" t="str">
            <v>Tr2-2002</v>
          </cell>
          <cell r="AH925" t="str">
            <v>2002-Tr2</v>
          </cell>
          <cell r="AI925">
            <v>6</v>
          </cell>
          <cell r="AJ925" t="str">
            <v>06</v>
          </cell>
        </row>
        <row r="926">
          <cell r="AA926" t="str">
            <v>Aaa</v>
          </cell>
          <cell r="AB926">
            <v>37431</v>
          </cell>
          <cell r="AC926">
            <v>2002</v>
          </cell>
          <cell r="AD926" t="str">
            <v>St1</v>
          </cell>
          <cell r="AE926" t="str">
            <v>Qd2</v>
          </cell>
          <cell r="AF926" t="str">
            <v>Tr2</v>
          </cell>
          <cell r="AG926" t="str">
            <v>Tr2-2002</v>
          </cell>
          <cell r="AH926" t="str">
            <v>2002-Tr2</v>
          </cell>
          <cell r="AI926">
            <v>6</v>
          </cell>
          <cell r="AJ926" t="str">
            <v>06</v>
          </cell>
        </row>
        <row r="927">
          <cell r="AA927" t="str">
            <v>Aaa</v>
          </cell>
          <cell r="AB927">
            <v>37432</v>
          </cell>
          <cell r="AC927">
            <v>2002</v>
          </cell>
          <cell r="AD927" t="str">
            <v>St1</v>
          </cell>
          <cell r="AE927" t="str">
            <v>Qd2</v>
          </cell>
          <cell r="AF927" t="str">
            <v>Tr2</v>
          </cell>
          <cell r="AG927" t="str">
            <v>Tr2-2002</v>
          </cell>
          <cell r="AH927" t="str">
            <v>2002-Tr2</v>
          </cell>
          <cell r="AI927">
            <v>6</v>
          </cell>
          <cell r="AJ927" t="str">
            <v>06</v>
          </cell>
        </row>
        <row r="928">
          <cell r="AA928" t="str">
            <v>Aaa</v>
          </cell>
          <cell r="AB928">
            <v>37433</v>
          </cell>
          <cell r="AC928">
            <v>2002</v>
          </cell>
          <cell r="AD928" t="str">
            <v>St1</v>
          </cell>
          <cell r="AE928" t="str">
            <v>Qd2</v>
          </cell>
          <cell r="AF928" t="str">
            <v>Tr2</v>
          </cell>
          <cell r="AG928" t="str">
            <v>Tr2-2002</v>
          </cell>
          <cell r="AH928" t="str">
            <v>2002-Tr2</v>
          </cell>
          <cell r="AI928">
            <v>6</v>
          </cell>
          <cell r="AJ928" t="str">
            <v>06</v>
          </cell>
        </row>
        <row r="929">
          <cell r="AA929" t="str">
            <v>Aaa</v>
          </cell>
          <cell r="AB929">
            <v>37434</v>
          </cell>
          <cell r="AC929">
            <v>2002</v>
          </cell>
          <cell r="AD929" t="str">
            <v>St1</v>
          </cell>
          <cell r="AE929" t="str">
            <v>Qd2</v>
          </cell>
          <cell r="AF929" t="str">
            <v>Tr2</v>
          </cell>
          <cell r="AG929" t="str">
            <v>Tr2-2002</v>
          </cell>
          <cell r="AH929" t="str">
            <v>2002-Tr2</v>
          </cell>
          <cell r="AI929">
            <v>6</v>
          </cell>
          <cell r="AJ929" t="str">
            <v>06</v>
          </cell>
        </row>
        <row r="930">
          <cell r="AA930" t="str">
            <v>Aaa</v>
          </cell>
          <cell r="AB930">
            <v>37435</v>
          </cell>
          <cell r="AC930">
            <v>2002</v>
          </cell>
          <cell r="AD930" t="str">
            <v>St1</v>
          </cell>
          <cell r="AE930" t="str">
            <v>Qd2</v>
          </cell>
          <cell r="AF930" t="str">
            <v>Tr2</v>
          </cell>
          <cell r="AG930" t="str">
            <v>Tr2-2002</v>
          </cell>
          <cell r="AH930" t="str">
            <v>2002-Tr2</v>
          </cell>
          <cell r="AI930">
            <v>6</v>
          </cell>
          <cell r="AJ930" t="str">
            <v>06</v>
          </cell>
        </row>
        <row r="931">
          <cell r="AA931" t="str">
            <v>Aaa</v>
          </cell>
          <cell r="AB931">
            <v>37436</v>
          </cell>
          <cell r="AC931">
            <v>2002</v>
          </cell>
          <cell r="AD931" t="str">
            <v>St1</v>
          </cell>
          <cell r="AE931" t="str">
            <v>Qd2</v>
          </cell>
          <cell r="AF931" t="str">
            <v>Tr2</v>
          </cell>
          <cell r="AG931" t="str">
            <v>Tr2-2002</v>
          </cell>
          <cell r="AH931" t="str">
            <v>2002-Tr2</v>
          </cell>
          <cell r="AI931">
            <v>6</v>
          </cell>
          <cell r="AJ931" t="str">
            <v>06</v>
          </cell>
        </row>
        <row r="932">
          <cell r="AA932" t="str">
            <v>Aaa</v>
          </cell>
          <cell r="AB932">
            <v>37437</v>
          </cell>
          <cell r="AC932">
            <v>2002</v>
          </cell>
          <cell r="AD932" t="str">
            <v>St1</v>
          </cell>
          <cell r="AE932" t="str">
            <v>Qd2</v>
          </cell>
          <cell r="AF932" t="str">
            <v>Tr2</v>
          </cell>
          <cell r="AG932" t="str">
            <v>Tr2-2002</v>
          </cell>
          <cell r="AH932" t="str">
            <v>2002-Tr2</v>
          </cell>
          <cell r="AI932">
            <v>6</v>
          </cell>
          <cell r="AJ932" t="str">
            <v>06</v>
          </cell>
        </row>
        <row r="933">
          <cell r="AA933" t="str">
            <v>Aaa</v>
          </cell>
          <cell r="AB933">
            <v>37438</v>
          </cell>
          <cell r="AC933">
            <v>2002</v>
          </cell>
          <cell r="AD933" t="str">
            <v>St2</v>
          </cell>
          <cell r="AE933" t="str">
            <v>Qd2</v>
          </cell>
          <cell r="AF933" t="str">
            <v>Tr3</v>
          </cell>
          <cell r="AG933" t="str">
            <v>Tr3-2002</v>
          </cell>
          <cell r="AH933" t="str">
            <v>2002-Tr3</v>
          </cell>
          <cell r="AI933">
            <v>7</v>
          </cell>
          <cell r="AJ933" t="str">
            <v>07</v>
          </cell>
        </row>
        <row r="934">
          <cell r="AA934" t="str">
            <v>Aaa</v>
          </cell>
          <cell r="AB934">
            <v>37439</v>
          </cell>
          <cell r="AC934">
            <v>2002</v>
          </cell>
          <cell r="AD934" t="str">
            <v>St2</v>
          </cell>
          <cell r="AE934" t="str">
            <v>Qd2</v>
          </cell>
          <cell r="AF934" t="str">
            <v>Tr3</v>
          </cell>
          <cell r="AG934" t="str">
            <v>Tr3-2002</v>
          </cell>
          <cell r="AH934" t="str">
            <v>2002-Tr3</v>
          </cell>
          <cell r="AI934">
            <v>7</v>
          </cell>
          <cell r="AJ934" t="str">
            <v>07</v>
          </cell>
        </row>
        <row r="935">
          <cell r="AA935" t="str">
            <v>Aaa</v>
          </cell>
          <cell r="AB935">
            <v>37440</v>
          </cell>
          <cell r="AC935">
            <v>2002</v>
          </cell>
          <cell r="AD935" t="str">
            <v>St2</v>
          </cell>
          <cell r="AE935" t="str">
            <v>Qd2</v>
          </cell>
          <cell r="AF935" t="str">
            <v>Tr3</v>
          </cell>
          <cell r="AG935" t="str">
            <v>Tr3-2002</v>
          </cell>
          <cell r="AH935" t="str">
            <v>2002-Tr3</v>
          </cell>
          <cell r="AI935">
            <v>7</v>
          </cell>
          <cell r="AJ935" t="str">
            <v>07</v>
          </cell>
        </row>
        <row r="936">
          <cell r="AA936" t="str">
            <v>Aaa</v>
          </cell>
          <cell r="AB936">
            <v>37441</v>
          </cell>
          <cell r="AC936">
            <v>2002</v>
          </cell>
          <cell r="AD936" t="str">
            <v>St2</v>
          </cell>
          <cell r="AE936" t="str">
            <v>Qd2</v>
          </cell>
          <cell r="AF936" t="str">
            <v>Tr3</v>
          </cell>
          <cell r="AG936" t="str">
            <v>Tr3-2002</v>
          </cell>
          <cell r="AH936" t="str">
            <v>2002-Tr3</v>
          </cell>
          <cell r="AI936">
            <v>7</v>
          </cell>
          <cell r="AJ936" t="str">
            <v>07</v>
          </cell>
        </row>
        <row r="937">
          <cell r="AA937" t="str">
            <v>Aaa</v>
          </cell>
          <cell r="AB937">
            <v>37442</v>
          </cell>
          <cell r="AC937">
            <v>2002</v>
          </cell>
          <cell r="AD937" t="str">
            <v>St2</v>
          </cell>
          <cell r="AE937" t="str">
            <v>Qd2</v>
          </cell>
          <cell r="AF937" t="str">
            <v>Tr3</v>
          </cell>
          <cell r="AG937" t="str">
            <v>Tr3-2002</v>
          </cell>
          <cell r="AH937" t="str">
            <v>2002-Tr3</v>
          </cell>
          <cell r="AI937">
            <v>7</v>
          </cell>
          <cell r="AJ937" t="str">
            <v>07</v>
          </cell>
        </row>
        <row r="938">
          <cell r="AA938" t="str">
            <v>Aaa</v>
          </cell>
          <cell r="AB938">
            <v>37443</v>
          </cell>
          <cell r="AC938">
            <v>2002</v>
          </cell>
          <cell r="AD938" t="str">
            <v>St2</v>
          </cell>
          <cell r="AE938" t="str">
            <v>Qd2</v>
          </cell>
          <cell r="AF938" t="str">
            <v>Tr3</v>
          </cell>
          <cell r="AG938" t="str">
            <v>Tr3-2002</v>
          </cell>
          <cell r="AH938" t="str">
            <v>2002-Tr3</v>
          </cell>
          <cell r="AI938">
            <v>7</v>
          </cell>
          <cell r="AJ938" t="str">
            <v>07</v>
          </cell>
        </row>
        <row r="939">
          <cell r="AA939" t="str">
            <v>Aaa</v>
          </cell>
          <cell r="AB939">
            <v>37444</v>
          </cell>
          <cell r="AC939">
            <v>2002</v>
          </cell>
          <cell r="AD939" t="str">
            <v>St2</v>
          </cell>
          <cell r="AE939" t="str">
            <v>Qd2</v>
          </cell>
          <cell r="AF939" t="str">
            <v>Tr3</v>
          </cell>
          <cell r="AG939" t="str">
            <v>Tr3-2002</v>
          </cell>
          <cell r="AH939" t="str">
            <v>2002-Tr3</v>
          </cell>
          <cell r="AI939">
            <v>7</v>
          </cell>
          <cell r="AJ939" t="str">
            <v>07</v>
          </cell>
        </row>
        <row r="940">
          <cell r="AA940" t="str">
            <v>Aaa</v>
          </cell>
          <cell r="AB940">
            <v>37445</v>
          </cell>
          <cell r="AC940">
            <v>2002</v>
          </cell>
          <cell r="AD940" t="str">
            <v>St2</v>
          </cell>
          <cell r="AE940" t="str">
            <v>Qd2</v>
          </cell>
          <cell r="AF940" t="str">
            <v>Tr3</v>
          </cell>
          <cell r="AG940" t="str">
            <v>Tr3-2002</v>
          </cell>
          <cell r="AH940" t="str">
            <v>2002-Tr3</v>
          </cell>
          <cell r="AI940">
            <v>7</v>
          </cell>
          <cell r="AJ940" t="str">
            <v>07</v>
          </cell>
        </row>
        <row r="941">
          <cell r="AA941" t="str">
            <v>Aaa</v>
          </cell>
          <cell r="AB941">
            <v>37446</v>
          </cell>
          <cell r="AC941">
            <v>2002</v>
          </cell>
          <cell r="AD941" t="str">
            <v>St2</v>
          </cell>
          <cell r="AE941" t="str">
            <v>Qd2</v>
          </cell>
          <cell r="AF941" t="str">
            <v>Tr3</v>
          </cell>
          <cell r="AG941" t="str">
            <v>Tr3-2002</v>
          </cell>
          <cell r="AH941" t="str">
            <v>2002-Tr3</v>
          </cell>
          <cell r="AI941">
            <v>7</v>
          </cell>
          <cell r="AJ941" t="str">
            <v>07</v>
          </cell>
        </row>
        <row r="942">
          <cell r="AA942" t="str">
            <v>Aaa</v>
          </cell>
          <cell r="AB942">
            <v>37447</v>
          </cell>
          <cell r="AC942">
            <v>2002</v>
          </cell>
          <cell r="AD942" t="str">
            <v>St2</v>
          </cell>
          <cell r="AE942" t="str">
            <v>Qd2</v>
          </cell>
          <cell r="AF942" t="str">
            <v>Tr3</v>
          </cell>
          <cell r="AG942" t="str">
            <v>Tr3-2002</v>
          </cell>
          <cell r="AH942" t="str">
            <v>2002-Tr3</v>
          </cell>
          <cell r="AI942">
            <v>7</v>
          </cell>
          <cell r="AJ942" t="str">
            <v>07</v>
          </cell>
        </row>
        <row r="943">
          <cell r="AA943" t="str">
            <v>Aaa</v>
          </cell>
          <cell r="AB943">
            <v>37448</v>
          </cell>
          <cell r="AC943">
            <v>2002</v>
          </cell>
          <cell r="AD943" t="str">
            <v>St2</v>
          </cell>
          <cell r="AE943" t="str">
            <v>Qd2</v>
          </cell>
          <cell r="AF943" t="str">
            <v>Tr3</v>
          </cell>
          <cell r="AG943" t="str">
            <v>Tr3-2002</v>
          </cell>
          <cell r="AH943" t="str">
            <v>2002-Tr3</v>
          </cell>
          <cell r="AI943">
            <v>7</v>
          </cell>
          <cell r="AJ943" t="str">
            <v>07</v>
          </cell>
        </row>
        <row r="944">
          <cell r="AA944" t="str">
            <v>Aaa</v>
          </cell>
          <cell r="AB944">
            <v>37449</v>
          </cell>
          <cell r="AC944">
            <v>2002</v>
          </cell>
          <cell r="AD944" t="str">
            <v>St2</v>
          </cell>
          <cell r="AE944" t="str">
            <v>Qd2</v>
          </cell>
          <cell r="AF944" t="str">
            <v>Tr3</v>
          </cell>
          <cell r="AG944" t="str">
            <v>Tr3-2002</v>
          </cell>
          <cell r="AH944" t="str">
            <v>2002-Tr3</v>
          </cell>
          <cell r="AI944">
            <v>7</v>
          </cell>
          <cell r="AJ944" t="str">
            <v>07</v>
          </cell>
        </row>
        <row r="945">
          <cell r="AA945" t="str">
            <v>Aaa</v>
          </cell>
          <cell r="AB945">
            <v>37450</v>
          </cell>
          <cell r="AC945">
            <v>2002</v>
          </cell>
          <cell r="AD945" t="str">
            <v>St2</v>
          </cell>
          <cell r="AE945" t="str">
            <v>Qd2</v>
          </cell>
          <cell r="AF945" t="str">
            <v>Tr3</v>
          </cell>
          <cell r="AG945" t="str">
            <v>Tr3-2002</v>
          </cell>
          <cell r="AH945" t="str">
            <v>2002-Tr3</v>
          </cell>
          <cell r="AI945">
            <v>7</v>
          </cell>
          <cell r="AJ945" t="str">
            <v>07</v>
          </cell>
        </row>
        <row r="946">
          <cell r="AA946" t="str">
            <v>Aaa</v>
          </cell>
          <cell r="AB946">
            <v>37451</v>
          </cell>
          <cell r="AC946">
            <v>2002</v>
          </cell>
          <cell r="AD946" t="str">
            <v>St2</v>
          </cell>
          <cell r="AE946" t="str">
            <v>Qd2</v>
          </cell>
          <cell r="AF946" t="str">
            <v>Tr3</v>
          </cell>
          <cell r="AG946" t="str">
            <v>Tr3-2002</v>
          </cell>
          <cell r="AH946" t="str">
            <v>2002-Tr3</v>
          </cell>
          <cell r="AI946">
            <v>7</v>
          </cell>
          <cell r="AJ946" t="str">
            <v>07</v>
          </cell>
        </row>
        <row r="947">
          <cell r="AA947" t="str">
            <v>Aaa</v>
          </cell>
          <cell r="AB947">
            <v>37452</v>
          </cell>
          <cell r="AC947">
            <v>2002</v>
          </cell>
          <cell r="AD947" t="str">
            <v>St2</v>
          </cell>
          <cell r="AE947" t="str">
            <v>Qd2</v>
          </cell>
          <cell r="AF947" t="str">
            <v>Tr3</v>
          </cell>
          <cell r="AG947" t="str">
            <v>Tr3-2002</v>
          </cell>
          <cell r="AH947" t="str">
            <v>2002-Tr3</v>
          </cell>
          <cell r="AI947">
            <v>7</v>
          </cell>
          <cell r="AJ947" t="str">
            <v>07</v>
          </cell>
        </row>
        <row r="948">
          <cell r="AA948" t="str">
            <v>Aaa</v>
          </cell>
          <cell r="AB948">
            <v>37453</v>
          </cell>
          <cell r="AC948">
            <v>2002</v>
          </cell>
          <cell r="AD948" t="str">
            <v>St2</v>
          </cell>
          <cell r="AE948" t="str">
            <v>Qd2</v>
          </cell>
          <cell r="AF948" t="str">
            <v>Tr3</v>
          </cell>
          <cell r="AG948" t="str">
            <v>Tr3-2002</v>
          </cell>
          <cell r="AH948" t="str">
            <v>2002-Tr3</v>
          </cell>
          <cell r="AI948">
            <v>7</v>
          </cell>
          <cell r="AJ948" t="str">
            <v>07</v>
          </cell>
        </row>
        <row r="949">
          <cell r="AA949" t="str">
            <v>Aaa</v>
          </cell>
          <cell r="AB949">
            <v>37454</v>
          </cell>
          <cell r="AC949">
            <v>2002</v>
          </cell>
          <cell r="AD949" t="str">
            <v>St2</v>
          </cell>
          <cell r="AE949" t="str">
            <v>Qd2</v>
          </cell>
          <cell r="AF949" t="str">
            <v>Tr3</v>
          </cell>
          <cell r="AG949" t="str">
            <v>Tr3-2002</v>
          </cell>
          <cell r="AH949" t="str">
            <v>2002-Tr3</v>
          </cell>
          <cell r="AI949">
            <v>7</v>
          </cell>
          <cell r="AJ949" t="str">
            <v>07</v>
          </cell>
        </row>
        <row r="950">
          <cell r="AA950" t="str">
            <v>Aaa</v>
          </cell>
          <cell r="AB950">
            <v>37455</v>
          </cell>
          <cell r="AC950">
            <v>2002</v>
          </cell>
          <cell r="AD950" t="str">
            <v>St2</v>
          </cell>
          <cell r="AE950" t="str">
            <v>Qd2</v>
          </cell>
          <cell r="AF950" t="str">
            <v>Tr3</v>
          </cell>
          <cell r="AG950" t="str">
            <v>Tr3-2002</v>
          </cell>
          <cell r="AH950" t="str">
            <v>2002-Tr3</v>
          </cell>
          <cell r="AI950">
            <v>7</v>
          </cell>
          <cell r="AJ950" t="str">
            <v>07</v>
          </cell>
        </row>
        <row r="951">
          <cell r="AA951" t="str">
            <v>Aaa</v>
          </cell>
          <cell r="AB951">
            <v>37456</v>
          </cell>
          <cell r="AC951">
            <v>2002</v>
          </cell>
          <cell r="AD951" t="str">
            <v>St2</v>
          </cell>
          <cell r="AE951" t="str">
            <v>Qd2</v>
          </cell>
          <cell r="AF951" t="str">
            <v>Tr3</v>
          </cell>
          <cell r="AG951" t="str">
            <v>Tr3-2002</v>
          </cell>
          <cell r="AH951" t="str">
            <v>2002-Tr3</v>
          </cell>
          <cell r="AI951">
            <v>7</v>
          </cell>
          <cell r="AJ951" t="str">
            <v>07</v>
          </cell>
        </row>
        <row r="952">
          <cell r="AA952" t="str">
            <v>Aaa</v>
          </cell>
          <cell r="AB952">
            <v>37457</v>
          </cell>
          <cell r="AC952">
            <v>2002</v>
          </cell>
          <cell r="AD952" t="str">
            <v>St2</v>
          </cell>
          <cell r="AE952" t="str">
            <v>Qd2</v>
          </cell>
          <cell r="AF952" t="str">
            <v>Tr3</v>
          </cell>
          <cell r="AG952" t="str">
            <v>Tr3-2002</v>
          </cell>
          <cell r="AH952" t="str">
            <v>2002-Tr3</v>
          </cell>
          <cell r="AI952">
            <v>7</v>
          </cell>
          <cell r="AJ952" t="str">
            <v>07</v>
          </cell>
        </row>
        <row r="953">
          <cell r="AA953" t="str">
            <v>Aaa</v>
          </cell>
          <cell r="AB953">
            <v>37458</v>
          </cell>
          <cell r="AC953">
            <v>2002</v>
          </cell>
          <cell r="AD953" t="str">
            <v>St2</v>
          </cell>
          <cell r="AE953" t="str">
            <v>Qd2</v>
          </cell>
          <cell r="AF953" t="str">
            <v>Tr3</v>
          </cell>
          <cell r="AG953" t="str">
            <v>Tr3-2002</v>
          </cell>
          <cell r="AH953" t="str">
            <v>2002-Tr3</v>
          </cell>
          <cell r="AI953">
            <v>7</v>
          </cell>
          <cell r="AJ953" t="str">
            <v>07</v>
          </cell>
        </row>
        <row r="954">
          <cell r="AA954" t="str">
            <v>Aaa</v>
          </cell>
          <cell r="AB954">
            <v>37459</v>
          </cell>
          <cell r="AC954">
            <v>2002</v>
          </cell>
          <cell r="AD954" t="str">
            <v>St2</v>
          </cell>
          <cell r="AE954" t="str">
            <v>Qd2</v>
          </cell>
          <cell r="AF954" t="str">
            <v>Tr3</v>
          </cell>
          <cell r="AG954" t="str">
            <v>Tr3-2002</v>
          </cell>
          <cell r="AH954" t="str">
            <v>2002-Tr3</v>
          </cell>
          <cell r="AI954">
            <v>7</v>
          </cell>
          <cell r="AJ954" t="str">
            <v>07</v>
          </cell>
        </row>
        <row r="955">
          <cell r="AA955" t="str">
            <v>Aaa</v>
          </cell>
          <cell r="AB955">
            <v>37460</v>
          </cell>
          <cell r="AC955">
            <v>2002</v>
          </cell>
          <cell r="AD955" t="str">
            <v>St2</v>
          </cell>
          <cell r="AE955" t="str">
            <v>Qd2</v>
          </cell>
          <cell r="AF955" t="str">
            <v>Tr3</v>
          </cell>
          <cell r="AG955" t="str">
            <v>Tr3-2002</v>
          </cell>
          <cell r="AH955" t="str">
            <v>2002-Tr3</v>
          </cell>
          <cell r="AI955">
            <v>7</v>
          </cell>
          <cell r="AJ955" t="str">
            <v>07</v>
          </cell>
        </row>
        <row r="956">
          <cell r="AA956" t="str">
            <v>Aaa</v>
          </cell>
          <cell r="AB956">
            <v>37461</v>
          </cell>
          <cell r="AC956">
            <v>2002</v>
          </cell>
          <cell r="AD956" t="str">
            <v>St2</v>
          </cell>
          <cell r="AE956" t="str">
            <v>Qd2</v>
          </cell>
          <cell r="AF956" t="str">
            <v>Tr3</v>
          </cell>
          <cell r="AG956" t="str">
            <v>Tr3-2002</v>
          </cell>
          <cell r="AH956" t="str">
            <v>2002-Tr3</v>
          </cell>
          <cell r="AI956">
            <v>7</v>
          </cell>
          <cell r="AJ956" t="str">
            <v>07</v>
          </cell>
        </row>
        <row r="957">
          <cell r="AA957" t="str">
            <v>Aaa</v>
          </cell>
          <cell r="AB957">
            <v>37462</v>
          </cell>
          <cell r="AC957">
            <v>2002</v>
          </cell>
          <cell r="AD957" t="str">
            <v>St2</v>
          </cell>
          <cell r="AE957" t="str">
            <v>Qd2</v>
          </cell>
          <cell r="AF957" t="str">
            <v>Tr3</v>
          </cell>
          <cell r="AG957" t="str">
            <v>Tr3-2002</v>
          </cell>
          <cell r="AH957" t="str">
            <v>2002-Tr3</v>
          </cell>
          <cell r="AI957">
            <v>7</v>
          </cell>
          <cell r="AJ957" t="str">
            <v>07</v>
          </cell>
        </row>
        <row r="958">
          <cell r="AA958" t="str">
            <v>Aaa</v>
          </cell>
          <cell r="AB958">
            <v>37463</v>
          </cell>
          <cell r="AC958">
            <v>2002</v>
          </cell>
          <cell r="AD958" t="str">
            <v>St2</v>
          </cell>
          <cell r="AE958" t="str">
            <v>Qd2</v>
          </cell>
          <cell r="AF958" t="str">
            <v>Tr3</v>
          </cell>
          <cell r="AG958" t="str">
            <v>Tr3-2002</v>
          </cell>
          <cell r="AH958" t="str">
            <v>2002-Tr3</v>
          </cell>
          <cell r="AI958">
            <v>7</v>
          </cell>
          <cell r="AJ958" t="str">
            <v>07</v>
          </cell>
        </row>
        <row r="959">
          <cell r="AA959" t="str">
            <v>Aaa</v>
          </cell>
          <cell r="AB959">
            <v>37464</v>
          </cell>
          <cell r="AC959">
            <v>2002</v>
          </cell>
          <cell r="AD959" t="str">
            <v>St2</v>
          </cell>
          <cell r="AE959" t="str">
            <v>Qd2</v>
          </cell>
          <cell r="AF959" t="str">
            <v>Tr3</v>
          </cell>
          <cell r="AG959" t="str">
            <v>Tr3-2002</v>
          </cell>
          <cell r="AH959" t="str">
            <v>2002-Tr3</v>
          </cell>
          <cell r="AI959">
            <v>7</v>
          </cell>
          <cell r="AJ959" t="str">
            <v>07</v>
          </cell>
        </row>
        <row r="960">
          <cell r="AA960" t="str">
            <v>Aaa</v>
          </cell>
          <cell r="AB960">
            <v>37465</v>
          </cell>
          <cell r="AC960">
            <v>2002</v>
          </cell>
          <cell r="AD960" t="str">
            <v>St2</v>
          </cell>
          <cell r="AE960" t="str">
            <v>Qd2</v>
          </cell>
          <cell r="AF960" t="str">
            <v>Tr3</v>
          </cell>
          <cell r="AG960" t="str">
            <v>Tr3-2002</v>
          </cell>
          <cell r="AH960" t="str">
            <v>2002-Tr3</v>
          </cell>
          <cell r="AI960">
            <v>7</v>
          </cell>
          <cell r="AJ960" t="str">
            <v>07</v>
          </cell>
        </row>
        <row r="961">
          <cell r="AA961" t="str">
            <v>Aaa</v>
          </cell>
          <cell r="AB961">
            <v>37466</v>
          </cell>
          <cell r="AC961">
            <v>2002</v>
          </cell>
          <cell r="AD961" t="str">
            <v>St2</v>
          </cell>
          <cell r="AE961" t="str">
            <v>Qd2</v>
          </cell>
          <cell r="AF961" t="str">
            <v>Tr3</v>
          </cell>
          <cell r="AG961" t="str">
            <v>Tr3-2002</v>
          </cell>
          <cell r="AH961" t="str">
            <v>2002-Tr3</v>
          </cell>
          <cell r="AI961">
            <v>7</v>
          </cell>
          <cell r="AJ961" t="str">
            <v>07</v>
          </cell>
        </row>
        <row r="962">
          <cell r="AA962" t="str">
            <v>Aaa</v>
          </cell>
          <cell r="AB962">
            <v>37467</v>
          </cell>
          <cell r="AC962">
            <v>2002</v>
          </cell>
          <cell r="AD962" t="str">
            <v>St2</v>
          </cell>
          <cell r="AE962" t="str">
            <v>Qd2</v>
          </cell>
          <cell r="AF962" t="str">
            <v>Tr3</v>
          </cell>
          <cell r="AG962" t="str">
            <v>Tr3-2002</v>
          </cell>
          <cell r="AH962" t="str">
            <v>2002-Tr3</v>
          </cell>
          <cell r="AI962">
            <v>7</v>
          </cell>
          <cell r="AJ962" t="str">
            <v>07</v>
          </cell>
        </row>
        <row r="963">
          <cell r="AA963" t="str">
            <v>Aaa</v>
          </cell>
          <cell r="AB963">
            <v>37468</v>
          </cell>
          <cell r="AC963">
            <v>2002</v>
          </cell>
          <cell r="AD963" t="str">
            <v>St2</v>
          </cell>
          <cell r="AE963" t="str">
            <v>Qd2</v>
          </cell>
          <cell r="AF963" t="str">
            <v>Tr3</v>
          </cell>
          <cell r="AG963" t="str">
            <v>Tr3-2002</v>
          </cell>
          <cell r="AH963" t="str">
            <v>2002-Tr3</v>
          </cell>
          <cell r="AI963">
            <v>7</v>
          </cell>
          <cell r="AJ963" t="str">
            <v>07</v>
          </cell>
        </row>
        <row r="964">
          <cell r="AA964" t="str">
            <v>Aaa</v>
          </cell>
          <cell r="AB964">
            <v>37469</v>
          </cell>
          <cell r="AC964">
            <v>2002</v>
          </cell>
          <cell r="AD964" t="str">
            <v>St2</v>
          </cell>
          <cell r="AE964" t="str">
            <v>Qd2</v>
          </cell>
          <cell r="AF964" t="str">
            <v>Tr3</v>
          </cell>
          <cell r="AG964" t="str">
            <v>Tr3-2002</v>
          </cell>
          <cell r="AH964" t="str">
            <v>2002-Tr3</v>
          </cell>
          <cell r="AI964">
            <v>8</v>
          </cell>
          <cell r="AJ964" t="str">
            <v>08</v>
          </cell>
        </row>
        <row r="965">
          <cell r="AA965" t="str">
            <v>Aaa</v>
          </cell>
          <cell r="AB965">
            <v>37470</v>
          </cell>
          <cell r="AC965">
            <v>2002</v>
          </cell>
          <cell r="AD965" t="str">
            <v>St2</v>
          </cell>
          <cell r="AE965" t="str">
            <v>Qd2</v>
          </cell>
          <cell r="AF965" t="str">
            <v>Tr3</v>
          </cell>
          <cell r="AG965" t="str">
            <v>Tr3-2002</v>
          </cell>
          <cell r="AH965" t="str">
            <v>2002-Tr3</v>
          </cell>
          <cell r="AI965">
            <v>8</v>
          </cell>
          <cell r="AJ965" t="str">
            <v>08</v>
          </cell>
        </row>
        <row r="966">
          <cell r="AA966" t="str">
            <v>Aaa</v>
          </cell>
          <cell r="AB966">
            <v>37471</v>
          </cell>
          <cell r="AC966">
            <v>2002</v>
          </cell>
          <cell r="AD966" t="str">
            <v>St2</v>
          </cell>
          <cell r="AE966" t="str">
            <v>Qd2</v>
          </cell>
          <cell r="AF966" t="str">
            <v>Tr3</v>
          </cell>
          <cell r="AG966" t="str">
            <v>Tr3-2002</v>
          </cell>
          <cell r="AH966" t="str">
            <v>2002-Tr3</v>
          </cell>
          <cell r="AI966">
            <v>8</v>
          </cell>
          <cell r="AJ966" t="str">
            <v>08</v>
          </cell>
        </row>
        <row r="967">
          <cell r="AA967" t="str">
            <v>Aaa</v>
          </cell>
          <cell r="AB967">
            <v>37472</v>
          </cell>
          <cell r="AC967">
            <v>2002</v>
          </cell>
          <cell r="AD967" t="str">
            <v>St2</v>
          </cell>
          <cell r="AE967" t="str">
            <v>Qd2</v>
          </cell>
          <cell r="AF967" t="str">
            <v>Tr3</v>
          </cell>
          <cell r="AG967" t="str">
            <v>Tr3-2002</v>
          </cell>
          <cell r="AH967" t="str">
            <v>2002-Tr3</v>
          </cell>
          <cell r="AI967">
            <v>8</v>
          </cell>
          <cell r="AJ967" t="str">
            <v>08</v>
          </cell>
        </row>
        <row r="968">
          <cell r="AA968" t="str">
            <v>Aaa</v>
          </cell>
          <cell r="AB968">
            <v>37473</v>
          </cell>
          <cell r="AC968">
            <v>2002</v>
          </cell>
          <cell r="AD968" t="str">
            <v>St2</v>
          </cell>
          <cell r="AE968" t="str">
            <v>Qd2</v>
          </cell>
          <cell r="AF968" t="str">
            <v>Tr3</v>
          </cell>
          <cell r="AG968" t="str">
            <v>Tr3-2002</v>
          </cell>
          <cell r="AH968" t="str">
            <v>2002-Tr3</v>
          </cell>
          <cell r="AI968">
            <v>8</v>
          </cell>
          <cell r="AJ968" t="str">
            <v>08</v>
          </cell>
        </row>
        <row r="969">
          <cell r="AA969" t="str">
            <v>Aaa</v>
          </cell>
          <cell r="AB969">
            <v>37474</v>
          </cell>
          <cell r="AC969">
            <v>2002</v>
          </cell>
          <cell r="AD969" t="str">
            <v>St2</v>
          </cell>
          <cell r="AE969" t="str">
            <v>Qd2</v>
          </cell>
          <cell r="AF969" t="str">
            <v>Tr3</v>
          </cell>
          <cell r="AG969" t="str">
            <v>Tr3-2002</v>
          </cell>
          <cell r="AH969" t="str">
            <v>2002-Tr3</v>
          </cell>
          <cell r="AI969">
            <v>8</v>
          </cell>
          <cell r="AJ969" t="str">
            <v>08</v>
          </cell>
        </row>
        <row r="970">
          <cell r="AA970" t="str">
            <v>Aaa</v>
          </cell>
          <cell r="AB970">
            <v>37475</v>
          </cell>
          <cell r="AC970">
            <v>2002</v>
          </cell>
          <cell r="AD970" t="str">
            <v>St2</v>
          </cell>
          <cell r="AE970" t="str">
            <v>Qd2</v>
          </cell>
          <cell r="AF970" t="str">
            <v>Tr3</v>
          </cell>
          <cell r="AG970" t="str">
            <v>Tr3-2002</v>
          </cell>
          <cell r="AH970" t="str">
            <v>2002-Tr3</v>
          </cell>
          <cell r="AI970">
            <v>8</v>
          </cell>
          <cell r="AJ970" t="str">
            <v>08</v>
          </cell>
        </row>
        <row r="971">
          <cell r="AA971" t="str">
            <v>Aaa</v>
          </cell>
          <cell r="AB971">
            <v>37476</v>
          </cell>
          <cell r="AC971">
            <v>2002</v>
          </cell>
          <cell r="AD971" t="str">
            <v>St2</v>
          </cell>
          <cell r="AE971" t="str">
            <v>Qd2</v>
          </cell>
          <cell r="AF971" t="str">
            <v>Tr3</v>
          </cell>
          <cell r="AG971" t="str">
            <v>Tr3-2002</v>
          </cell>
          <cell r="AH971" t="str">
            <v>2002-Tr3</v>
          </cell>
          <cell r="AI971">
            <v>8</v>
          </cell>
          <cell r="AJ971" t="str">
            <v>08</v>
          </cell>
        </row>
        <row r="972">
          <cell r="AA972" t="str">
            <v>Aaa</v>
          </cell>
          <cell r="AB972">
            <v>37477</v>
          </cell>
          <cell r="AC972">
            <v>2002</v>
          </cell>
          <cell r="AD972" t="str">
            <v>St2</v>
          </cell>
          <cell r="AE972" t="str">
            <v>Qd2</v>
          </cell>
          <cell r="AF972" t="str">
            <v>Tr3</v>
          </cell>
          <cell r="AG972" t="str">
            <v>Tr3-2002</v>
          </cell>
          <cell r="AH972" t="str">
            <v>2002-Tr3</v>
          </cell>
          <cell r="AI972">
            <v>8</v>
          </cell>
          <cell r="AJ972" t="str">
            <v>08</v>
          </cell>
        </row>
        <row r="973">
          <cell r="AA973" t="str">
            <v>Aaa</v>
          </cell>
          <cell r="AB973">
            <v>37478</v>
          </cell>
          <cell r="AC973">
            <v>2002</v>
          </cell>
          <cell r="AD973" t="str">
            <v>St2</v>
          </cell>
          <cell r="AE973" t="str">
            <v>Qd2</v>
          </cell>
          <cell r="AF973" t="str">
            <v>Tr3</v>
          </cell>
          <cell r="AG973" t="str">
            <v>Tr3-2002</v>
          </cell>
          <cell r="AH973" t="str">
            <v>2002-Tr3</v>
          </cell>
          <cell r="AI973">
            <v>8</v>
          </cell>
          <cell r="AJ973" t="str">
            <v>08</v>
          </cell>
        </row>
        <row r="974">
          <cell r="AA974" t="str">
            <v>Aaa</v>
          </cell>
          <cell r="AB974">
            <v>37479</v>
          </cell>
          <cell r="AC974">
            <v>2002</v>
          </cell>
          <cell r="AD974" t="str">
            <v>St2</v>
          </cell>
          <cell r="AE974" t="str">
            <v>Qd2</v>
          </cell>
          <cell r="AF974" t="str">
            <v>Tr3</v>
          </cell>
          <cell r="AG974" t="str">
            <v>Tr3-2002</v>
          </cell>
          <cell r="AH974" t="str">
            <v>2002-Tr3</v>
          </cell>
          <cell r="AI974">
            <v>8</v>
          </cell>
          <cell r="AJ974" t="str">
            <v>08</v>
          </cell>
        </row>
        <row r="975">
          <cell r="AA975" t="str">
            <v>Aaa</v>
          </cell>
          <cell r="AB975">
            <v>37480</v>
          </cell>
          <cell r="AC975">
            <v>2002</v>
          </cell>
          <cell r="AD975" t="str">
            <v>St2</v>
          </cell>
          <cell r="AE975" t="str">
            <v>Qd2</v>
          </cell>
          <cell r="AF975" t="str">
            <v>Tr3</v>
          </cell>
          <cell r="AG975" t="str">
            <v>Tr3-2002</v>
          </cell>
          <cell r="AH975" t="str">
            <v>2002-Tr3</v>
          </cell>
          <cell r="AI975">
            <v>8</v>
          </cell>
          <cell r="AJ975" t="str">
            <v>08</v>
          </cell>
        </row>
        <row r="976">
          <cell r="AA976" t="str">
            <v>Aaa</v>
          </cell>
          <cell r="AB976">
            <v>37481</v>
          </cell>
          <cell r="AC976">
            <v>2002</v>
          </cell>
          <cell r="AD976" t="str">
            <v>St2</v>
          </cell>
          <cell r="AE976" t="str">
            <v>Qd2</v>
          </cell>
          <cell r="AF976" t="str">
            <v>Tr3</v>
          </cell>
          <cell r="AG976" t="str">
            <v>Tr3-2002</v>
          </cell>
          <cell r="AH976" t="str">
            <v>2002-Tr3</v>
          </cell>
          <cell r="AI976">
            <v>8</v>
          </cell>
          <cell r="AJ976" t="str">
            <v>08</v>
          </cell>
        </row>
        <row r="977">
          <cell r="AA977" t="str">
            <v>Aaa</v>
          </cell>
          <cell r="AB977">
            <v>37482</v>
          </cell>
          <cell r="AC977">
            <v>2002</v>
          </cell>
          <cell r="AD977" t="str">
            <v>St2</v>
          </cell>
          <cell r="AE977" t="str">
            <v>Qd2</v>
          </cell>
          <cell r="AF977" t="str">
            <v>Tr3</v>
          </cell>
          <cell r="AG977" t="str">
            <v>Tr3-2002</v>
          </cell>
          <cell r="AH977" t="str">
            <v>2002-Tr3</v>
          </cell>
          <cell r="AI977">
            <v>8</v>
          </cell>
          <cell r="AJ977" t="str">
            <v>08</v>
          </cell>
        </row>
        <row r="978">
          <cell r="AA978" t="str">
            <v>Aaa</v>
          </cell>
          <cell r="AB978">
            <v>37483</v>
          </cell>
          <cell r="AC978">
            <v>2002</v>
          </cell>
          <cell r="AD978" t="str">
            <v>St2</v>
          </cell>
          <cell r="AE978" t="str">
            <v>Qd2</v>
          </cell>
          <cell r="AF978" t="str">
            <v>Tr3</v>
          </cell>
          <cell r="AG978" t="str">
            <v>Tr3-2002</v>
          </cell>
          <cell r="AH978" t="str">
            <v>2002-Tr3</v>
          </cell>
          <cell r="AI978">
            <v>8</v>
          </cell>
          <cell r="AJ978" t="str">
            <v>08</v>
          </cell>
        </row>
        <row r="979">
          <cell r="AA979" t="str">
            <v>Aaa</v>
          </cell>
          <cell r="AB979">
            <v>37484</v>
          </cell>
          <cell r="AC979">
            <v>2002</v>
          </cell>
          <cell r="AD979" t="str">
            <v>St2</v>
          </cell>
          <cell r="AE979" t="str">
            <v>Qd2</v>
          </cell>
          <cell r="AF979" t="str">
            <v>Tr3</v>
          </cell>
          <cell r="AG979" t="str">
            <v>Tr3-2002</v>
          </cell>
          <cell r="AH979" t="str">
            <v>2002-Tr3</v>
          </cell>
          <cell r="AI979">
            <v>8</v>
          </cell>
          <cell r="AJ979" t="str">
            <v>08</v>
          </cell>
        </row>
        <row r="980">
          <cell r="AA980" t="str">
            <v>Aaa</v>
          </cell>
          <cell r="AB980">
            <v>37485</v>
          </cell>
          <cell r="AC980">
            <v>2002</v>
          </cell>
          <cell r="AD980" t="str">
            <v>St2</v>
          </cell>
          <cell r="AE980" t="str">
            <v>Qd2</v>
          </cell>
          <cell r="AF980" t="str">
            <v>Tr3</v>
          </cell>
          <cell r="AG980" t="str">
            <v>Tr3-2002</v>
          </cell>
          <cell r="AH980" t="str">
            <v>2002-Tr3</v>
          </cell>
          <cell r="AI980">
            <v>8</v>
          </cell>
          <cell r="AJ980" t="str">
            <v>08</v>
          </cell>
        </row>
        <row r="981">
          <cell r="AA981" t="str">
            <v>Aaa</v>
          </cell>
          <cell r="AB981">
            <v>37486</v>
          </cell>
          <cell r="AC981">
            <v>2002</v>
          </cell>
          <cell r="AD981" t="str">
            <v>St2</v>
          </cell>
          <cell r="AE981" t="str">
            <v>Qd2</v>
          </cell>
          <cell r="AF981" t="str">
            <v>Tr3</v>
          </cell>
          <cell r="AG981" t="str">
            <v>Tr3-2002</v>
          </cell>
          <cell r="AH981" t="str">
            <v>2002-Tr3</v>
          </cell>
          <cell r="AI981">
            <v>8</v>
          </cell>
          <cell r="AJ981" t="str">
            <v>08</v>
          </cell>
        </row>
        <row r="982">
          <cell r="AA982" t="str">
            <v>Aaa</v>
          </cell>
          <cell r="AB982">
            <v>37487</v>
          </cell>
          <cell r="AC982">
            <v>2002</v>
          </cell>
          <cell r="AD982" t="str">
            <v>St2</v>
          </cell>
          <cell r="AE982" t="str">
            <v>Qd2</v>
          </cell>
          <cell r="AF982" t="str">
            <v>Tr3</v>
          </cell>
          <cell r="AG982" t="str">
            <v>Tr3-2002</v>
          </cell>
          <cell r="AH982" t="str">
            <v>2002-Tr3</v>
          </cell>
          <cell r="AI982">
            <v>8</v>
          </cell>
          <cell r="AJ982" t="str">
            <v>08</v>
          </cell>
        </row>
        <row r="983">
          <cell r="AA983" t="str">
            <v>Aaa</v>
          </cell>
          <cell r="AB983">
            <v>37488</v>
          </cell>
          <cell r="AC983">
            <v>2002</v>
          </cell>
          <cell r="AD983" t="str">
            <v>St2</v>
          </cell>
          <cell r="AE983" t="str">
            <v>Qd2</v>
          </cell>
          <cell r="AF983" t="str">
            <v>Tr3</v>
          </cell>
          <cell r="AG983" t="str">
            <v>Tr3-2002</v>
          </cell>
          <cell r="AH983" t="str">
            <v>2002-Tr3</v>
          </cell>
          <cell r="AI983">
            <v>8</v>
          </cell>
          <cell r="AJ983" t="str">
            <v>08</v>
          </cell>
        </row>
        <row r="984">
          <cell r="AA984" t="str">
            <v>Aaa</v>
          </cell>
          <cell r="AB984">
            <v>37489</v>
          </cell>
          <cell r="AC984">
            <v>2002</v>
          </cell>
          <cell r="AD984" t="str">
            <v>St2</v>
          </cell>
          <cell r="AE984" t="str">
            <v>Qd2</v>
          </cell>
          <cell r="AF984" t="str">
            <v>Tr3</v>
          </cell>
          <cell r="AG984" t="str">
            <v>Tr3-2002</v>
          </cell>
          <cell r="AH984" t="str">
            <v>2002-Tr3</v>
          </cell>
          <cell r="AI984">
            <v>8</v>
          </cell>
          <cell r="AJ984" t="str">
            <v>08</v>
          </cell>
        </row>
        <row r="985">
          <cell r="AA985" t="str">
            <v>Aaa</v>
          </cell>
          <cell r="AB985">
            <v>37490</v>
          </cell>
          <cell r="AC985">
            <v>2002</v>
          </cell>
          <cell r="AD985" t="str">
            <v>St2</v>
          </cell>
          <cell r="AE985" t="str">
            <v>Qd2</v>
          </cell>
          <cell r="AF985" t="str">
            <v>Tr3</v>
          </cell>
          <cell r="AG985" t="str">
            <v>Tr3-2002</v>
          </cell>
          <cell r="AH985" t="str">
            <v>2002-Tr3</v>
          </cell>
          <cell r="AI985">
            <v>8</v>
          </cell>
          <cell r="AJ985" t="str">
            <v>08</v>
          </cell>
        </row>
        <row r="986">
          <cell r="AA986" t="str">
            <v>Aaa</v>
          </cell>
          <cell r="AB986">
            <v>37491</v>
          </cell>
          <cell r="AC986">
            <v>2002</v>
          </cell>
          <cell r="AD986" t="str">
            <v>St2</v>
          </cell>
          <cell r="AE986" t="str">
            <v>Qd2</v>
          </cell>
          <cell r="AF986" t="str">
            <v>Tr3</v>
          </cell>
          <cell r="AG986" t="str">
            <v>Tr3-2002</v>
          </cell>
          <cell r="AH986" t="str">
            <v>2002-Tr3</v>
          </cell>
          <cell r="AI986">
            <v>8</v>
          </cell>
          <cell r="AJ986" t="str">
            <v>08</v>
          </cell>
        </row>
        <row r="987">
          <cell r="AA987" t="str">
            <v>Aaa</v>
          </cell>
          <cell r="AB987">
            <v>37492</v>
          </cell>
          <cell r="AC987">
            <v>2002</v>
          </cell>
          <cell r="AD987" t="str">
            <v>St2</v>
          </cell>
          <cell r="AE987" t="str">
            <v>Qd2</v>
          </cell>
          <cell r="AF987" t="str">
            <v>Tr3</v>
          </cell>
          <cell r="AG987" t="str">
            <v>Tr3-2002</v>
          </cell>
          <cell r="AH987" t="str">
            <v>2002-Tr3</v>
          </cell>
          <cell r="AI987">
            <v>8</v>
          </cell>
          <cell r="AJ987" t="str">
            <v>08</v>
          </cell>
        </row>
        <row r="988">
          <cell r="AA988" t="str">
            <v>Aaa</v>
          </cell>
          <cell r="AB988">
            <v>37493</v>
          </cell>
          <cell r="AC988">
            <v>2002</v>
          </cell>
          <cell r="AD988" t="str">
            <v>St2</v>
          </cell>
          <cell r="AE988" t="str">
            <v>Qd2</v>
          </cell>
          <cell r="AF988" t="str">
            <v>Tr3</v>
          </cell>
          <cell r="AG988" t="str">
            <v>Tr3-2002</v>
          </cell>
          <cell r="AH988" t="str">
            <v>2002-Tr3</v>
          </cell>
          <cell r="AI988">
            <v>8</v>
          </cell>
          <cell r="AJ988" t="str">
            <v>08</v>
          </cell>
        </row>
        <row r="989">
          <cell r="AA989" t="str">
            <v>Aaa</v>
          </cell>
          <cell r="AB989">
            <v>37494</v>
          </cell>
          <cell r="AC989">
            <v>2002</v>
          </cell>
          <cell r="AD989" t="str">
            <v>St2</v>
          </cell>
          <cell r="AE989" t="str">
            <v>Qd2</v>
          </cell>
          <cell r="AF989" t="str">
            <v>Tr3</v>
          </cell>
          <cell r="AG989" t="str">
            <v>Tr3-2002</v>
          </cell>
          <cell r="AH989" t="str">
            <v>2002-Tr3</v>
          </cell>
          <cell r="AI989">
            <v>8</v>
          </cell>
          <cell r="AJ989" t="str">
            <v>08</v>
          </cell>
        </row>
        <row r="990">
          <cell r="AA990" t="str">
            <v>Aaa</v>
          </cell>
          <cell r="AB990">
            <v>37495</v>
          </cell>
          <cell r="AC990">
            <v>2002</v>
          </cell>
          <cell r="AD990" t="str">
            <v>St2</v>
          </cell>
          <cell r="AE990" t="str">
            <v>Qd2</v>
          </cell>
          <cell r="AF990" t="str">
            <v>Tr3</v>
          </cell>
          <cell r="AG990" t="str">
            <v>Tr3-2002</v>
          </cell>
          <cell r="AH990" t="str">
            <v>2002-Tr3</v>
          </cell>
          <cell r="AI990">
            <v>8</v>
          </cell>
          <cell r="AJ990" t="str">
            <v>08</v>
          </cell>
        </row>
        <row r="991">
          <cell r="AA991" t="str">
            <v>Aaa</v>
          </cell>
          <cell r="AB991">
            <v>37496</v>
          </cell>
          <cell r="AC991">
            <v>2002</v>
          </cell>
          <cell r="AD991" t="str">
            <v>St2</v>
          </cell>
          <cell r="AE991" t="str">
            <v>Qd2</v>
          </cell>
          <cell r="AF991" t="str">
            <v>Tr3</v>
          </cell>
          <cell r="AG991" t="str">
            <v>Tr3-2002</v>
          </cell>
          <cell r="AH991" t="str">
            <v>2002-Tr3</v>
          </cell>
          <cell r="AI991">
            <v>8</v>
          </cell>
          <cell r="AJ991" t="str">
            <v>08</v>
          </cell>
        </row>
        <row r="992">
          <cell r="AA992" t="str">
            <v>Aaa</v>
          </cell>
          <cell r="AB992">
            <v>37497</v>
          </cell>
          <cell r="AC992">
            <v>2002</v>
          </cell>
          <cell r="AD992" t="str">
            <v>St2</v>
          </cell>
          <cell r="AE992" t="str">
            <v>Qd2</v>
          </cell>
          <cell r="AF992" t="str">
            <v>Tr3</v>
          </cell>
          <cell r="AG992" t="str">
            <v>Tr3-2002</v>
          </cell>
          <cell r="AH992" t="str">
            <v>2002-Tr3</v>
          </cell>
          <cell r="AI992">
            <v>8</v>
          </cell>
          <cell r="AJ992" t="str">
            <v>08</v>
          </cell>
        </row>
        <row r="993">
          <cell r="AA993" t="str">
            <v>Aaa</v>
          </cell>
          <cell r="AB993">
            <v>37498</v>
          </cell>
          <cell r="AC993">
            <v>2002</v>
          </cell>
          <cell r="AD993" t="str">
            <v>St2</v>
          </cell>
          <cell r="AE993" t="str">
            <v>Qd2</v>
          </cell>
          <cell r="AF993" t="str">
            <v>Tr3</v>
          </cell>
          <cell r="AG993" t="str">
            <v>Tr3-2002</v>
          </cell>
          <cell r="AH993" t="str">
            <v>2002-Tr3</v>
          </cell>
          <cell r="AI993">
            <v>8</v>
          </cell>
          <cell r="AJ993" t="str">
            <v>08</v>
          </cell>
        </row>
        <row r="994">
          <cell r="AA994" t="str">
            <v>Aaa</v>
          </cell>
          <cell r="AB994">
            <v>37499</v>
          </cell>
          <cell r="AC994">
            <v>2002</v>
          </cell>
          <cell r="AD994" t="str">
            <v>St2</v>
          </cell>
          <cell r="AE994" t="str">
            <v>Qd2</v>
          </cell>
          <cell r="AF994" t="str">
            <v>Tr3</v>
          </cell>
          <cell r="AG994" t="str">
            <v>Tr3-2002</v>
          </cell>
          <cell r="AH994" t="str">
            <v>2002-Tr3</v>
          </cell>
          <cell r="AI994">
            <v>8</v>
          </cell>
          <cell r="AJ994" t="str">
            <v>08</v>
          </cell>
        </row>
        <row r="995">
          <cell r="AA995" t="str">
            <v>Aaa</v>
          </cell>
          <cell r="AB995">
            <v>37500</v>
          </cell>
          <cell r="AC995">
            <v>2002</v>
          </cell>
          <cell r="AD995" t="str">
            <v>St2</v>
          </cell>
          <cell r="AE995" t="str">
            <v>Qd3</v>
          </cell>
          <cell r="AF995" t="str">
            <v>Tr3</v>
          </cell>
          <cell r="AG995" t="str">
            <v>Tr3-2002</v>
          </cell>
          <cell r="AH995" t="str">
            <v>2002-Tr3</v>
          </cell>
          <cell r="AI995">
            <v>9</v>
          </cell>
          <cell r="AJ995" t="str">
            <v>09</v>
          </cell>
        </row>
        <row r="996">
          <cell r="AA996" t="str">
            <v>Aaa</v>
          </cell>
          <cell r="AB996">
            <v>37501</v>
          </cell>
          <cell r="AC996">
            <v>2002</v>
          </cell>
          <cell r="AD996" t="str">
            <v>St2</v>
          </cell>
          <cell r="AE996" t="str">
            <v>Qd3</v>
          </cell>
          <cell r="AF996" t="str">
            <v>Tr3</v>
          </cell>
          <cell r="AG996" t="str">
            <v>Tr3-2002</v>
          </cell>
          <cell r="AH996" t="str">
            <v>2002-Tr3</v>
          </cell>
          <cell r="AI996">
            <v>9</v>
          </cell>
          <cell r="AJ996" t="str">
            <v>09</v>
          </cell>
        </row>
        <row r="997">
          <cell r="AA997" t="str">
            <v>Aaa</v>
          </cell>
          <cell r="AB997">
            <v>37502</v>
          </cell>
          <cell r="AC997">
            <v>2002</v>
          </cell>
          <cell r="AD997" t="str">
            <v>St2</v>
          </cell>
          <cell r="AE997" t="str">
            <v>Qd3</v>
          </cell>
          <cell r="AF997" t="str">
            <v>Tr3</v>
          </cell>
          <cell r="AG997" t="str">
            <v>Tr3-2002</v>
          </cell>
          <cell r="AH997" t="str">
            <v>2002-Tr3</v>
          </cell>
          <cell r="AI997">
            <v>9</v>
          </cell>
          <cell r="AJ997" t="str">
            <v>09</v>
          </cell>
        </row>
        <row r="998">
          <cell r="AA998" t="str">
            <v>Aaa</v>
          </cell>
          <cell r="AB998">
            <v>37503</v>
          </cell>
          <cell r="AC998">
            <v>2002</v>
          </cell>
          <cell r="AD998" t="str">
            <v>St2</v>
          </cell>
          <cell r="AE998" t="str">
            <v>Qd3</v>
          </cell>
          <cell r="AF998" t="str">
            <v>Tr3</v>
          </cell>
          <cell r="AG998" t="str">
            <v>Tr3-2002</v>
          </cell>
          <cell r="AH998" t="str">
            <v>2002-Tr3</v>
          </cell>
          <cell r="AI998">
            <v>9</v>
          </cell>
          <cell r="AJ998" t="str">
            <v>09</v>
          </cell>
        </row>
        <row r="999">
          <cell r="AA999" t="str">
            <v>Aaa</v>
          </cell>
          <cell r="AB999">
            <v>37504</v>
          </cell>
          <cell r="AC999">
            <v>2002</v>
          </cell>
          <cell r="AD999" t="str">
            <v>St2</v>
          </cell>
          <cell r="AE999" t="str">
            <v>Qd3</v>
          </cell>
          <cell r="AF999" t="str">
            <v>Tr3</v>
          </cell>
          <cell r="AG999" t="str">
            <v>Tr3-2002</v>
          </cell>
          <cell r="AH999" t="str">
            <v>2002-Tr3</v>
          </cell>
          <cell r="AI999">
            <v>9</v>
          </cell>
          <cell r="AJ999" t="str">
            <v>09</v>
          </cell>
        </row>
        <row r="1000">
          <cell r="AA1000" t="str">
            <v>Aaa</v>
          </cell>
          <cell r="AB1000">
            <v>37505</v>
          </cell>
          <cell r="AC1000">
            <v>2002</v>
          </cell>
          <cell r="AD1000" t="str">
            <v>St2</v>
          </cell>
          <cell r="AE1000" t="str">
            <v>Qd3</v>
          </cell>
          <cell r="AF1000" t="str">
            <v>Tr3</v>
          </cell>
          <cell r="AG1000" t="str">
            <v>Tr3-2002</v>
          </cell>
          <cell r="AH1000" t="str">
            <v>2002-Tr3</v>
          </cell>
          <cell r="AI1000">
            <v>9</v>
          </cell>
          <cell r="AJ1000" t="str">
            <v>09</v>
          </cell>
        </row>
      </sheetData>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
      <sheetName val="Rzo"/>
      <sheetName val="RzoUma"/>
      <sheetName val="300"/>
      <sheetName val="RzoFeGCap"/>
    </sheetNames>
    <sheetDataSet>
      <sheetData sheetId="0"/>
      <sheetData sheetId="1"/>
      <sheetData sheetId="2"/>
      <sheetData sheetId="3">
        <row r="1">
          <cell r="B1" t="str">
            <v>Chk</v>
          </cell>
        </row>
        <row r="2">
          <cell r="B2" t="str">
            <v>OK!!!</v>
          </cell>
        </row>
        <row r="3">
          <cell r="B3">
            <v>0</v>
          </cell>
        </row>
        <row r="4">
          <cell r="B4" t="str">
            <v>300 - RzoAll</v>
          </cell>
        </row>
      </sheetData>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dos"/>
      <sheetName val="Resumo"/>
      <sheetName val="Produtos"/>
      <sheetName val="Recursos"/>
      <sheetName val="Mem.Cálculo-&gt;"/>
      <sheetName val="Cronograma"/>
      <sheetName val="Alocação MO"/>
      <sheetName val="BDI"/>
      <sheetName val="0.PdT"/>
      <sheetName val="1.EMD"/>
      <sheetName val="2.1.EEN"/>
      <sheetName val="2.2.EEN"/>
      <sheetName val="4.EOP"/>
      <sheetName val="5.EMA"/>
      <sheetName val="6.MEF"/>
      <sheetName val="Inspeção-Veículo"/>
      <sheetName val="Diárias e Passagens"/>
      <sheetName val="Preços-&gt;"/>
      <sheetName val="Diárias"/>
      <sheetName val="Voos"/>
      <sheetName val="Voos Pesquisa"/>
      <sheetName val="SICFER"/>
      <sheetName val="TC 07-2023"/>
      <sheetName val="TC-CustosGerais"/>
      <sheetName val="Categorias"/>
      <sheetName val="Equip.Info"/>
      <sheetName val="Mat.Info"/>
    </sheetNames>
    <sheetDataSet>
      <sheetData sheetId="0" refreshError="1"/>
      <sheetData sheetId="1" refreshError="1"/>
      <sheetData sheetId="2" refreshError="1"/>
      <sheetData sheetId="3" refreshError="1"/>
      <sheetData sheetId="4" refreshError="1"/>
      <sheetData sheetId="5" refreshError="1">
        <row r="13">
          <cell r="P13">
            <v>3365687.4961986789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dos"/>
      <sheetName val="Resumo"/>
      <sheetName val="Produtos"/>
      <sheetName val="Recursos"/>
      <sheetName val="Mem.Cálculo-&gt;"/>
      <sheetName val="Cronograma"/>
      <sheetName val="Alocação MO"/>
      <sheetName val="BDI"/>
      <sheetName val="9.1.PdT"/>
      <sheetName val="9.2.EMD"/>
      <sheetName val="9.3.1.EEN"/>
      <sheetName val="9.3.2.EEN"/>
      <sheetName val="9.4.EOP"/>
      <sheetName val="9.5.EMA"/>
      <sheetName val="9.6.MEF"/>
      <sheetName val="Inspeção-Veículo"/>
      <sheetName val="Diárias e Passagens"/>
      <sheetName val="Preços-&gt;"/>
      <sheetName val="Diárias"/>
      <sheetName val="Voos"/>
      <sheetName val="Voos Pesquisa"/>
      <sheetName val="SICFER"/>
      <sheetName val="TC 07-2023"/>
      <sheetName val="TC-CustosGerais"/>
      <sheetName val="Categorias"/>
      <sheetName val="Equip.Info"/>
      <sheetName val="Mat.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3">
          <cell r="E23">
            <v>0.44790000000000002</v>
          </cell>
        </row>
      </sheetData>
      <sheetData sheetId="8">
        <row r="16">
          <cell r="K16">
            <v>1099.0460250000001</v>
          </cell>
        </row>
        <row r="26">
          <cell r="K26">
            <v>96003.47</v>
          </cell>
        </row>
        <row r="39">
          <cell r="K39">
            <v>156.43955249999999</v>
          </cell>
        </row>
        <row r="51">
          <cell r="K51">
            <v>140821.24178066227</v>
          </cell>
        </row>
      </sheetData>
      <sheetData sheetId="9">
        <row r="16">
          <cell r="K16">
            <v>6594.2761500000015</v>
          </cell>
        </row>
        <row r="26">
          <cell r="K26">
            <v>526020.89999999991</v>
          </cell>
        </row>
        <row r="39">
          <cell r="K39">
            <v>938.63731500000017</v>
          </cell>
        </row>
        <row r="51">
          <cell r="K51">
            <v>772532.56651597354</v>
          </cell>
        </row>
      </sheetData>
      <sheetData sheetId="10">
        <row r="16">
          <cell r="K16">
            <v>2417.9012550000002</v>
          </cell>
        </row>
        <row r="26">
          <cell r="K26">
            <v>215128.95</v>
          </cell>
        </row>
        <row r="39">
          <cell r="K39">
            <v>6239.3239755000004</v>
          </cell>
        </row>
        <row r="51">
          <cell r="K51">
            <v>324020.00311624096</v>
          </cell>
        </row>
      </sheetData>
      <sheetData sheetId="11">
        <row r="16">
          <cell r="K16">
            <v>2417.9012550000002</v>
          </cell>
        </row>
        <row r="26">
          <cell r="K26">
            <v>215128.95</v>
          </cell>
        </row>
        <row r="39">
          <cell r="K39">
            <v>6239.3239755000004</v>
          </cell>
        </row>
        <row r="51">
          <cell r="K51">
            <v>324020.00311624096</v>
          </cell>
        </row>
      </sheetData>
      <sheetData sheetId="12">
        <row r="16">
          <cell r="K16">
            <v>6594.2761500000015</v>
          </cell>
        </row>
        <row r="26">
          <cell r="K26">
            <v>578979.96</v>
          </cell>
        </row>
        <row r="39">
          <cell r="K39">
            <v>938.63731500000017</v>
          </cell>
        </row>
        <row r="51">
          <cell r="K51">
            <v>849211.98948997364</v>
          </cell>
        </row>
      </sheetData>
      <sheetData sheetId="13">
        <row r="16">
          <cell r="K16">
            <v>4546.4098680000006</v>
          </cell>
        </row>
        <row r="26">
          <cell r="K26">
            <v>372653.75999999995</v>
          </cell>
        </row>
        <row r="39">
          <cell r="K39">
            <v>6479.0337150000005</v>
          </cell>
        </row>
        <row r="51">
          <cell r="K51">
            <v>555529.11886782572</v>
          </cell>
        </row>
      </sheetData>
      <sheetData sheetId="14">
        <row r="16">
          <cell r="K16">
            <v>1572.9178079999999</v>
          </cell>
        </row>
        <row r="26">
          <cell r="K26">
            <v>121050.78</v>
          </cell>
        </row>
        <row r="39">
          <cell r="K39">
            <v>333.73771199999999</v>
          </cell>
        </row>
        <row r="51">
          <cell r="K51">
            <v>178030.070889408</v>
          </cell>
        </row>
      </sheetData>
      <sheetData sheetId="15">
        <row r="12">
          <cell r="N12">
            <v>57866.932516520406</v>
          </cell>
        </row>
      </sheetData>
      <sheetData sheetId="16">
        <row r="31">
          <cell r="P31">
            <v>163655.56990583337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9F03B35-10E6-4089-A2D3-ECCD99CDDCB4}" name="Cronograma" displayName="Cronograma" ref="B3:AI12" totalsRowShown="0" headerRowDxfId="115" dataDxfId="114" tableBorderDxfId="113" headerRowCellStyle="Normal 2">
  <autoFilter ref="B3:AI12" xr:uid="{994487ED-17AC-48DF-885A-0D41F206BB77}"/>
  <tableColumns count="34">
    <tableColumn id="1" xr3:uid="{2C99F148-070C-4C95-A91B-995411F32833}" name="Item" dataDxfId="112">
      <calculatedColumnFormula>'Alocação MO'!B4</calculatedColumnFormula>
    </tableColumn>
    <tableColumn id="2" xr3:uid="{CF13D955-14B7-4BCD-89E4-336CB1DA9B62}" name="Descrição dos Produtos" dataDxfId="111">
      <calculatedColumnFormula>'Alocação MO'!C4</calculatedColumnFormula>
    </tableColumn>
    <tableColumn id="45" xr3:uid="{7F53ECA9-4785-4C01-986C-E101AC22B125}" name="Duração_x000a_(meses)" dataDxfId="110">
      <calculatedColumnFormula>COUNTA(Cronograma[[#This Row],[1]:[31]])</calculatedColumnFormula>
    </tableColumn>
    <tableColumn id="3" xr3:uid="{DC891A2A-A408-479B-87B8-0A86A21DF783}" name="1" dataDxfId="109"/>
    <tableColumn id="4" xr3:uid="{53A7F949-D0BE-4FB4-8A8B-6A8771B96E4B}" name="2" dataDxfId="108"/>
    <tableColumn id="5" xr3:uid="{CA931D97-FF41-4527-B688-A438318CDADF}" name="3" dataDxfId="107"/>
    <tableColumn id="6" xr3:uid="{166A1AFE-05C0-4A74-ACEE-06F6DDA005FF}" name="4" dataDxfId="106"/>
    <tableColumn id="7" xr3:uid="{D6FDEB95-ECDA-4E1A-A307-CAF228406C21}" name="5" dataDxfId="105"/>
    <tableColumn id="8" xr3:uid="{D427DBDA-873A-441C-83FB-6548C997261D}" name="6" dataDxfId="104"/>
    <tableColumn id="9" xr3:uid="{2433DF34-A02C-405C-8A10-305F363755E2}" name="7" dataDxfId="103"/>
    <tableColumn id="10" xr3:uid="{00566EBF-A437-4EC6-929D-477CFF2A917E}" name="8" dataDxfId="102"/>
    <tableColumn id="11" xr3:uid="{5DFC9ED3-0A6A-4B1E-911F-298660016837}" name="9" dataDxfId="101"/>
    <tableColumn id="12" xr3:uid="{FE802E71-A222-4F42-B9C0-CDFE7715DDBA}" name="10" dataDxfId="100"/>
    <tableColumn id="13" xr3:uid="{18973EF0-0714-498C-BF7B-83DA7FE5072B}" name="11" dataDxfId="99"/>
    <tableColumn id="15" xr3:uid="{AC5E3451-9957-44BD-BE39-1FF341651A5A}" name="12" dataDxfId="98"/>
    <tableColumn id="16" xr3:uid="{4834B81E-ACF4-4BFB-AEA7-CAAFCB9A135F}" name="13" dataDxfId="97"/>
    <tableColumn id="17" xr3:uid="{2BCDA6B9-F95B-4012-A499-0AE2E8B1060A}" name="14" dataDxfId="96"/>
    <tableColumn id="18" xr3:uid="{0D6C1880-24BB-4056-8D12-8107AC7463A5}" name="15" dataDxfId="95"/>
    <tableColumn id="19" xr3:uid="{99560897-EE4E-420F-8395-79CA6765A3BB}" name="16" dataDxfId="94"/>
    <tableColumn id="20" xr3:uid="{4855E597-FDC3-4771-AAE2-3B55FCDBC9BB}" name="17" dataDxfId="93"/>
    <tableColumn id="21" xr3:uid="{06A2E72B-C2D3-4D56-B888-BD32BC57A80A}" name="18" dataDxfId="92"/>
    <tableColumn id="22" xr3:uid="{EE2AE383-EAF6-46CF-8146-1CF22F44CCBB}" name="19" dataDxfId="91"/>
    <tableColumn id="23" xr3:uid="{190314C2-A915-45E1-89B2-FDB5CC2A97ED}" name="20" dataDxfId="90"/>
    <tableColumn id="24" xr3:uid="{763E4703-D63E-46EC-8BFF-0B49114C2CB5}" name="21" dataDxfId="89"/>
    <tableColumn id="26" xr3:uid="{6B7A1892-7A01-4A25-815C-7FDF8EBE65A6}" name="22" dataDxfId="88"/>
    <tableColumn id="28" xr3:uid="{60F83D1E-CF9E-46CC-9810-B61A6598A448}" name="23" dataDxfId="87"/>
    <tableColumn id="14" xr3:uid="{3EE63286-187F-4CD2-80A4-4ECCC6319FEC}" name="24" dataDxfId="86"/>
    <tableColumn id="25" xr3:uid="{A353A352-D48D-4FB7-82E2-D6AB87AC49B3}" name="25" dataDxfId="85"/>
    <tableColumn id="29" xr3:uid="{FC5C0602-1883-4FF1-8D31-84CF4E90809C}" name="26" dataDxfId="84"/>
    <tableColumn id="30" xr3:uid="{D5C322C4-A77E-405A-8498-3B6168B304AC}" name="27" dataDxfId="83"/>
    <tableColumn id="31" xr3:uid="{CBD8A2FE-1D92-4B68-AE5B-8B3080D51045}" name="28" dataDxfId="82"/>
    <tableColumn id="27" xr3:uid="{C6A8909B-96D4-4626-B314-B5A648FD4470}" name="29" dataDxfId="81"/>
    <tableColumn id="33" xr3:uid="{0A7C8D55-1371-457E-A764-9277891E336B}" name="30" dataDxfId="80"/>
    <tableColumn id="32" xr3:uid="{212110C5-6C53-4683-A484-5BEC93A4E249}" name="31" dataDxfId="79"/>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94487ED-17AC-48DF-885A-0D41F206BB77}" name="Resumo" displayName="Resumo" ref="B3:BW12" totalsRowShown="0" headerRowDxfId="78" dataDxfId="77" tableBorderDxfId="76" headerRowCellStyle="Normal 2">
  <autoFilter ref="B3:BW12" xr:uid="{994487ED-17AC-48DF-885A-0D41F206BB77}"/>
  <tableColumns count="74">
    <tableColumn id="1" xr3:uid="{483BC868-490C-4304-89A8-A31F7390205C}" name="Item" dataDxfId="75"/>
    <tableColumn id="2" xr3:uid="{21AD8AAE-F12B-492C-A477-E84DDD645622}" name="Descrição dos Produtos" dataDxfId="74"/>
    <tableColumn id="3" xr3:uid="{C1A64140-9502-417C-97A3-967EAD997BC1}" name="Duração_x000a_(meses)" dataDxfId="73">
      <calculatedColumnFormula>'Cronograma'!D4</calculatedColumnFormula>
    </tableColumn>
    <tableColumn id="4" xr3:uid="{4582624E-9735-413C-8B8A-457EAAEFD3D9}" name="Advogado júnior" dataDxfId="72"/>
    <tableColumn id="5" xr3:uid="{745F6DC3-344A-4CE0-B2CA-7184045983A9}" name="Advogado pleno" dataDxfId="71"/>
    <tableColumn id="6" xr3:uid="{70944E5F-5694-4F03-814C-EB6DCA4AE17E}" name="Advogado sênior" dataDxfId="70"/>
    <tableColumn id="7" xr3:uid="{E08F9ABD-D69A-4463-8E5E-9C8A170ACD8B}" name="Analista de desenvolvimento de sistemas júnior" dataDxfId="69"/>
    <tableColumn id="8" xr3:uid="{DCCB374E-CCE0-4EC9-B08B-4934F075060F}" name="Analista de desenvolvimento de sistemas pleno" dataDxfId="68"/>
    <tableColumn id="9" xr3:uid="{8FD710E0-E0E7-4B22-8558-D25F8D836954}" name="Analista de desenvolvimento de sistemas sênior" dataDxfId="67"/>
    <tableColumn id="10" xr3:uid="{AA11B7AF-6E33-4F8E-BD31-EC49A6278837}" name="Arquiteto júnior" dataDxfId="66"/>
    <tableColumn id="11" xr3:uid="{9309FCF8-DAF9-4612-8AEC-9D21E7823926}" name="Arquiteto pleno" dataDxfId="65"/>
    <tableColumn id="12" xr3:uid="{0B0EA88D-F134-479F-8D8E-7374B2C393C5}" name="Arquiteto sênior" dataDxfId="64"/>
    <tableColumn id="13" xr3:uid="{B2123748-9B99-426E-BF22-86CA72A90FCA}" name="Assistente social júnior" dataDxfId="63"/>
    <tableColumn id="14" xr3:uid="{5DFC4977-F375-4B0D-899A-E710296C7EBC}" name="Assistente social pleno" dataDxfId="62"/>
    <tableColumn id="15" xr3:uid="{3D20C7EF-9230-490B-98AC-D247EABD3F53}" name="Assistente social sênior" dataDxfId="61"/>
    <tableColumn id="16" xr3:uid="{D8C88344-BFFD-4771-A2E1-00EB4876607E}" name="Auxiliar" dataDxfId="60"/>
    <tableColumn id="17" xr3:uid="{FFB474F4-0501-4B1B-ADAB-1135D8014AE2}" name="Auxiliar administrativo" dataDxfId="59"/>
    <tableColumn id="18" xr3:uid="{F6316915-9EF0-428D-8317-92907C72AE68}" name="Auxiliar de laboratório" dataDxfId="58"/>
    <tableColumn id="19" xr3:uid="{4A444C98-D9C2-48F7-9433-121BA39BCC1D}" name="Auxiliar de topografia" dataDxfId="57"/>
    <tableColumn id="20" xr3:uid="{50D3FB8A-1B80-4E53-8735-28BAE1DCBFFA}" name="Biólogo júnior" dataDxfId="56"/>
    <tableColumn id="21" xr3:uid="{F076C1CB-104D-496A-87C8-A54521F2FDD5}" name="Biólogo pleno" dataDxfId="55"/>
    <tableColumn id="22" xr3:uid="{5D36D724-9211-46A9-8969-D4CFB802CACA}" name="Biólogo sênior" dataDxfId="54"/>
    <tableColumn id="23" xr3:uid="{566C693B-2E9A-4C2B-A53C-3A53A924D488}" name="Chefe de escritório" dataDxfId="53"/>
    <tableColumn id="24" xr3:uid="{F7C313E3-07A6-4166-88EA-C5E9F0945259}" name="Contador júnior" dataDxfId="52"/>
    <tableColumn id="25" xr3:uid="{4FE94646-429B-4421-ACB6-C39541FAA4C2}" name="Contador pleno" dataDxfId="51"/>
    <tableColumn id="26" xr3:uid="{7012B9E0-6963-443A-9C20-C574AF774361}" name="Contador sênior" dataDxfId="50"/>
    <tableColumn id="27" xr3:uid="{F79DBA56-93FD-4980-A1A8-D2C7B09D4552}" name="Coordenador ambiental " dataDxfId="49"/>
    <tableColumn id="28" xr3:uid="{467D2D7E-2F5A-490C-AFF7-BFE82E03897D}" name="Economista júnior" dataDxfId="48"/>
    <tableColumn id="29" xr3:uid="{02E14B20-020A-4BFE-BC16-DDD0D2717263}" name="Economista pleno" dataDxfId="47"/>
    <tableColumn id="30" xr3:uid="{AFAEE5EC-8813-42AC-8066-1BE4B0E08248}" name="Economista sênior" dataDxfId="46"/>
    <tableColumn id="31" xr3:uid="{DDF28A8C-EA5B-44BC-9157-F5F0113D8F9C}" name="Engenheiro agrônomo júnior" dataDxfId="45"/>
    <tableColumn id="32" xr3:uid="{B2C6A696-0D08-4FFD-B8DF-5F62E31C4AB6}" name="Engenheiro agrônomo pleno" dataDxfId="44"/>
    <tableColumn id="33" xr3:uid="{0036C9A0-0E9B-431F-B401-A2D7F168633A}" name="Engenheiro agrônomo sênior" dataDxfId="43"/>
    <tableColumn id="34" xr3:uid="{4CEE16C3-7559-4FD9-8089-8A302DC64319}" name="Engenheiro ambiental júnior" dataDxfId="42"/>
    <tableColumn id="35" xr3:uid="{B1781A0E-816E-47A3-BBF2-C2E9B859D7DF}" name="Engenheiro ambiental pleno" dataDxfId="41"/>
    <tableColumn id="36" xr3:uid="{3DB8ABF0-97A5-4B92-A3B8-6D737BF08C7D}" name="Engenheiro ambiental sênior" dataDxfId="40"/>
    <tableColumn id="37" xr3:uid="{3F202E7A-B912-4232-AEEC-F5CD25BFAEA7}" name="Engenheiro consultor especial" dataDxfId="39"/>
    <tableColumn id="38" xr3:uid="{9A417571-ABAC-4CC4-B00A-0565BB8645BD}" name="Engenheiro coordenador" dataDxfId="38"/>
    <tableColumn id="39" xr3:uid="{1CB1DEF8-9868-4545-A703-B15691C17774}" name="Engenheiro de pesca júnior" dataDxfId="37"/>
    <tableColumn id="40" xr3:uid="{2671EEB0-497F-411C-BE62-2D3CE69D476E}" name="Engenheiro de pesca pleno" dataDxfId="36"/>
    <tableColumn id="41" xr3:uid="{DD362DE0-A999-4581-BBDE-6C50198E4A7E}" name="Engenheiro de pesca sênior" dataDxfId="35"/>
    <tableColumn id="42" xr3:uid="{B64E3956-2D7A-40DB-AFCD-9E00105AE7B9}" name="Engenheiro de projetos júnior" dataDxfId="34"/>
    <tableColumn id="43" xr3:uid="{5F89A563-2578-4532-9DB4-0D2AE53E958A}" name="Engenheiro de projetos pleno" dataDxfId="33"/>
    <tableColumn id="44" xr3:uid="{FE85B1DC-E574-40FA-B140-D62A84AB1FF0}" name="Engenheiro de projetos sênior" dataDxfId="32"/>
    <tableColumn id="45" xr3:uid="{A325DA9E-9783-43F6-A209-353328C8DDEE}" name="Engenheiro florestal júnior" dataDxfId="31"/>
    <tableColumn id="46" xr3:uid="{8E6D1FC9-CE57-439C-9E20-F95A793F9D82}" name="Engenheiro florestal pleno" dataDxfId="30"/>
    <tableColumn id="47" xr3:uid="{A679D3A5-9EC2-4F26-B8D4-92B88929DBD1}" name="Engenheiro florestal sênior" dataDxfId="29"/>
    <tableColumn id="48" xr3:uid="{696F6912-6891-4557-8065-85E9EC4BC0A0}" name="Geólogo júnior" dataDxfId="28"/>
    <tableColumn id="49" xr3:uid="{7C55A264-D7A0-4C3E-BE87-F93132BA71A1}" name="Geólogo pleno" dataDxfId="27"/>
    <tableColumn id="50" xr3:uid="{F5141C19-0E25-4579-A899-C8FA49001168}" name="Geólogo sênior" dataDxfId="26"/>
    <tableColumn id="51" xr3:uid="{3C56D9E0-8954-4766-9EC8-71597E3D2BC5}" name="Jornalista júnior" dataDxfId="25"/>
    <tableColumn id="52" xr3:uid="{0F2C75AD-0E64-449C-9AAB-44BD4CC0DC8B}" name="Jornalista pleno" dataDxfId="24"/>
    <tableColumn id="53" xr3:uid="{E13EFD0F-6915-4709-9E70-2CF9F5ED8C2D}" name="Jornalista sênior" dataDxfId="23"/>
    <tableColumn id="54" xr3:uid="{5CFD940F-DF97-471E-9694-6D38D560EBA7}" name="Laboratorista" dataDxfId="22"/>
    <tableColumn id="55" xr3:uid="{EB656827-457D-4824-A243-22CAF8158A91}" name="Médico veterinário" dataDxfId="21"/>
    <tableColumn id="56" xr3:uid="{30617163-9303-4BFB-A78A-9EC0DA7D535B}" name="Meteorologista júnior" dataDxfId="20"/>
    <tableColumn id="57" xr3:uid="{D78201F6-C659-42E4-984F-4C6CBD3552A3}" name="Meteorologista pleno" dataDxfId="19"/>
    <tableColumn id="58" xr3:uid="{B438D6D5-69DD-4111-9420-3FF64BB6693E}" name="Meteorologista sênior" dataDxfId="18"/>
    <tableColumn id="59" xr3:uid="{EFD633C1-4078-49D5-B687-9B09EED28D81}" name="Motorista de caminhão" dataDxfId="17"/>
    <tableColumn id="60" xr3:uid="{83D28316-C2B0-4680-821B-74407E971E26}" name="Motorista de veículo leve" dataDxfId="16"/>
    <tableColumn id="61" xr3:uid="{5CD23EB1-76AF-4797-87AD-E5BF8BD9CABB}" name="Oceanógrafo júnior" dataDxfId="15"/>
    <tableColumn id="62" xr3:uid="{762275D1-DFEA-412D-8536-F085F0E1D0ED}" name="Oceanógrafo pleno" dataDxfId="14"/>
    <tableColumn id="63" xr3:uid="{B1666FA2-D451-485F-B8C1-F22CC3D6F5F5}" name="Oceanógrafo sênior" dataDxfId="13"/>
    <tableColumn id="64" xr3:uid="{6C2FA79C-76E3-4D9F-8169-DC8D90404F76}" name="Pedagogo júnior" dataDxfId="12"/>
    <tableColumn id="65" xr3:uid="{2FE52673-7AD6-4259-BFE2-B0C007BCC285}" name="Pedagogo pleno" dataDxfId="11"/>
    <tableColumn id="66" xr3:uid="{541BD63E-9ABD-410B-8D09-ACA3523D1A6A}" name="Pedagogo sênior" dataDxfId="10"/>
    <tableColumn id="67" xr3:uid="{445D7653-5A88-4F56-8197-C1225E667B03}" name="Secretária" dataDxfId="9"/>
    <tableColumn id="68" xr3:uid="{00E90108-E4B1-41FB-8462-C82C58616642}" name="Sondador" dataDxfId="8"/>
    <tableColumn id="69" xr3:uid="{A69FD0EF-95A6-4E4A-A3BE-C15E6675E85E}" name="Técnico ambiental" dataDxfId="7"/>
    <tableColumn id="70" xr3:uid="{020CA6AC-17ED-4F8C-B976-C2807D69752E}" name="Técnico de obras" dataDxfId="6"/>
    <tableColumn id="71" xr3:uid="{5CBA0605-741B-4EC8-8D9D-835F53D2547B}" name="Técnico de segurança do trabalho" dataDxfId="5"/>
    <tableColumn id="72" xr3:uid="{8A2AD533-17D9-4D02-8DD3-DBD356396AB3}" name="Técnico em geoprocessamento" dataDxfId="4"/>
    <tableColumn id="73" xr3:uid="{9A2F8892-70C2-45DA-942C-CE985749E8D0}" name="Técnico em informática - programador" dataDxfId="3"/>
    <tableColumn id="74" xr3:uid="{C8C74A35-0F2D-475A-8760-4ECEE32ABBE5}" name="Topógrafo" dataDxfId="2"/>
  </tableColumns>
  <tableStyleInfo name="TableStyleLight11"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hyperlink" Target="https://www.planalto.gov.br/ccivil_03/_Ato2019-2022/2022/Decreto/D11117.htm"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EF14-3659-4EAF-AE70-E4AF533477A5}">
  <sheetPr>
    <tabColor theme="1"/>
    <pageSetUpPr fitToPage="1"/>
  </sheetPr>
  <dimension ref="B1:E23"/>
  <sheetViews>
    <sheetView showGridLines="0" tabSelected="1" zoomScale="115" zoomScaleNormal="115" workbookViewId="0">
      <selection activeCell="B1" sqref="B1"/>
    </sheetView>
  </sheetViews>
  <sheetFormatPr defaultRowHeight="15"/>
  <cols>
    <col min="1" max="1" width="1.7109375" style="122" customWidth="1"/>
    <col min="2" max="2" width="27.28515625" style="122" customWidth="1"/>
    <col min="3" max="3" width="14.5703125" style="122" customWidth="1"/>
    <col min="4" max="4" width="19.28515625" style="122" customWidth="1"/>
    <col min="5" max="5" width="43.140625" style="122" customWidth="1"/>
    <col min="6" max="6" width="10.5703125" style="122" bestFit="1" customWidth="1"/>
    <col min="7" max="7" width="38" style="122" bestFit="1" customWidth="1"/>
    <col min="8" max="8" width="31.28515625" style="122" customWidth="1"/>
    <col min="9" max="9" width="9.140625" style="122"/>
    <col min="10" max="10" width="24.42578125" style="122" bestFit="1" customWidth="1"/>
    <col min="11" max="16384" width="9.140625" style="122"/>
  </cols>
  <sheetData>
    <row r="1" spans="2:5" ht="8.25" customHeight="1"/>
    <row r="2" spans="2:5" ht="22.5" customHeight="1">
      <c r="B2" s="294" t="s">
        <v>337</v>
      </c>
      <c r="C2" s="132"/>
      <c r="D2" s="132"/>
      <c r="E2" s="132"/>
    </row>
    <row r="3" spans="2:5" ht="33" customHeight="1">
      <c r="B3" s="286" t="s">
        <v>621</v>
      </c>
      <c r="C3" s="287" t="s">
        <v>620</v>
      </c>
      <c r="D3" s="286"/>
      <c r="E3" s="286"/>
    </row>
    <row r="4" spans="2:5" ht="33" customHeight="1">
      <c r="B4" s="286" t="s">
        <v>656</v>
      </c>
      <c r="C4" s="681" t="str">
        <f>"Contratação de serviços técnicos e especializados de engenharia consultiva para a elaboração de Estudo de Viabilidade Técnica, Econômica e Ambiental (EVTEA) da "&amp;C3&amp;"."</f>
        <v>Contratação de serviços técnicos e especializados de engenharia consultiva para a elaboração de Estudo de Viabilidade Técnica, Econômica e Ambiental (EVTEA) da FCA.</v>
      </c>
      <c r="D4" s="681"/>
      <c r="E4" s="681"/>
    </row>
    <row r="5" spans="2:5" ht="33" customHeight="1">
      <c r="B5" s="286" t="s">
        <v>622</v>
      </c>
      <c r="C5" s="482">
        <v>4360</v>
      </c>
      <c r="D5" s="286"/>
      <c r="E5" s="286"/>
    </row>
    <row r="6" spans="2:5" ht="33" customHeight="1">
      <c r="B6" s="286" t="s">
        <v>657</v>
      </c>
      <c r="C6" s="483" t="s">
        <v>761</v>
      </c>
      <c r="D6" s="286"/>
      <c r="E6" s="286"/>
    </row>
    <row r="7" spans="2:5" ht="33" customHeight="1">
      <c r="B7" s="286" t="s">
        <v>655</v>
      </c>
      <c r="C7" s="483" t="s">
        <v>762</v>
      </c>
      <c r="D7" s="286"/>
      <c r="E7" s="286"/>
    </row>
    <row r="8" spans="2:5" ht="33" customHeight="1">
      <c r="B8" s="289" t="s">
        <v>794</v>
      </c>
      <c r="C8" s="626">
        <v>6</v>
      </c>
      <c r="D8" s="286" t="s">
        <v>795</v>
      </c>
      <c r="E8" s="627"/>
    </row>
    <row r="9" spans="2:5" ht="33" customHeight="1">
      <c r="B9" s="286" t="s">
        <v>324</v>
      </c>
      <c r="C9" s="287">
        <v>45108</v>
      </c>
      <c r="D9" s="286"/>
      <c r="E9" s="286"/>
    </row>
    <row r="10" spans="2:5" ht="33" customHeight="1">
      <c r="B10" s="286" t="s">
        <v>323</v>
      </c>
      <c r="C10" s="288">
        <f ca="1">BDI!E23</f>
        <v>0.44790000000000002</v>
      </c>
      <c r="D10" s="286"/>
      <c r="E10" s="286"/>
    </row>
    <row r="11" spans="2:5" ht="33" customHeight="1">
      <c r="B11" s="289" t="s">
        <v>617</v>
      </c>
      <c r="C11" s="290">
        <f>287.46/252.425</f>
        <v>1.1387937010993363</v>
      </c>
      <c r="D11" s="291" t="s">
        <v>313</v>
      </c>
      <c r="E11" s="292" t="s">
        <v>618</v>
      </c>
    </row>
    <row r="12" spans="2:5" ht="33" customHeight="1">
      <c r="B12" s="289" t="s">
        <v>571</v>
      </c>
      <c r="C12" s="293">
        <v>182.49</v>
      </c>
      <c r="D12" s="286" t="s">
        <v>619</v>
      </c>
      <c r="E12" s="286"/>
    </row>
    <row r="13" spans="2:5" ht="21" customHeight="1"/>
    <row r="14" spans="2:5" ht="21" customHeight="1"/>
    <row r="15" spans="2:5" ht="21" customHeight="1"/>
    <row r="16" spans="2:5" ht="21" customHeight="1"/>
    <row r="17" ht="21" customHeight="1"/>
    <row r="18" ht="21" customHeight="1"/>
    <row r="19" ht="21" customHeight="1"/>
    <row r="20" ht="21" customHeight="1"/>
    <row r="21" ht="21" customHeight="1"/>
    <row r="22" ht="21" customHeight="1"/>
    <row r="23" ht="21" customHeight="1"/>
  </sheetData>
  <mergeCells count="1">
    <mergeCell ref="C4:E4"/>
  </mergeCells>
  <pageMargins left="0.51181102362204722" right="0.51181102362204722" top="0.78740157480314965" bottom="0.78740157480314965" header="0.31496062992125984" footer="0.31496062992125984"/>
  <pageSetup paperSize="9" scale="8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C983C-4A8F-4394-95C4-8B224B295AC8}">
  <sheetPr>
    <tabColor rgb="FF008080"/>
    <pageSetUpPr fitToPage="1"/>
  </sheetPr>
  <dimension ref="A1:O52"/>
  <sheetViews>
    <sheetView topLeftCell="A27" zoomScale="75" zoomScaleNormal="75" workbookViewId="0">
      <selection activeCell="G7" sqref="G7"/>
    </sheetView>
  </sheetViews>
  <sheetFormatPr defaultRowHeight="15"/>
  <cols>
    <col min="1" max="1" width="1" style="5" customWidth="1"/>
    <col min="2" max="2" width="12" style="5" customWidth="1"/>
    <col min="3" max="3" width="26.42578125" style="5" customWidth="1"/>
    <col min="4" max="4" width="11.28515625" style="5" customWidth="1"/>
    <col min="5" max="5" width="7.5703125" style="5" customWidth="1"/>
    <col min="6" max="9" width="9.5703125" style="5" customWidth="1"/>
    <col min="10" max="10" width="9.85546875" style="5" customWidth="1"/>
    <col min="11" max="11" width="13.28515625" style="5" customWidth="1"/>
    <col min="12" max="12" width="0.7109375" style="5" customWidth="1"/>
    <col min="13" max="14" width="9.140625" style="5"/>
    <col min="15" max="15" width="9.140625" style="53"/>
    <col min="16" max="16384" width="9.140625" style="5"/>
  </cols>
  <sheetData>
    <row r="1" spans="1:11" ht="4.5" customHeight="1">
      <c r="B1" s="6"/>
      <c r="C1" s="6"/>
      <c r="D1" s="6"/>
      <c r="E1" s="6"/>
      <c r="F1" s="6"/>
      <c r="G1" s="6"/>
      <c r="H1" s="6"/>
      <c r="I1" s="6"/>
      <c r="J1" s="6"/>
      <c r="K1" s="6"/>
    </row>
    <row r="2" spans="1:11">
      <c r="B2" s="672"/>
      <c r="C2" s="673"/>
      <c r="D2" s="673"/>
      <c r="E2" s="673"/>
      <c r="F2" s="673"/>
      <c r="G2" s="673"/>
      <c r="H2" s="673"/>
      <c r="I2" s="673"/>
      <c r="J2" s="673"/>
      <c r="K2" s="7"/>
    </row>
    <row r="3" spans="1:11">
      <c r="A3" s="8"/>
      <c r="B3" s="674"/>
      <c r="C3" s="9"/>
      <c r="D3" s="9"/>
      <c r="E3" s="9"/>
      <c r="F3" s="9"/>
      <c r="G3" s="9"/>
      <c r="H3" s="9"/>
      <c r="I3" s="9"/>
      <c r="J3" s="639" t="s">
        <v>99</v>
      </c>
      <c r="K3" s="11">
        <f>Dados!C9</f>
        <v>45108</v>
      </c>
    </row>
    <row r="4" spans="1:11">
      <c r="A4" s="8"/>
      <c r="B4" s="674"/>
      <c r="C4" s="9"/>
      <c r="D4" s="9"/>
      <c r="E4" s="9"/>
      <c r="F4" s="9"/>
      <c r="G4" s="9"/>
      <c r="H4" s="9"/>
      <c r="I4" s="9"/>
      <c r="J4" s="10"/>
      <c r="K4" s="12"/>
    </row>
    <row r="5" spans="1:11">
      <c r="A5" s="8"/>
      <c r="B5" s="674"/>
      <c r="C5" s="9"/>
      <c r="D5" s="9"/>
      <c r="E5" s="9"/>
      <c r="F5" s="9"/>
      <c r="G5" s="9"/>
      <c r="H5" s="9"/>
      <c r="I5" s="9"/>
      <c r="J5" s="10" t="s">
        <v>100</v>
      </c>
      <c r="K5" s="13" t="s">
        <v>101</v>
      </c>
    </row>
    <row r="6" spans="1:11">
      <c r="A6" s="8"/>
      <c r="B6" s="769" t="s">
        <v>102</v>
      </c>
      <c r="C6" s="770"/>
      <c r="D6" s="770"/>
      <c r="E6" s="770"/>
      <c r="F6" s="770"/>
      <c r="G6" s="770"/>
      <c r="H6" s="770"/>
      <c r="I6" s="770"/>
      <c r="J6" s="770"/>
      <c r="K6" s="771"/>
    </row>
    <row r="7" spans="1:11">
      <c r="B7" s="14" t="s">
        <v>103</v>
      </c>
      <c r="C7" s="15"/>
      <c r="D7" s="15"/>
      <c r="E7" s="15"/>
      <c r="F7" s="15"/>
      <c r="G7" s="15"/>
      <c r="H7" s="15"/>
      <c r="I7" s="15"/>
      <c r="J7" s="16" t="s">
        <v>104</v>
      </c>
      <c r="K7" s="94">
        <f>'Alocação MO'!D4</f>
        <v>1</v>
      </c>
    </row>
    <row r="8" spans="1:11">
      <c r="B8" s="772" t="str">
        <f>CONCATENATE("",'Alocação MO'!C4)</f>
        <v>Plano de Trabalho</v>
      </c>
      <c r="C8" s="773"/>
      <c r="D8" s="773"/>
      <c r="E8" s="773"/>
      <c r="F8" s="773"/>
      <c r="G8" s="773"/>
      <c r="H8" s="773"/>
      <c r="I8" s="675"/>
      <c r="J8" s="675" t="s">
        <v>105</v>
      </c>
      <c r="K8" s="17" t="s">
        <v>106</v>
      </c>
    </row>
    <row r="9" spans="1:11">
      <c r="B9" s="772"/>
      <c r="C9" s="773"/>
      <c r="D9" s="773"/>
      <c r="E9" s="773"/>
      <c r="F9" s="774"/>
      <c r="G9" s="774"/>
      <c r="H9" s="774"/>
      <c r="I9" s="18"/>
      <c r="J9" s="18" t="s">
        <v>107</v>
      </c>
      <c r="K9" s="19"/>
    </row>
    <row r="10" spans="1:11">
      <c r="B10" s="20" t="s">
        <v>108</v>
      </c>
      <c r="C10" s="21"/>
      <c r="D10" s="22"/>
      <c r="E10" s="23"/>
      <c r="F10" s="775" t="s">
        <v>109</v>
      </c>
      <c r="G10" s="776" t="s">
        <v>110</v>
      </c>
      <c r="H10" s="776"/>
      <c r="I10" s="776" t="s">
        <v>111</v>
      </c>
      <c r="J10" s="776"/>
      <c r="K10" s="25" t="s">
        <v>112</v>
      </c>
    </row>
    <row r="11" spans="1:11">
      <c r="B11" s="26"/>
      <c r="C11" s="27"/>
      <c r="D11" s="28"/>
      <c r="E11" s="29"/>
      <c r="F11" s="775"/>
      <c r="G11" s="24" t="s">
        <v>113</v>
      </c>
      <c r="H11" s="24" t="s">
        <v>114</v>
      </c>
      <c r="I11" s="24" t="s">
        <v>113</v>
      </c>
      <c r="J11" s="24" t="s">
        <v>114</v>
      </c>
      <c r="K11" s="30" t="s">
        <v>115</v>
      </c>
    </row>
    <row r="12" spans="1:11" ht="32.25" customHeight="1">
      <c r="B12" s="31" t="s">
        <v>295</v>
      </c>
      <c r="C12" s="767" t="str">
        <f>VLOOKUP(B12,Equip.Info!A:L,2,FALSE)</f>
        <v>Desktop com monitor de 21", processador, placa de vídeo e memória compatíveis à CAD/SIG</v>
      </c>
      <c r="D12" s="767"/>
      <c r="E12" s="768"/>
      <c r="F12" s="105">
        <f>SUM(I18:I25)</f>
        <v>684.33749999999998</v>
      </c>
      <c r="G12" s="105">
        <v>1</v>
      </c>
      <c r="H12" s="105">
        <v>0</v>
      </c>
      <c r="I12" s="105">
        <f>VLOOKUP($B12,Equip.Info!$A:$L,11,FALSE)</f>
        <v>1.6060000000000001</v>
      </c>
      <c r="J12" s="105">
        <f>VLOOKUP($B12,Equip.Info!$A:$L,12,FALSE)</f>
        <v>1.0569999999999999</v>
      </c>
      <c r="K12" s="120">
        <f>F12*(G12*I12+H12*J12)</f>
        <v>1099.0460250000001</v>
      </c>
    </row>
    <row r="13" spans="1:11" ht="29.25" customHeight="1">
      <c r="B13" s="31"/>
      <c r="C13" s="767"/>
      <c r="D13" s="767"/>
      <c r="E13" s="768"/>
      <c r="F13" s="106"/>
      <c r="G13" s="106"/>
      <c r="H13" s="106"/>
      <c r="I13" s="106"/>
      <c r="J13" s="106"/>
      <c r="K13" s="121"/>
    </row>
    <row r="14" spans="1:11" ht="20.100000000000001" customHeight="1">
      <c r="B14" s="35"/>
      <c r="E14" s="8"/>
      <c r="F14" s="36"/>
      <c r="G14" s="33"/>
      <c r="H14" s="33"/>
      <c r="I14" s="33"/>
      <c r="J14" s="33"/>
      <c r="K14" s="34"/>
    </row>
    <row r="15" spans="1:11" ht="20.100000000000001" customHeight="1">
      <c r="B15" s="37"/>
      <c r="C15" s="6"/>
      <c r="D15" s="6"/>
      <c r="E15" s="38"/>
      <c r="F15" s="39"/>
      <c r="G15" s="40"/>
      <c r="H15" s="40"/>
      <c r="I15" s="40"/>
      <c r="J15" s="40"/>
      <c r="K15" s="41"/>
    </row>
    <row r="16" spans="1:11">
      <c r="B16" s="42" t="s">
        <v>116</v>
      </c>
      <c r="C16" s="43"/>
      <c r="D16" s="43"/>
      <c r="E16" s="43"/>
      <c r="F16" s="43"/>
      <c r="G16" s="44"/>
      <c r="H16" s="44"/>
      <c r="I16" s="44"/>
      <c r="J16" s="45"/>
      <c r="K16" s="46">
        <f>K12+K13</f>
        <v>1099.0460250000001</v>
      </c>
    </row>
    <row r="17" spans="2:15" s="49" customFormat="1" ht="45">
      <c r="B17" s="47" t="s">
        <v>117</v>
      </c>
      <c r="C17" s="83"/>
      <c r="D17" s="83"/>
      <c r="E17" s="83"/>
      <c r="F17" s="95" t="s">
        <v>118</v>
      </c>
      <c r="G17" s="95" t="s">
        <v>119</v>
      </c>
      <c r="H17" s="96" t="s">
        <v>120</v>
      </c>
      <c r="I17" s="84" t="s">
        <v>121</v>
      </c>
      <c r="J17" s="48" t="s">
        <v>122</v>
      </c>
      <c r="K17" s="48" t="s">
        <v>123</v>
      </c>
      <c r="O17" s="87"/>
    </row>
    <row r="18" spans="2:15" ht="15" customHeight="1">
      <c r="B18" s="35" t="str">
        <f>IF(ISBLANK(C18),0,VLOOKUP(C18,Categorias!$A$4:$B$83,2,FALSE))</f>
        <v>P8061</v>
      </c>
      <c r="C18" s="786" t="s">
        <v>35</v>
      </c>
      <c r="D18" s="786"/>
      <c r="E18" s="786"/>
      <c r="F18" s="52">
        <v>0.25</v>
      </c>
      <c r="G18" s="677">
        <f>INDEX(Resumo[],MATCH($B$8,Resumo[Descrição dos Produtos],0),MATCH(C18,Resumo[#Headers],0))</f>
        <v>1</v>
      </c>
      <c r="H18" s="50">
        <f>F18*G18*$K$7</f>
        <v>0.25</v>
      </c>
      <c r="I18" s="678">
        <f>H18*182.49</f>
        <v>45.622500000000002</v>
      </c>
      <c r="J18" s="51">
        <f>IF(ISBLANK(B18),0,VLOOKUP(B18,'TC 07-2023'!B:Z,25,TRUE)/182.49)</f>
        <v>174.03671434051179</v>
      </c>
      <c r="K18" s="33">
        <f t="shared" ref="K18:K24" si="0">J18*I18</f>
        <v>7939.99</v>
      </c>
    </row>
    <row r="19" spans="2:15" ht="15" customHeight="1">
      <c r="B19" s="35" t="str">
        <f>IF(ISBLANK(C19),0,VLOOKUP(C19,Categorias!$A$4:$B$83,2,FALSE))</f>
        <v>P8044</v>
      </c>
      <c r="C19" s="786" t="s">
        <v>24</v>
      </c>
      <c r="D19" s="786"/>
      <c r="E19" s="786"/>
      <c r="F19" s="52">
        <v>0.5</v>
      </c>
      <c r="G19" s="677">
        <f>INDEX(Resumo[],MATCH($B$8,Resumo[Descrição dos Produtos],0),MATCH(C19,Resumo[#Headers],0))</f>
        <v>1</v>
      </c>
      <c r="H19" s="50">
        <f t="shared" ref="H19:H24" si="1">F19*G19*$K$7</f>
        <v>0.5</v>
      </c>
      <c r="I19" s="678">
        <f t="shared" ref="I19:I24" si="2">H19*182.49</f>
        <v>91.245000000000005</v>
      </c>
      <c r="J19" s="51">
        <f>IF(ISBLANK(B19),0,VLOOKUP(B19,'TC 07-2023'!B:Z,25,TRUE)/182.49)</f>
        <v>172.51148008110033</v>
      </c>
      <c r="K19" s="33">
        <f t="shared" si="0"/>
        <v>15740.810000000001</v>
      </c>
    </row>
    <row r="20" spans="2:15" ht="15" customHeight="1">
      <c r="B20" s="35" t="str">
        <f>IF(ISBLANK(C20),0,VLOOKUP(C20,Categorias!$A$4:$B$83,2,FALSE))</f>
        <v>P8060</v>
      </c>
      <c r="C20" s="676" t="s">
        <v>34</v>
      </c>
      <c r="D20" s="676"/>
      <c r="E20" s="676"/>
      <c r="F20" s="52">
        <v>0.5</v>
      </c>
      <c r="G20" s="677">
        <f>INDEX(Resumo[],MATCH($B$8,Resumo[Descrição dos Produtos],0),MATCH(C20,Resumo[#Headers],0))</f>
        <v>1</v>
      </c>
      <c r="H20" s="50">
        <f t="shared" si="1"/>
        <v>0.5</v>
      </c>
      <c r="I20" s="678">
        <f t="shared" si="2"/>
        <v>91.245000000000005</v>
      </c>
      <c r="J20" s="51">
        <f>IF(ISBLANK(B20),0,VLOOKUP(B20,'TC 07-2023'!B:Z,25,TRUE)/182.49)</f>
        <v>207.71921749136939</v>
      </c>
      <c r="K20" s="33">
        <f t="shared" si="0"/>
        <v>18953.34</v>
      </c>
    </row>
    <row r="21" spans="2:15" ht="15" customHeight="1">
      <c r="B21" s="35" t="str">
        <f>IF(ISBLANK(C21),0,VLOOKUP(C21,Categorias!$A$4:$B$83,2,FALSE))</f>
        <v>P8067</v>
      </c>
      <c r="C21" s="676" t="s">
        <v>41</v>
      </c>
      <c r="D21" s="676"/>
      <c r="E21" s="676"/>
      <c r="F21" s="52">
        <v>0.5</v>
      </c>
      <c r="G21" s="677">
        <f>INDEX(Resumo[],MATCH($B$8,Resumo[Descrição dos Produtos],0),MATCH(C21,Resumo[#Headers],0))</f>
        <v>1</v>
      </c>
      <c r="H21" s="50">
        <f t="shared" si="1"/>
        <v>0.5</v>
      </c>
      <c r="I21" s="678">
        <f t="shared" si="2"/>
        <v>91.245000000000005</v>
      </c>
      <c r="J21" s="51">
        <f>IF(ISBLANK(B21),0,VLOOKUP(B21,'TC 07-2023'!B:Z,25,TRUE)/182.49)</f>
        <v>151.26779549564358</v>
      </c>
      <c r="K21" s="33">
        <f t="shared" si="0"/>
        <v>13802.43</v>
      </c>
    </row>
    <row r="22" spans="2:15" ht="15" customHeight="1">
      <c r="B22" s="35" t="str">
        <f>IF(ISBLANK(C22),0,VLOOKUP(C22,Categorias!$A$4:$B$83,2,FALSE))</f>
        <v>P8066</v>
      </c>
      <c r="C22" s="676" t="s">
        <v>40</v>
      </c>
      <c r="D22" s="676"/>
      <c r="E22" s="676"/>
      <c r="F22" s="52">
        <v>0.5</v>
      </c>
      <c r="G22" s="677">
        <f>INDEX(Resumo[],MATCH($B$8,Resumo[Descrição dos Produtos],0),MATCH(C22,Resumo[#Headers],0))</f>
        <v>1</v>
      </c>
      <c r="H22" s="50">
        <f t="shared" si="1"/>
        <v>0.5</v>
      </c>
      <c r="I22" s="678">
        <f t="shared" si="2"/>
        <v>91.245000000000005</v>
      </c>
      <c r="J22" s="51">
        <f>IF(ISBLANK(B22),0,VLOOKUP(B22,'TC 07-2023'!B:Z,25,TRUE)/182.49)</f>
        <v>120.38555537289714</v>
      </c>
      <c r="K22" s="33">
        <f t="shared" si="0"/>
        <v>10984.58</v>
      </c>
    </row>
    <row r="23" spans="2:15" ht="15" customHeight="1">
      <c r="B23" s="35" t="str">
        <f>IF(ISBLANK(C23),0,VLOOKUP(C23,Categorias!$A$4:$B$83,2,FALSE))</f>
        <v>P8065</v>
      </c>
      <c r="C23" s="676" t="s">
        <v>39</v>
      </c>
      <c r="D23" s="676"/>
      <c r="E23" s="676"/>
      <c r="F23" s="52">
        <v>0.5</v>
      </c>
      <c r="G23" s="677">
        <f>INDEX(Resumo[],MATCH($B$8,Resumo[Descrição dos Produtos],0),MATCH(C23,Resumo[#Headers],0))</f>
        <v>1</v>
      </c>
      <c r="H23" s="50">
        <f t="shared" si="1"/>
        <v>0.5</v>
      </c>
      <c r="I23" s="678">
        <f t="shared" si="2"/>
        <v>91.245000000000005</v>
      </c>
      <c r="J23" s="51">
        <f>IF(ISBLANK(B23),0,VLOOKUP(B23,'TC 07-2023'!B:Z,25,TRUE)/182.49)</f>
        <v>115.96701189106251</v>
      </c>
      <c r="K23" s="33">
        <f t="shared" si="0"/>
        <v>10581.41</v>
      </c>
    </row>
    <row r="24" spans="2:15" ht="15" customHeight="1">
      <c r="B24" s="35" t="str">
        <f>IF(ISBLANK(C24),0,VLOOKUP(C24,Categorias!$A$4:$B$83,2,FALSE))</f>
        <v>P8047</v>
      </c>
      <c r="C24" s="676" t="s">
        <v>27</v>
      </c>
      <c r="D24" s="676"/>
      <c r="E24" s="676"/>
      <c r="F24" s="52">
        <v>0.5</v>
      </c>
      <c r="G24" s="677">
        <f>INDEX(Resumo[],MATCH($B$8,Resumo[Descrição dos Produtos],0),MATCH(C24,Resumo[#Headers],0))</f>
        <v>1</v>
      </c>
      <c r="H24" s="50">
        <f t="shared" si="1"/>
        <v>0.5</v>
      </c>
      <c r="I24" s="678">
        <f t="shared" si="2"/>
        <v>91.245000000000005</v>
      </c>
      <c r="J24" s="51">
        <f>IF(ISBLANK(B24),0,VLOOKUP(B24,'TC 07-2023'!B:Z,25,TRUE)/182.49)</f>
        <v>108.82941531042796</v>
      </c>
      <c r="K24" s="33">
        <f t="shared" si="0"/>
        <v>9930.14</v>
      </c>
    </row>
    <row r="25" spans="2:15" ht="15" customHeight="1">
      <c r="B25" s="35" t="str">
        <f>IF(ISBLANK(C25),0,VLOOKUP(C25,Categorias!$A$4:$B$83,2,FALSE))</f>
        <v>P8003</v>
      </c>
      <c r="C25" s="676" t="s">
        <v>3</v>
      </c>
      <c r="D25" s="676"/>
      <c r="E25" s="676"/>
      <c r="F25" s="52">
        <v>0.5</v>
      </c>
      <c r="G25" s="677">
        <f>INDEX(Resumo[],MATCH($B$8,Resumo[Descrição dos Produtos],0),MATCH(C25,Resumo[#Headers],0))</f>
        <v>1</v>
      </c>
      <c r="H25" s="50">
        <f t="shared" ref="H25" si="3">F25*G25*$K$7</f>
        <v>0.5</v>
      </c>
      <c r="I25" s="678">
        <f t="shared" ref="I25" si="4">H25*182.49</f>
        <v>91.245000000000005</v>
      </c>
      <c r="J25" s="51">
        <f>IF(ISBLANK(B25),0,VLOOKUP(B25,'TC 07-2023'!B:Z,25,TRUE)/182.49)</f>
        <v>105.29289276124719</v>
      </c>
      <c r="K25" s="33">
        <f t="shared" ref="K25" si="5">J25*I25</f>
        <v>9607.4500000000007</v>
      </c>
    </row>
    <row r="26" spans="2:15">
      <c r="B26" s="42" t="s">
        <v>124</v>
      </c>
      <c r="C26" s="43"/>
      <c r="D26" s="43"/>
      <c r="E26" s="481"/>
      <c r="F26" s="44"/>
      <c r="G26" s="44"/>
      <c r="H26" s="44"/>
      <c r="I26" s="44"/>
      <c r="J26" s="45"/>
      <c r="K26" s="46">
        <f>SUM(K18:K25)</f>
        <v>97540.15</v>
      </c>
    </row>
    <row r="27" spans="2:15">
      <c r="B27" s="42" t="s">
        <v>125</v>
      </c>
      <c r="C27" s="43"/>
      <c r="D27" s="43"/>
      <c r="E27" s="481">
        <v>1</v>
      </c>
      <c r="F27" s="42" t="s">
        <v>126</v>
      </c>
      <c r="G27" s="43"/>
      <c r="H27" s="43"/>
      <c r="I27" s="43"/>
      <c r="J27" s="58"/>
      <c r="K27" s="46">
        <f>K26+K16</f>
        <v>98639.196024999997</v>
      </c>
    </row>
    <row r="28" spans="2:15">
      <c r="B28" s="42" t="s">
        <v>127</v>
      </c>
      <c r="C28" s="43"/>
      <c r="D28" s="43"/>
      <c r="E28" s="57"/>
      <c r="F28" s="42"/>
      <c r="G28" s="43"/>
      <c r="H28" s="43"/>
      <c r="I28" s="43"/>
      <c r="J28" s="58"/>
      <c r="K28" s="46">
        <f>K27/E27</f>
        <v>98639.196024999997</v>
      </c>
    </row>
    <row r="29" spans="2:15">
      <c r="B29" s="59"/>
      <c r="C29" s="43"/>
      <c r="D29" s="43"/>
      <c r="E29" s="43"/>
      <c r="F29" s="43"/>
      <c r="G29" s="43"/>
      <c r="H29" s="43"/>
      <c r="I29" s="43"/>
      <c r="J29" s="43"/>
      <c r="K29" s="58"/>
    </row>
    <row r="30" spans="2:15" ht="30">
      <c r="B30" s="777" t="s">
        <v>128</v>
      </c>
      <c r="C30" s="778"/>
      <c r="D30" s="778"/>
      <c r="E30" s="778"/>
      <c r="F30" s="778"/>
      <c r="G30" s="779"/>
      <c r="H30" s="60" t="s">
        <v>105</v>
      </c>
      <c r="I30" s="60" t="s">
        <v>129</v>
      </c>
      <c r="J30" s="61" t="s">
        <v>130</v>
      </c>
      <c r="K30" s="61" t="s">
        <v>131</v>
      </c>
    </row>
    <row r="31" spans="2:15">
      <c r="B31" s="35" t="s">
        <v>310</v>
      </c>
      <c r="C31" s="5" t="str">
        <f>VLOOKUP(B31,Mat.Info!A1:F3,2,FALSE)</f>
        <v>Sistema operacional e pacote office</v>
      </c>
      <c r="G31" s="8"/>
      <c r="H31" s="104" t="s">
        <v>316</v>
      </c>
      <c r="I31" s="104">
        <f>SUM(F12:F15)</f>
        <v>684.33749999999998</v>
      </c>
      <c r="J31" s="104">
        <f>VLOOKUP(B31,Mat.Info!$A:$F,6,FALSE)</f>
        <v>0.2286</v>
      </c>
      <c r="K31" s="32">
        <f>I31*J31</f>
        <v>156.43955249999999</v>
      </c>
    </row>
    <row r="32" spans="2:15">
      <c r="B32" s="35"/>
      <c r="C32" s="5" t="str">
        <f>IF(B32="","",VLOOKUP(B32,Mat.Info!A2:F6,2,FALSE))</f>
        <v/>
      </c>
      <c r="G32" s="8"/>
      <c r="H32" s="33"/>
      <c r="I32" s="33"/>
      <c r="J32" s="33" t="str">
        <f>IF(B32="","",VLOOKUP(B32,Mat.Info!$A:$F,5,FALSE))</f>
        <v/>
      </c>
      <c r="K32" s="33" t="str">
        <f>IF(B32="","",I32*J32)</f>
        <v/>
      </c>
    </row>
    <row r="33" spans="2:11">
      <c r="B33" s="35"/>
      <c r="G33" s="8"/>
      <c r="H33" s="33"/>
      <c r="I33" s="33"/>
      <c r="J33" s="33"/>
      <c r="K33" s="33"/>
    </row>
    <row r="34" spans="2:11">
      <c r="B34" s="35"/>
      <c r="G34" s="8"/>
      <c r="H34" s="33"/>
      <c r="I34" s="33"/>
      <c r="J34" s="33"/>
      <c r="K34" s="33"/>
    </row>
    <row r="35" spans="2:11">
      <c r="B35" s="35"/>
      <c r="G35" s="8"/>
      <c r="H35" s="33"/>
      <c r="I35" s="33"/>
      <c r="J35" s="33"/>
      <c r="K35" s="33"/>
    </row>
    <row r="36" spans="2:11">
      <c r="B36" s="35"/>
      <c r="G36" s="8"/>
      <c r="H36" s="33"/>
      <c r="I36" s="33"/>
      <c r="J36" s="33"/>
      <c r="K36" s="33"/>
    </row>
    <row r="37" spans="2:11">
      <c r="B37" s="35"/>
      <c r="G37" s="8"/>
      <c r="H37" s="33"/>
      <c r="I37" s="33"/>
      <c r="J37" s="33"/>
      <c r="K37" s="33"/>
    </row>
    <row r="38" spans="2:11">
      <c r="B38" s="37"/>
      <c r="C38" s="6"/>
      <c r="D38" s="6"/>
      <c r="E38" s="6"/>
      <c r="F38" s="6"/>
      <c r="G38" s="38"/>
      <c r="H38" s="40"/>
      <c r="I38" s="40"/>
      <c r="J38" s="40"/>
      <c r="K38" s="40"/>
    </row>
    <row r="39" spans="2:11">
      <c r="B39" s="42" t="s">
        <v>132</v>
      </c>
      <c r="C39" s="43"/>
      <c r="D39" s="43"/>
      <c r="E39" s="43"/>
      <c r="F39" s="43"/>
      <c r="G39" s="43"/>
      <c r="H39" s="44"/>
      <c r="I39" s="44"/>
      <c r="J39" s="45"/>
      <c r="K39" s="46">
        <f>SUM(K31:K38)</f>
        <v>156.43955249999999</v>
      </c>
    </row>
    <row r="40" spans="2:11">
      <c r="B40" s="20" t="s">
        <v>133</v>
      </c>
      <c r="C40" s="62"/>
      <c r="D40" s="62"/>
      <c r="E40" s="62"/>
      <c r="F40" s="62"/>
      <c r="G40" s="62"/>
      <c r="H40" s="63"/>
      <c r="I40" s="60" t="s">
        <v>129</v>
      </c>
      <c r="J40" s="60" t="s">
        <v>134</v>
      </c>
      <c r="K40" s="60" t="s">
        <v>112</v>
      </c>
    </row>
    <row r="41" spans="2:11">
      <c r="B41" s="64"/>
      <c r="C41" s="65"/>
      <c r="D41" s="65"/>
      <c r="E41" s="65"/>
      <c r="F41" s="65"/>
      <c r="G41" s="65"/>
      <c r="H41" s="66"/>
      <c r="I41" s="67"/>
      <c r="J41" s="67" t="s">
        <v>135</v>
      </c>
      <c r="K41" s="67" t="s">
        <v>135</v>
      </c>
    </row>
    <row r="42" spans="2:11">
      <c r="B42" s="59"/>
      <c r="C42" s="43"/>
      <c r="D42" s="43"/>
      <c r="E42" s="43"/>
      <c r="F42" s="43"/>
      <c r="G42" s="43"/>
      <c r="H42" s="43"/>
      <c r="I42" s="43"/>
      <c r="J42" s="43"/>
      <c r="K42" s="58"/>
    </row>
    <row r="43" spans="2:11">
      <c r="B43" s="42" t="s">
        <v>136</v>
      </c>
      <c r="C43" s="43"/>
      <c r="D43" s="43"/>
      <c r="E43" s="43"/>
      <c r="F43" s="43"/>
      <c r="G43" s="43"/>
      <c r="H43" s="43"/>
      <c r="I43" s="43"/>
      <c r="J43" s="58"/>
      <c r="K43" s="4"/>
    </row>
    <row r="44" spans="2:11">
      <c r="B44" s="20" t="s">
        <v>137</v>
      </c>
      <c r="C44" s="68"/>
      <c r="D44" s="60" t="s">
        <v>129</v>
      </c>
      <c r="E44" s="780" t="s">
        <v>138</v>
      </c>
      <c r="F44" s="781"/>
      <c r="G44" s="782"/>
      <c r="H44" s="783" t="s">
        <v>130</v>
      </c>
      <c r="I44" s="784"/>
      <c r="J44" s="785"/>
      <c r="K44" s="60" t="s">
        <v>112</v>
      </c>
    </row>
    <row r="45" spans="2:11">
      <c r="B45" s="37"/>
      <c r="C45" s="6"/>
      <c r="D45" s="67"/>
      <c r="E45" s="24" t="s">
        <v>139</v>
      </c>
      <c r="F45" s="24" t="s">
        <v>140</v>
      </c>
      <c r="G45" s="24" t="s">
        <v>141</v>
      </c>
      <c r="H45" s="24" t="s">
        <v>139</v>
      </c>
      <c r="I45" s="24" t="s">
        <v>140</v>
      </c>
      <c r="J45" s="24" t="s">
        <v>141</v>
      </c>
      <c r="K45" s="67" t="s">
        <v>135</v>
      </c>
    </row>
    <row r="46" spans="2:11">
      <c r="B46" s="59"/>
      <c r="C46" s="43"/>
      <c r="D46" s="4"/>
      <c r="E46" s="4"/>
      <c r="F46" s="4"/>
      <c r="G46" s="4"/>
      <c r="H46" s="4"/>
      <c r="I46" s="4"/>
      <c r="J46" s="4"/>
      <c r="K46" s="46"/>
    </row>
    <row r="47" spans="2:11">
      <c r="B47" s="42" t="s">
        <v>142</v>
      </c>
      <c r="C47" s="43"/>
      <c r="D47" s="43"/>
      <c r="E47" s="43"/>
      <c r="F47" s="43"/>
      <c r="G47" s="43"/>
      <c r="H47" s="43"/>
      <c r="I47" s="43"/>
      <c r="J47" s="58"/>
      <c r="K47" s="46"/>
    </row>
    <row r="48" spans="2:11">
      <c r="B48" s="59"/>
      <c r="C48" s="43"/>
      <c r="D48" s="43"/>
      <c r="E48" s="43"/>
      <c r="F48" s="43"/>
      <c r="G48" s="43"/>
      <c r="H48" s="43"/>
      <c r="I48" s="43"/>
      <c r="J48" s="43"/>
      <c r="K48" s="45"/>
    </row>
    <row r="49" spans="2:11">
      <c r="B49" s="42" t="s">
        <v>143</v>
      </c>
      <c r="C49" s="69"/>
      <c r="D49" s="69"/>
      <c r="E49" s="69"/>
      <c r="F49" s="69"/>
      <c r="G49" s="69"/>
      <c r="H49" s="69"/>
      <c r="I49" s="69"/>
      <c r="J49" s="69"/>
      <c r="K49" s="70">
        <f>K47+K43+K39+K28</f>
        <v>98795.635577499997</v>
      </c>
    </row>
    <row r="50" spans="2:11">
      <c r="B50" s="42" t="s">
        <v>144</v>
      </c>
      <c r="C50" s="69"/>
      <c r="D50" s="69"/>
      <c r="E50" s="69"/>
      <c r="F50" s="69"/>
      <c r="G50" s="69"/>
      <c r="H50" s="69"/>
      <c r="I50" s="69"/>
      <c r="J50" s="71">
        <f ca="1">Dados!$C$10</f>
        <v>0.44790000000000002</v>
      </c>
      <c r="K50" s="70">
        <f ca="1">K49*J50</f>
        <v>44250.56517516225</v>
      </c>
    </row>
    <row r="51" spans="2:11">
      <c r="B51" s="59" t="s">
        <v>145</v>
      </c>
      <c r="C51" s="43"/>
      <c r="D51" s="43"/>
      <c r="E51" s="43"/>
      <c r="F51" s="43"/>
      <c r="G51" s="43"/>
      <c r="H51" s="43"/>
      <c r="I51" s="43"/>
      <c r="J51" s="43"/>
      <c r="K51" s="46">
        <f ca="1">K50+K49</f>
        <v>143046.20075266226</v>
      </c>
    </row>
    <row r="52" spans="2:11" ht="4.5" customHeight="1"/>
  </sheetData>
  <mergeCells count="12">
    <mergeCell ref="B30:G30"/>
    <mergeCell ref="E44:G44"/>
    <mergeCell ref="H44:J44"/>
    <mergeCell ref="C13:E13"/>
    <mergeCell ref="C18:E18"/>
    <mergeCell ref="C19:E19"/>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71D92DF-E3AB-4477-B0BF-EEE68F4A1862}">
          <x14:formula1>
            <xm:f>Categorias!$A$4:$A$101</xm:f>
          </x14:formula1>
          <xm:sqref>C18:E25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0CD3-7172-4D01-AB7A-2AA2A0C17366}">
  <sheetPr>
    <tabColor rgb="FF008080"/>
    <pageSetUpPr fitToPage="1"/>
  </sheetPr>
  <dimension ref="A1:O53"/>
  <sheetViews>
    <sheetView zoomScale="75" zoomScaleNormal="75" workbookViewId="0">
      <selection activeCell="G7" sqref="G7"/>
    </sheetView>
  </sheetViews>
  <sheetFormatPr defaultRowHeight="15"/>
  <cols>
    <col min="1" max="1" width="1" style="5" customWidth="1"/>
    <col min="2" max="2" width="12" style="5" customWidth="1"/>
    <col min="3" max="3" width="26.42578125" style="5" customWidth="1"/>
    <col min="4" max="4" width="11.28515625" style="5" customWidth="1"/>
    <col min="5" max="5" width="7.5703125" style="5" customWidth="1"/>
    <col min="6" max="9" width="9.5703125" style="5" customWidth="1"/>
    <col min="10" max="10" width="9.85546875" style="5" customWidth="1"/>
    <col min="11" max="11" width="13.28515625" style="5" customWidth="1"/>
    <col min="12" max="12" width="0.7109375" style="5" customWidth="1"/>
    <col min="13" max="14" width="9.140625" style="5"/>
    <col min="15" max="15" width="9.140625" style="53"/>
    <col min="16" max="16384" width="9.140625" style="5"/>
  </cols>
  <sheetData>
    <row r="1" spans="1:11" ht="4.5" customHeight="1">
      <c r="B1" s="6"/>
      <c r="C1" s="6"/>
      <c r="D1" s="6"/>
      <c r="E1" s="6"/>
      <c r="F1" s="6"/>
      <c r="G1" s="6"/>
      <c r="H1" s="6"/>
      <c r="I1" s="6"/>
      <c r="J1" s="6"/>
      <c r="K1" s="6"/>
    </row>
    <row r="2" spans="1:11">
      <c r="B2" s="672"/>
      <c r="C2" s="673"/>
      <c r="D2" s="673"/>
      <c r="E2" s="673"/>
      <c r="F2" s="673"/>
      <c r="G2" s="673"/>
      <c r="H2" s="673"/>
      <c r="I2" s="673"/>
      <c r="J2" s="673"/>
      <c r="K2" s="7"/>
    </row>
    <row r="3" spans="1:11">
      <c r="A3" s="8"/>
      <c r="B3" s="674"/>
      <c r="C3" s="9"/>
      <c r="D3" s="9"/>
      <c r="E3" s="9"/>
      <c r="F3" s="9"/>
      <c r="G3" s="9"/>
      <c r="H3" s="9"/>
      <c r="I3" s="9"/>
      <c r="J3" s="639" t="s">
        <v>99</v>
      </c>
      <c r="K3" s="11">
        <f>Dados!C9</f>
        <v>45108</v>
      </c>
    </row>
    <row r="4" spans="1:11">
      <c r="A4" s="8"/>
      <c r="B4" s="674"/>
      <c r="C4" s="9"/>
      <c r="D4" s="9"/>
      <c r="E4" s="9"/>
      <c r="F4" s="9"/>
      <c r="G4" s="9"/>
      <c r="H4" s="9"/>
      <c r="I4" s="9"/>
      <c r="J4" s="10"/>
      <c r="K4" s="12"/>
    </row>
    <row r="5" spans="1:11">
      <c r="A5" s="8"/>
      <c r="B5" s="674"/>
      <c r="C5" s="9"/>
      <c r="D5" s="9"/>
      <c r="E5" s="9"/>
      <c r="F5" s="9"/>
      <c r="G5" s="9"/>
      <c r="H5" s="9"/>
      <c r="I5" s="9"/>
      <c r="J5" s="10" t="s">
        <v>100</v>
      </c>
      <c r="K5" s="13" t="s">
        <v>101</v>
      </c>
    </row>
    <row r="6" spans="1:11">
      <c r="A6" s="8"/>
      <c r="B6" s="769" t="s">
        <v>102</v>
      </c>
      <c r="C6" s="770"/>
      <c r="D6" s="770"/>
      <c r="E6" s="770"/>
      <c r="F6" s="770"/>
      <c r="G6" s="770"/>
      <c r="H6" s="770"/>
      <c r="I6" s="770"/>
      <c r="J6" s="770"/>
      <c r="K6" s="771"/>
    </row>
    <row r="7" spans="1:11">
      <c r="B7" s="14" t="s">
        <v>103</v>
      </c>
      <c r="C7" s="15"/>
      <c r="D7" s="15"/>
      <c r="E7" s="15"/>
      <c r="F7" s="15"/>
      <c r="G7" s="15"/>
      <c r="H7" s="15"/>
      <c r="I7" s="15"/>
      <c r="J7" s="16" t="s">
        <v>104</v>
      </c>
      <c r="K7" s="94">
        <f>'Alocação MO'!D5</f>
        <v>5</v>
      </c>
    </row>
    <row r="8" spans="1:11">
      <c r="B8" s="772" t="str">
        <f>CONCATENATE("",'Alocação MO'!C5)</f>
        <v>Dimensão de Mercado e Demanda (EMD)</v>
      </c>
      <c r="C8" s="773"/>
      <c r="D8" s="773"/>
      <c r="E8" s="773"/>
      <c r="F8" s="773"/>
      <c r="G8" s="773"/>
      <c r="H8" s="773"/>
      <c r="I8" s="675"/>
      <c r="J8" s="675" t="s">
        <v>105</v>
      </c>
      <c r="K8" s="17" t="s">
        <v>106</v>
      </c>
    </row>
    <row r="9" spans="1:11">
      <c r="B9" s="772"/>
      <c r="C9" s="773"/>
      <c r="D9" s="773"/>
      <c r="E9" s="773"/>
      <c r="F9" s="774"/>
      <c r="G9" s="774"/>
      <c r="H9" s="774"/>
      <c r="I9" s="18"/>
      <c r="J9" s="18" t="s">
        <v>107</v>
      </c>
      <c r="K9" s="19"/>
    </row>
    <row r="10" spans="1:11">
      <c r="B10" s="20" t="s">
        <v>108</v>
      </c>
      <c r="C10" s="21"/>
      <c r="D10" s="22"/>
      <c r="E10" s="23"/>
      <c r="F10" s="775" t="s">
        <v>109</v>
      </c>
      <c r="G10" s="776" t="s">
        <v>110</v>
      </c>
      <c r="H10" s="776"/>
      <c r="I10" s="776" t="s">
        <v>111</v>
      </c>
      <c r="J10" s="776"/>
      <c r="K10" s="25" t="s">
        <v>112</v>
      </c>
    </row>
    <row r="11" spans="1:11">
      <c r="B11" s="26"/>
      <c r="C11" s="27"/>
      <c r="D11" s="28"/>
      <c r="E11" s="29"/>
      <c r="F11" s="775"/>
      <c r="G11" s="24" t="s">
        <v>113</v>
      </c>
      <c r="H11" s="24" t="s">
        <v>114</v>
      </c>
      <c r="I11" s="24" t="s">
        <v>113</v>
      </c>
      <c r="J11" s="24" t="s">
        <v>114</v>
      </c>
      <c r="K11" s="30" t="s">
        <v>115</v>
      </c>
    </row>
    <row r="12" spans="1:11" ht="32.25" customHeight="1">
      <c r="B12" s="31" t="s">
        <v>295</v>
      </c>
      <c r="C12" s="767" t="str">
        <f>VLOOKUP(B12,Equip.Info!A:L,2,FALSE)</f>
        <v>Desktop com monitor de 21", processador, placa de vídeo e memória compatíveis à CAD/SIG</v>
      </c>
      <c r="D12" s="767"/>
      <c r="E12" s="768"/>
      <c r="F12" s="105">
        <f>SUM(I18:I25)</f>
        <v>9580.7250000000004</v>
      </c>
      <c r="G12" s="105">
        <v>1</v>
      </c>
      <c r="H12" s="105">
        <v>0</v>
      </c>
      <c r="I12" s="105">
        <f>VLOOKUP($B12,Equip.Info!$A:$L,11,FALSE)</f>
        <v>1.6060000000000001</v>
      </c>
      <c r="J12" s="105">
        <f>VLOOKUP($B12,Equip.Info!$A:$L,12,FALSE)</f>
        <v>1.0569999999999999</v>
      </c>
      <c r="K12" s="120">
        <f>F12*(G12*I12+H12*J12)</f>
        <v>15386.644350000002</v>
      </c>
    </row>
    <row r="13" spans="1:11" ht="29.25" customHeight="1">
      <c r="B13" s="31"/>
      <c r="C13" s="767"/>
      <c r="D13" s="767"/>
      <c r="E13" s="768"/>
      <c r="F13" s="106"/>
      <c r="G13" s="106"/>
      <c r="H13" s="106"/>
      <c r="I13" s="106"/>
      <c r="J13" s="106"/>
      <c r="K13" s="121"/>
    </row>
    <row r="14" spans="1:11" ht="20.100000000000001" customHeight="1">
      <c r="B14" s="35"/>
      <c r="E14" s="8"/>
      <c r="F14" s="36"/>
      <c r="G14" s="33"/>
      <c r="H14" s="33"/>
      <c r="I14" s="33"/>
      <c r="J14" s="33"/>
      <c r="K14" s="34"/>
    </row>
    <row r="15" spans="1:11" ht="20.100000000000001" customHeight="1">
      <c r="B15" s="37"/>
      <c r="C15" s="6"/>
      <c r="D15" s="6"/>
      <c r="E15" s="38"/>
      <c r="F15" s="39"/>
      <c r="G15" s="40"/>
      <c r="H15" s="40"/>
      <c r="I15" s="40"/>
      <c r="J15" s="40"/>
      <c r="K15" s="41"/>
    </row>
    <row r="16" spans="1:11">
      <c r="B16" s="42" t="s">
        <v>116</v>
      </c>
      <c r="C16" s="43"/>
      <c r="D16" s="43"/>
      <c r="E16" s="43"/>
      <c r="F16" s="43"/>
      <c r="G16" s="44"/>
      <c r="H16" s="44"/>
      <c r="I16" s="44"/>
      <c r="J16" s="45"/>
      <c r="K16" s="46">
        <f>K12+K13</f>
        <v>15386.644350000002</v>
      </c>
    </row>
    <row r="17" spans="2:15" s="49" customFormat="1" ht="45">
      <c r="B17" s="47" t="s">
        <v>117</v>
      </c>
      <c r="C17" s="83"/>
      <c r="D17" s="83"/>
      <c r="E17" s="83"/>
      <c r="F17" s="95" t="s">
        <v>118</v>
      </c>
      <c r="G17" s="95" t="s">
        <v>119</v>
      </c>
      <c r="H17" s="96" t="s">
        <v>120</v>
      </c>
      <c r="I17" s="84" t="s">
        <v>121</v>
      </c>
      <c r="J17" s="48" t="s">
        <v>122</v>
      </c>
      <c r="K17" s="48" t="s">
        <v>123</v>
      </c>
      <c r="O17" s="87"/>
    </row>
    <row r="18" spans="2:15" ht="15" customHeight="1">
      <c r="B18" s="35" t="str">
        <f>IF(ISBLANK(C18),0,VLOOKUP(C18,Categorias!$A$4:$B$83,2,FALSE))</f>
        <v>P8060</v>
      </c>
      <c r="C18" s="786" t="s">
        <v>34</v>
      </c>
      <c r="D18" s="786"/>
      <c r="E18" s="786"/>
      <c r="F18" s="52">
        <v>0.5</v>
      </c>
      <c r="G18" s="677">
        <f>INDEX(Resumo[],MATCH($B$8,Resumo[Descrição dos Produtos],0),MATCH(C18,Resumo[#Headers],0))</f>
        <v>1</v>
      </c>
      <c r="H18" s="50">
        <f>F18*G18*$K$7</f>
        <v>2.5</v>
      </c>
      <c r="I18" s="678">
        <f>H18*182.49</f>
        <v>456.22500000000002</v>
      </c>
      <c r="J18" s="51">
        <f>IF(ISBLANK(B18),0,VLOOKUP(B18,'TC 07-2023'!B:Z,25,TRUE)/182.49)</f>
        <v>207.71921749136939</v>
      </c>
      <c r="K18" s="33">
        <f t="shared" ref="K18:K21" si="0">J18*I18</f>
        <v>94766.700000000012</v>
      </c>
    </row>
    <row r="19" spans="2:15" ht="15" customHeight="1">
      <c r="B19" s="35" t="str">
        <f>IF(ISBLANK(C19),0,VLOOKUP(C19,Categorias!$A$4:$B$83,2,FALSE))</f>
        <v>P8067</v>
      </c>
      <c r="C19" s="786" t="s">
        <v>41</v>
      </c>
      <c r="D19" s="786"/>
      <c r="E19" s="786"/>
      <c r="F19" s="52">
        <v>1</v>
      </c>
      <c r="G19" s="677">
        <f>INDEX(Resumo[],MATCH($B$8,Resumo[Descrição dos Produtos],0),MATCH(C19,Resumo[#Headers],0))</f>
        <v>2</v>
      </c>
      <c r="H19" s="50">
        <f t="shared" ref="H19:H21" si="1">F19*G19*$K$7</f>
        <v>10</v>
      </c>
      <c r="I19" s="678">
        <f t="shared" ref="I19:I21" si="2">H19*182.49</f>
        <v>1824.9</v>
      </c>
      <c r="J19" s="51">
        <f>IF(ISBLANK(B19),0,VLOOKUP(B19,'TC 07-2023'!B:Z,25,TRUE)/182.49)</f>
        <v>151.26779549564358</v>
      </c>
      <c r="K19" s="33">
        <f t="shared" si="0"/>
        <v>276048.59999999998</v>
      </c>
    </row>
    <row r="20" spans="2:15" ht="15" customHeight="1">
      <c r="B20" s="35" t="str">
        <f>IF(ISBLANK(C20),0,VLOOKUP(C20,Categorias!$A$4:$B$83,2,FALSE))</f>
        <v>P8066</v>
      </c>
      <c r="C20" s="786" t="s">
        <v>40</v>
      </c>
      <c r="D20" s="786"/>
      <c r="E20" s="786"/>
      <c r="F20" s="52">
        <v>1</v>
      </c>
      <c r="G20" s="677">
        <f>INDEX(Resumo[],MATCH($B$8,Resumo[Descrição dos Produtos],0),MATCH(C20,Resumo[#Headers],0))</f>
        <v>3</v>
      </c>
      <c r="H20" s="50">
        <f t="shared" si="1"/>
        <v>15</v>
      </c>
      <c r="I20" s="678">
        <f t="shared" si="2"/>
        <v>2737.3500000000004</v>
      </c>
      <c r="J20" s="51">
        <f>IF(ISBLANK(B20),0,VLOOKUP(B20,'TC 07-2023'!B:Z,25,TRUE)/182.49)</f>
        <v>120.38555537289714</v>
      </c>
      <c r="K20" s="33">
        <f t="shared" si="0"/>
        <v>329537.40000000002</v>
      </c>
    </row>
    <row r="21" spans="2:15" ht="15" customHeight="1">
      <c r="B21" s="35" t="str">
        <f>IF(ISBLANK(C21),0,VLOOKUP(C21,Categorias!$A$4:$B$83,2,FALSE))</f>
        <v>P8065</v>
      </c>
      <c r="C21" s="786" t="s">
        <v>39</v>
      </c>
      <c r="D21" s="786"/>
      <c r="E21" s="786"/>
      <c r="F21" s="52">
        <v>1</v>
      </c>
      <c r="G21" s="677">
        <f>INDEX(Resumo[],MATCH($B$8,Resumo[Descrição dos Produtos],0),MATCH(C21,Resumo[#Headers],0))</f>
        <v>2</v>
      </c>
      <c r="H21" s="50">
        <f t="shared" si="1"/>
        <v>10</v>
      </c>
      <c r="I21" s="678">
        <f t="shared" si="2"/>
        <v>1824.9</v>
      </c>
      <c r="J21" s="51">
        <f>IF(ISBLANK(B21),0,VLOOKUP(B21,'TC 07-2023'!B:Z,25,TRUE)/182.49)</f>
        <v>115.96701189106251</v>
      </c>
      <c r="K21" s="33">
        <f t="shared" si="0"/>
        <v>211628.19999999998</v>
      </c>
    </row>
    <row r="22" spans="2:15" ht="15" customHeight="1">
      <c r="B22" s="35" t="str">
        <f>IF(ISBLANK(C22),0,VLOOKUP(C22,Categorias!$A$4:$B$83,2,FALSE))</f>
        <v>P8047</v>
      </c>
      <c r="C22" s="786" t="s">
        <v>27</v>
      </c>
      <c r="D22" s="786"/>
      <c r="E22" s="786"/>
      <c r="F22" s="52">
        <v>1</v>
      </c>
      <c r="G22" s="677">
        <f>INDEX(Resumo[],MATCH($B$8,Resumo[Descrição dos Produtos],0),MATCH(C22,Resumo[#Headers],0))</f>
        <v>1</v>
      </c>
      <c r="H22" s="50">
        <f t="shared" ref="H22" si="3">F22*G22*$K$7</f>
        <v>5</v>
      </c>
      <c r="I22" s="678">
        <f t="shared" ref="I22" si="4">H22*182.49</f>
        <v>912.45</v>
      </c>
      <c r="J22" s="51">
        <f>IF(ISBLANK(B22),0,VLOOKUP(B22,'TC 07-2023'!B:Z,25,TRUE)/182.49)</f>
        <v>108.82941531042796</v>
      </c>
      <c r="K22" s="33">
        <f t="shared" ref="K22" si="5">J22*I22</f>
        <v>99301.4</v>
      </c>
    </row>
    <row r="23" spans="2:15" ht="15" customHeight="1">
      <c r="B23" s="35" t="str">
        <f>IF(ISBLANK(C23),0,VLOOKUP(C23,Categorias!$A$4:$B$83,2,FALSE))</f>
        <v>P8046</v>
      </c>
      <c r="C23" s="786" t="s">
        <v>26</v>
      </c>
      <c r="D23" s="786"/>
      <c r="E23" s="786"/>
      <c r="F23" s="52">
        <v>1</v>
      </c>
      <c r="G23" s="677">
        <f>INDEX(Resumo[],MATCH($B$8,Resumo[Descrição dos Produtos],0),MATCH(C23,Resumo[#Headers],0))</f>
        <v>1</v>
      </c>
      <c r="H23" s="50">
        <f t="shared" ref="H23" si="6">F23*G23*$K$7</f>
        <v>5</v>
      </c>
      <c r="I23" s="678">
        <f t="shared" ref="I23" si="7">H23*182.49</f>
        <v>912.45</v>
      </c>
      <c r="J23" s="51">
        <f>IF(ISBLANK(B23),0,VLOOKUP(B23,'TC 07-2023'!B:Z,25,TRUE)/182.49)</f>
        <v>66.089758342922892</v>
      </c>
      <c r="K23" s="33">
        <f t="shared" ref="K23" si="8">J23*I23</f>
        <v>60303.6</v>
      </c>
    </row>
    <row r="24" spans="2:15" ht="15" customHeight="1">
      <c r="B24" s="35" t="str">
        <f>IF(ISBLANK(C24),0,VLOOKUP(C24,Categorias!$A$4:$B$83,2,FALSE))</f>
        <v>P8061</v>
      </c>
      <c r="C24" s="786" t="s">
        <v>35</v>
      </c>
      <c r="D24" s="786"/>
      <c r="E24" s="786"/>
      <c r="F24" s="52">
        <v>1</v>
      </c>
      <c r="G24" s="677">
        <f>INDEX(Resumo[],MATCH($B$8,Resumo[Descrição dos Produtos],0),MATCH(C24,Resumo[#Headers],0))</f>
        <v>1</v>
      </c>
      <c r="H24" s="50">
        <f t="shared" ref="H24" si="9">F24*G24*$K$7</f>
        <v>5</v>
      </c>
      <c r="I24" s="678">
        <f t="shared" ref="I24" si="10">H24*182.49</f>
        <v>912.45</v>
      </c>
      <c r="J24" s="51">
        <f>IF(ISBLANK(B24),0,VLOOKUP(B24,'TC 07-2023'!B:Z,25,TRUE)/182.49)</f>
        <v>174.03671434051179</v>
      </c>
      <c r="K24" s="33">
        <f t="shared" ref="K24" si="11">J24*I24</f>
        <v>158799.79999999999</v>
      </c>
    </row>
    <row r="25" spans="2:15" ht="15" customHeight="1">
      <c r="B25" s="35"/>
      <c r="C25" s="786"/>
      <c r="D25" s="786"/>
      <c r="E25" s="786"/>
      <c r="F25" s="52"/>
      <c r="G25" s="677"/>
      <c r="H25" s="50"/>
      <c r="I25" s="678"/>
      <c r="J25" s="51"/>
      <c r="K25" s="33"/>
    </row>
    <row r="26" spans="2:15">
      <c r="B26" s="42" t="s">
        <v>124</v>
      </c>
      <c r="C26" s="43"/>
      <c r="D26" s="43"/>
      <c r="E26" s="43"/>
      <c r="F26" s="44"/>
      <c r="G26" s="44"/>
      <c r="H26" s="44"/>
      <c r="I26" s="44"/>
      <c r="J26" s="45"/>
      <c r="K26" s="46">
        <f>SUM(K18:K25)</f>
        <v>1230385.7</v>
      </c>
    </row>
    <row r="27" spans="2:15">
      <c r="B27" s="42" t="s">
        <v>125</v>
      </c>
      <c r="C27" s="43"/>
      <c r="D27" s="43"/>
      <c r="E27" s="481">
        <v>1</v>
      </c>
      <c r="F27" s="42" t="s">
        <v>126</v>
      </c>
      <c r="G27" s="43"/>
      <c r="H27" s="43"/>
      <c r="I27" s="43"/>
      <c r="J27" s="58"/>
      <c r="K27" s="46">
        <f>K26+K16</f>
        <v>1245772.3443499999</v>
      </c>
    </row>
    <row r="28" spans="2:15">
      <c r="B28" s="42" t="s">
        <v>127</v>
      </c>
      <c r="C28" s="43"/>
      <c r="D28" s="43"/>
      <c r="E28" s="481"/>
      <c r="F28" s="42"/>
      <c r="G28" s="43"/>
      <c r="H28" s="43"/>
      <c r="I28" s="43"/>
      <c r="J28" s="58"/>
      <c r="K28" s="46">
        <f>K27/E27</f>
        <v>1245772.3443499999</v>
      </c>
    </row>
    <row r="29" spans="2:15">
      <c r="B29" s="59"/>
      <c r="C29" s="43"/>
      <c r="D29" s="43"/>
      <c r="E29" s="43"/>
      <c r="F29" s="43"/>
      <c r="G29" s="43"/>
      <c r="H29" s="43"/>
      <c r="I29" s="43"/>
      <c r="J29" s="43"/>
      <c r="K29" s="58"/>
    </row>
    <row r="30" spans="2:15" ht="30">
      <c r="B30" s="777" t="s">
        <v>128</v>
      </c>
      <c r="C30" s="778"/>
      <c r="D30" s="778"/>
      <c r="E30" s="778"/>
      <c r="F30" s="778"/>
      <c r="G30" s="779"/>
      <c r="H30" s="60" t="s">
        <v>105</v>
      </c>
      <c r="I30" s="60" t="s">
        <v>129</v>
      </c>
      <c r="J30" s="61" t="s">
        <v>130</v>
      </c>
      <c r="K30" s="61" t="s">
        <v>131</v>
      </c>
    </row>
    <row r="31" spans="2:15">
      <c r="B31" s="35" t="s">
        <v>310</v>
      </c>
      <c r="C31" s="5" t="str">
        <f>VLOOKUP(B31,Mat.Info!A1:F3,2,FALSE)</f>
        <v>Sistema operacional e pacote office</v>
      </c>
      <c r="G31" s="8"/>
      <c r="H31" s="104" t="s">
        <v>316</v>
      </c>
      <c r="I31" s="104">
        <f>SUM(F12:F15)</f>
        <v>9580.7250000000004</v>
      </c>
      <c r="J31" s="104">
        <f>VLOOKUP(B31,Mat.Info!$A:$F,6,FALSE)</f>
        <v>0.2286</v>
      </c>
      <c r="K31" s="32">
        <f>I31*J31</f>
        <v>2190.1537349999999</v>
      </c>
    </row>
    <row r="32" spans="2:15">
      <c r="B32" s="35"/>
      <c r="C32" s="5" t="str">
        <f>IF(B32="","",VLOOKUP(B32,Mat.Info!A2:F6,2,FALSE))</f>
        <v/>
      </c>
      <c r="G32" s="8"/>
      <c r="H32" s="33"/>
      <c r="I32" s="33"/>
      <c r="J32" s="33" t="str">
        <f>IF(B32="","",VLOOKUP(B32,Mat.Info!$A:$F,5,FALSE))</f>
        <v/>
      </c>
      <c r="K32" s="33" t="str">
        <f>IF(B32="","",I32*J32)</f>
        <v/>
      </c>
    </row>
    <row r="33" spans="2:11">
      <c r="B33" s="35"/>
      <c r="G33" s="8"/>
      <c r="H33" s="33"/>
      <c r="I33" s="33"/>
      <c r="J33" s="33"/>
      <c r="K33" s="33"/>
    </row>
    <row r="34" spans="2:11">
      <c r="B34" s="35"/>
      <c r="G34" s="8"/>
      <c r="H34" s="33"/>
      <c r="I34" s="33"/>
      <c r="J34" s="33"/>
      <c r="K34" s="33"/>
    </row>
    <row r="35" spans="2:11">
      <c r="B35" s="35"/>
      <c r="G35" s="8"/>
      <c r="H35" s="33"/>
      <c r="I35" s="33"/>
      <c r="J35" s="33"/>
      <c r="K35" s="33"/>
    </row>
    <row r="36" spans="2:11">
      <c r="B36" s="35"/>
      <c r="G36" s="8"/>
      <c r="H36" s="33"/>
      <c r="I36" s="33"/>
      <c r="J36" s="33"/>
      <c r="K36" s="33"/>
    </row>
    <row r="37" spans="2:11">
      <c r="B37" s="35"/>
      <c r="G37" s="8"/>
      <c r="H37" s="33"/>
      <c r="I37" s="33"/>
      <c r="J37" s="33"/>
      <c r="K37" s="33"/>
    </row>
    <row r="38" spans="2:11">
      <c r="B38" s="37"/>
      <c r="C38" s="6"/>
      <c r="D38" s="6"/>
      <c r="E38" s="6"/>
      <c r="F38" s="6"/>
      <c r="G38" s="38"/>
      <c r="H38" s="40"/>
      <c r="I38" s="40"/>
      <c r="J38" s="40"/>
      <c r="K38" s="40"/>
    </row>
    <row r="39" spans="2:11">
      <c r="B39" s="42" t="s">
        <v>132</v>
      </c>
      <c r="C39" s="43"/>
      <c r="D39" s="43"/>
      <c r="E39" s="43"/>
      <c r="F39" s="43"/>
      <c r="G39" s="43"/>
      <c r="H39" s="44"/>
      <c r="I39" s="44"/>
      <c r="J39" s="45"/>
      <c r="K39" s="46">
        <f>SUM(K31:K38)</f>
        <v>2190.1537349999999</v>
      </c>
    </row>
    <row r="40" spans="2:11">
      <c r="B40" s="20" t="s">
        <v>133</v>
      </c>
      <c r="C40" s="62"/>
      <c r="D40" s="62"/>
      <c r="E40" s="62"/>
      <c r="F40" s="62"/>
      <c r="G40" s="62"/>
      <c r="H40" s="63"/>
      <c r="I40" s="60" t="s">
        <v>129</v>
      </c>
      <c r="J40" s="60" t="s">
        <v>134</v>
      </c>
      <c r="K40" s="60" t="s">
        <v>112</v>
      </c>
    </row>
    <row r="41" spans="2:11">
      <c r="B41" s="64"/>
      <c r="C41" s="65"/>
      <c r="D41" s="65"/>
      <c r="E41" s="65"/>
      <c r="F41" s="65"/>
      <c r="G41" s="65"/>
      <c r="H41" s="66"/>
      <c r="I41" s="67"/>
      <c r="J41" s="67" t="s">
        <v>135</v>
      </c>
      <c r="K41" s="67" t="s">
        <v>135</v>
      </c>
    </row>
    <row r="42" spans="2:11">
      <c r="B42" s="59"/>
      <c r="C42" s="43"/>
      <c r="D42" s="43"/>
      <c r="E42" s="43"/>
      <c r="F42" s="43"/>
      <c r="G42" s="43"/>
      <c r="H42" s="43"/>
      <c r="I42" s="43"/>
      <c r="J42" s="43"/>
      <c r="K42" s="58"/>
    </row>
    <row r="43" spans="2:11">
      <c r="B43" s="42" t="s">
        <v>136</v>
      </c>
      <c r="C43" s="43"/>
      <c r="D43" s="43"/>
      <c r="E43" s="43"/>
      <c r="F43" s="43"/>
      <c r="G43" s="43"/>
      <c r="H43" s="43"/>
      <c r="I43" s="43"/>
      <c r="J43" s="58"/>
      <c r="K43" s="4"/>
    </row>
    <row r="44" spans="2:11">
      <c r="B44" s="20" t="s">
        <v>137</v>
      </c>
      <c r="C44" s="68"/>
      <c r="D44" s="60" t="s">
        <v>129</v>
      </c>
      <c r="E44" s="780" t="s">
        <v>138</v>
      </c>
      <c r="F44" s="781"/>
      <c r="G44" s="782"/>
      <c r="H44" s="783" t="s">
        <v>130</v>
      </c>
      <c r="I44" s="784"/>
      <c r="J44" s="785"/>
      <c r="K44" s="60" t="s">
        <v>112</v>
      </c>
    </row>
    <row r="45" spans="2:11">
      <c r="B45" s="37"/>
      <c r="C45" s="6"/>
      <c r="D45" s="67"/>
      <c r="E45" s="24" t="s">
        <v>139</v>
      </c>
      <c r="F45" s="24" t="s">
        <v>140</v>
      </c>
      <c r="G45" s="24" t="s">
        <v>141</v>
      </c>
      <c r="H45" s="24" t="s">
        <v>139</v>
      </c>
      <c r="I45" s="24" t="s">
        <v>140</v>
      </c>
      <c r="J45" s="24" t="s">
        <v>141</v>
      </c>
      <c r="K45" s="67" t="s">
        <v>135</v>
      </c>
    </row>
    <row r="46" spans="2:11">
      <c r="B46" s="59"/>
      <c r="C46" s="43"/>
      <c r="D46" s="4"/>
      <c r="E46" s="4"/>
      <c r="F46" s="4"/>
      <c r="G46" s="4"/>
      <c r="H46" s="4"/>
      <c r="I46" s="4"/>
      <c r="J46" s="4"/>
      <c r="K46" s="46"/>
    </row>
    <row r="47" spans="2:11">
      <c r="B47" s="42" t="s">
        <v>142</v>
      </c>
      <c r="C47" s="43"/>
      <c r="D47" s="43"/>
      <c r="E47" s="43"/>
      <c r="F47" s="43"/>
      <c r="G47" s="43"/>
      <c r="H47" s="43"/>
      <c r="I47" s="43"/>
      <c r="J47" s="58"/>
      <c r="K47" s="46"/>
    </row>
    <row r="48" spans="2:11">
      <c r="B48" s="59"/>
      <c r="C48" s="43"/>
      <c r="D48" s="43"/>
      <c r="E48" s="43"/>
      <c r="F48" s="43"/>
      <c r="G48" s="43"/>
      <c r="H48" s="43"/>
      <c r="I48" s="43"/>
      <c r="J48" s="43"/>
      <c r="K48" s="45"/>
    </row>
    <row r="49" spans="2:11">
      <c r="B49" s="42" t="s">
        <v>143</v>
      </c>
      <c r="C49" s="69"/>
      <c r="D49" s="69"/>
      <c r="E49" s="69"/>
      <c r="F49" s="69"/>
      <c r="G49" s="69"/>
      <c r="H49" s="69"/>
      <c r="I49" s="69"/>
      <c r="J49" s="69"/>
      <c r="K49" s="70">
        <f>K47+K43+K39+K28</f>
        <v>1247962.4980849999</v>
      </c>
    </row>
    <row r="50" spans="2:11">
      <c r="B50" s="42" t="s">
        <v>144</v>
      </c>
      <c r="C50" s="69"/>
      <c r="D50" s="69"/>
      <c r="E50" s="69"/>
      <c r="F50" s="69"/>
      <c r="G50" s="69"/>
      <c r="H50" s="69"/>
      <c r="I50" s="69"/>
      <c r="J50" s="71">
        <f ca="1">Dados!$C$10</f>
        <v>0.44790000000000002</v>
      </c>
      <c r="K50" s="70">
        <f ca="1">K49*J50</f>
        <v>558962.40289227141</v>
      </c>
    </row>
    <row r="51" spans="2:11">
      <c r="B51" s="59" t="s">
        <v>145</v>
      </c>
      <c r="C51" s="43"/>
      <c r="D51" s="43"/>
      <c r="E51" s="43"/>
      <c r="F51" s="43"/>
      <c r="G51" s="43"/>
      <c r="H51" s="43"/>
      <c r="I51" s="43"/>
      <c r="J51" s="43"/>
      <c r="K51" s="46">
        <f ca="1">K50+K49</f>
        <v>1806924.9009772711</v>
      </c>
    </row>
    <row r="53" spans="2:11" ht="4.5" customHeight="1"/>
  </sheetData>
  <mergeCells count="18">
    <mergeCell ref="C12:E12"/>
    <mergeCell ref="B6:K6"/>
    <mergeCell ref="B8:H9"/>
    <mergeCell ref="F10:F11"/>
    <mergeCell ref="G10:H10"/>
    <mergeCell ref="I10:J10"/>
    <mergeCell ref="B30:G30"/>
    <mergeCell ref="E44:G44"/>
    <mergeCell ref="H44:J44"/>
    <mergeCell ref="C13:E13"/>
    <mergeCell ref="C18:E18"/>
    <mergeCell ref="C19:E19"/>
    <mergeCell ref="C20:E20"/>
    <mergeCell ref="C21:E21"/>
    <mergeCell ref="C22:E22"/>
    <mergeCell ref="C23:E23"/>
    <mergeCell ref="C24:E24"/>
    <mergeCell ref="C25:E25"/>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B620FD-2C72-4C43-A758-522FE5D01F8C}">
          <x14:formula1>
            <xm:f>Categorias!$A$4:$A$101</xm:f>
          </x14:formula1>
          <xm:sqref>C18:E25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DB1BF-63D7-4A10-8131-E28E8BD5B141}">
  <sheetPr>
    <tabColor rgb="FF008080"/>
    <pageSetUpPr fitToPage="1"/>
  </sheetPr>
  <dimension ref="A1:O53"/>
  <sheetViews>
    <sheetView zoomScale="75" zoomScaleNormal="75" workbookViewId="0">
      <selection activeCell="G7" sqref="G7"/>
    </sheetView>
  </sheetViews>
  <sheetFormatPr defaultRowHeight="15"/>
  <cols>
    <col min="1" max="1" width="1" style="5" customWidth="1"/>
    <col min="2" max="2" width="12" style="5" customWidth="1"/>
    <col min="3" max="3" width="26.42578125" style="5" customWidth="1"/>
    <col min="4" max="4" width="11.28515625" style="5" customWidth="1"/>
    <col min="5" max="5" width="7.5703125" style="5" customWidth="1"/>
    <col min="6" max="9" width="9.5703125" style="5" customWidth="1"/>
    <col min="10" max="10" width="9.85546875" style="5" customWidth="1"/>
    <col min="11" max="11" width="13.28515625" style="5" customWidth="1"/>
    <col min="12" max="12" width="0.7109375" style="5" customWidth="1"/>
    <col min="13" max="14" width="9.140625" style="5"/>
    <col min="15" max="15" width="9.140625" style="53"/>
    <col min="16" max="16384" width="9.140625" style="5"/>
  </cols>
  <sheetData>
    <row r="1" spans="1:11" ht="4.5" customHeight="1">
      <c r="B1" s="6"/>
      <c r="C1" s="6"/>
      <c r="D1" s="6"/>
      <c r="E1" s="6"/>
      <c r="F1" s="6"/>
      <c r="G1" s="6"/>
      <c r="H1" s="6"/>
      <c r="I1" s="6"/>
      <c r="J1" s="6"/>
      <c r="K1" s="6"/>
    </row>
    <row r="2" spans="1:11">
      <c r="B2" s="672"/>
      <c r="C2" s="673"/>
      <c r="D2" s="673"/>
      <c r="E2" s="673"/>
      <c r="F2" s="673"/>
      <c r="G2" s="673"/>
      <c r="H2" s="673"/>
      <c r="I2" s="673"/>
      <c r="J2" s="673"/>
      <c r="K2" s="7"/>
    </row>
    <row r="3" spans="1:11">
      <c r="A3" s="8"/>
      <c r="B3" s="674"/>
      <c r="C3" s="9"/>
      <c r="D3" s="9"/>
      <c r="E3" s="9"/>
      <c r="F3" s="9"/>
      <c r="G3" s="9"/>
      <c r="H3" s="9"/>
      <c r="I3" s="9"/>
      <c r="J3" s="639" t="s">
        <v>99</v>
      </c>
      <c r="K3" s="11">
        <f>Dados!C9</f>
        <v>45108</v>
      </c>
    </row>
    <row r="4" spans="1:11">
      <c r="A4" s="8"/>
      <c r="B4" s="674"/>
      <c r="C4" s="9"/>
      <c r="D4" s="9"/>
      <c r="E4" s="9"/>
      <c r="F4" s="9"/>
      <c r="G4" s="9"/>
      <c r="H4" s="9"/>
      <c r="I4" s="9"/>
      <c r="J4" s="10"/>
      <c r="K4" s="12"/>
    </row>
    <row r="5" spans="1:11">
      <c r="A5" s="8"/>
      <c r="B5" s="674"/>
      <c r="C5" s="9"/>
      <c r="D5" s="9"/>
      <c r="E5" s="9"/>
      <c r="F5" s="9"/>
      <c r="G5" s="9"/>
      <c r="H5" s="9"/>
      <c r="I5" s="9"/>
      <c r="J5" s="10" t="s">
        <v>100</v>
      </c>
      <c r="K5" s="13" t="s">
        <v>101</v>
      </c>
    </row>
    <row r="6" spans="1:11">
      <c r="A6" s="8"/>
      <c r="B6" s="769" t="s">
        <v>102</v>
      </c>
      <c r="C6" s="770"/>
      <c r="D6" s="770"/>
      <c r="E6" s="770"/>
      <c r="F6" s="770"/>
      <c r="G6" s="770"/>
      <c r="H6" s="770"/>
      <c r="I6" s="770"/>
      <c r="J6" s="770"/>
      <c r="K6" s="771"/>
    </row>
    <row r="7" spans="1:11">
      <c r="B7" s="14" t="s">
        <v>103</v>
      </c>
      <c r="C7" s="15"/>
      <c r="D7" s="15"/>
      <c r="E7" s="15"/>
      <c r="F7" s="15"/>
      <c r="G7" s="15"/>
      <c r="H7" s="15"/>
      <c r="I7" s="15"/>
      <c r="J7" s="16" t="s">
        <v>104</v>
      </c>
      <c r="K7" s="94">
        <f>'Alocação MO'!D6</f>
        <v>7</v>
      </c>
    </row>
    <row r="8" spans="1:11">
      <c r="B8" s="772" t="str">
        <f>CONCATENATE("",'Alocação MO'!C6)</f>
        <v>Dimensão de Engenharia (EEN) - Trabalhos Iniciais, Recuperação, Manutenção e Conservação</v>
      </c>
      <c r="C8" s="773"/>
      <c r="D8" s="773"/>
      <c r="E8" s="773"/>
      <c r="F8" s="773"/>
      <c r="G8" s="773"/>
      <c r="H8" s="773"/>
      <c r="I8" s="675"/>
      <c r="J8" s="675" t="s">
        <v>105</v>
      </c>
      <c r="K8" s="17" t="s">
        <v>106</v>
      </c>
    </row>
    <row r="9" spans="1:11">
      <c r="B9" s="772"/>
      <c r="C9" s="773"/>
      <c r="D9" s="773"/>
      <c r="E9" s="773"/>
      <c r="F9" s="774"/>
      <c r="G9" s="774"/>
      <c r="H9" s="774"/>
      <c r="I9" s="18"/>
      <c r="J9" s="18" t="s">
        <v>107</v>
      </c>
      <c r="K9" s="19"/>
    </row>
    <row r="10" spans="1:11">
      <c r="B10" s="20" t="s">
        <v>108</v>
      </c>
      <c r="C10" s="21"/>
      <c r="D10" s="22"/>
      <c r="E10" s="23"/>
      <c r="F10" s="775" t="s">
        <v>109</v>
      </c>
      <c r="G10" s="776" t="s">
        <v>110</v>
      </c>
      <c r="H10" s="776"/>
      <c r="I10" s="776" t="s">
        <v>111</v>
      </c>
      <c r="J10" s="776"/>
      <c r="K10" s="25" t="s">
        <v>112</v>
      </c>
    </row>
    <row r="11" spans="1:11">
      <c r="B11" s="26"/>
      <c r="C11" s="27"/>
      <c r="D11" s="28"/>
      <c r="E11" s="29"/>
      <c r="F11" s="775"/>
      <c r="G11" s="24" t="s">
        <v>113</v>
      </c>
      <c r="H11" s="24" t="s">
        <v>114</v>
      </c>
      <c r="I11" s="24" t="s">
        <v>113</v>
      </c>
      <c r="J11" s="24" t="s">
        <v>114</v>
      </c>
      <c r="K11" s="30" t="s">
        <v>115</v>
      </c>
    </row>
    <row r="12" spans="1:11" ht="32.25" customHeight="1">
      <c r="B12" s="31" t="s">
        <v>295</v>
      </c>
      <c r="C12" s="767" t="str">
        <f>VLOOKUP(B12,Equip.Info!A:L,2,FALSE)</f>
        <v>Desktop com monitor de 21", processador, placa de vídeo e memória compatíveis à CAD/SIG</v>
      </c>
      <c r="D12" s="767"/>
      <c r="E12" s="768"/>
      <c r="F12" s="105">
        <f>SUM(I18:I25)</f>
        <v>4790.3625000000002</v>
      </c>
      <c r="G12" s="105">
        <v>1</v>
      </c>
      <c r="H12" s="105">
        <v>0</v>
      </c>
      <c r="I12" s="105">
        <f>VLOOKUP($B12,Equip.Info!$A:$L,11,FALSE)</f>
        <v>1.6060000000000001</v>
      </c>
      <c r="J12" s="105">
        <f>VLOOKUP($B12,Equip.Info!$A:$L,12,FALSE)</f>
        <v>1.0569999999999999</v>
      </c>
      <c r="K12" s="120">
        <f>F12*(G12*I12+H12*J12)</f>
        <v>7693.3221750000012</v>
      </c>
    </row>
    <row r="13" spans="1:11" ht="29.25" customHeight="1">
      <c r="B13" s="31"/>
      <c r="C13" s="767"/>
      <c r="D13" s="767"/>
      <c r="E13" s="768"/>
      <c r="F13" s="106"/>
      <c r="G13" s="106"/>
      <c r="H13" s="106"/>
      <c r="I13" s="106"/>
      <c r="J13" s="106"/>
      <c r="K13" s="121"/>
    </row>
    <row r="14" spans="1:11" ht="20.100000000000001" customHeight="1">
      <c r="B14" s="35"/>
      <c r="E14" s="8"/>
      <c r="F14" s="36"/>
      <c r="G14" s="33"/>
      <c r="H14" s="33"/>
      <c r="I14" s="33"/>
      <c r="J14" s="33"/>
      <c r="K14" s="34"/>
    </row>
    <row r="15" spans="1:11" ht="20.100000000000001" customHeight="1">
      <c r="B15" s="37"/>
      <c r="C15" s="6"/>
      <c r="D15" s="6"/>
      <c r="E15" s="38"/>
      <c r="F15" s="39"/>
      <c r="G15" s="40"/>
      <c r="H15" s="40"/>
      <c r="I15" s="40"/>
      <c r="J15" s="40"/>
      <c r="K15" s="41"/>
    </row>
    <row r="16" spans="1:11">
      <c r="B16" s="42" t="s">
        <v>116</v>
      </c>
      <c r="C16" s="43"/>
      <c r="D16" s="43"/>
      <c r="E16" s="43"/>
      <c r="F16" s="43"/>
      <c r="G16" s="44"/>
      <c r="H16" s="44"/>
      <c r="I16" s="44"/>
      <c r="J16" s="45"/>
      <c r="K16" s="46">
        <f>K12+K13</f>
        <v>7693.3221750000012</v>
      </c>
    </row>
    <row r="17" spans="2:15" s="49" customFormat="1" ht="45">
      <c r="B17" s="47" t="s">
        <v>117</v>
      </c>
      <c r="C17" s="83"/>
      <c r="D17" s="83"/>
      <c r="E17" s="83"/>
      <c r="F17" s="95" t="s">
        <v>118</v>
      </c>
      <c r="G17" s="95" t="s">
        <v>119</v>
      </c>
      <c r="H17" s="96" t="s">
        <v>120</v>
      </c>
      <c r="I17" s="84" t="s">
        <v>121</v>
      </c>
      <c r="J17" s="48" t="s">
        <v>122</v>
      </c>
      <c r="K17" s="48" t="s">
        <v>123</v>
      </c>
      <c r="O17" s="87"/>
    </row>
    <row r="18" spans="2:15" ht="15" customHeight="1">
      <c r="B18" s="35" t="str">
        <f>IF(ISBLANK(C18),0,VLOOKUP(C18,Categorias!$A$4:$B$83,2,FALSE))</f>
        <v>P8060</v>
      </c>
      <c r="C18" s="786" t="s">
        <v>34</v>
      </c>
      <c r="D18" s="786"/>
      <c r="E18" s="786"/>
      <c r="F18" s="52">
        <v>0.25</v>
      </c>
      <c r="G18" s="677">
        <f>INDEX(Resumo[],MATCH($B$8,Resumo[Descrição dos Produtos],0),MATCH(C18,Resumo[#Headers],0))</f>
        <v>1</v>
      </c>
      <c r="H18" s="50">
        <f>F18*G18*$K$7</f>
        <v>1.75</v>
      </c>
      <c r="I18" s="678">
        <f t="shared" ref="I18:I21" si="0">H18*182.49</f>
        <v>319.35750000000002</v>
      </c>
      <c r="J18" s="51">
        <f>IF(ISBLANK(B18),0,VLOOKUP(B18,'TC 07-2023'!B:Z,25,TRUE)/182.49)</f>
        <v>207.71921749136939</v>
      </c>
      <c r="K18" s="33">
        <f t="shared" ref="K18:K21" si="1">J18*I18</f>
        <v>66336.69</v>
      </c>
    </row>
    <row r="19" spans="2:15" ht="15" customHeight="1">
      <c r="B19" s="35" t="str">
        <f>IF(ISBLANK(C19),0,VLOOKUP(C19,Categorias!$A$4:$B$83,2,FALSE))</f>
        <v>P8067</v>
      </c>
      <c r="C19" s="786" t="s">
        <v>41</v>
      </c>
      <c r="D19" s="786"/>
      <c r="E19" s="786"/>
      <c r="F19" s="52">
        <v>1</v>
      </c>
      <c r="G19" s="677">
        <f>INDEX(Resumo[],MATCH($B$8,Resumo[Descrição dos Produtos],0),MATCH(C19,Resumo[#Headers],0))</f>
        <v>1</v>
      </c>
      <c r="H19" s="50">
        <f t="shared" ref="H19:H21" si="2">F19*G19*$K$7</f>
        <v>7</v>
      </c>
      <c r="I19" s="678">
        <f t="shared" si="0"/>
        <v>1277.43</v>
      </c>
      <c r="J19" s="51">
        <f>IF(ISBLANK(B19),0,VLOOKUP(B19,'TC 07-2023'!B:Z,25,TRUE)/182.49)</f>
        <v>151.26779549564358</v>
      </c>
      <c r="K19" s="33">
        <f t="shared" si="1"/>
        <v>193234.02</v>
      </c>
    </row>
    <row r="20" spans="2:15" ht="15" customHeight="1">
      <c r="B20" s="35" t="str">
        <f>IF(ISBLANK(C20),0,VLOOKUP(C20,Categorias!$A$4:$B$83,2,FALSE))</f>
        <v>P8066</v>
      </c>
      <c r="C20" s="786" t="s">
        <v>40</v>
      </c>
      <c r="D20" s="786"/>
      <c r="E20" s="786"/>
      <c r="F20" s="52">
        <v>1</v>
      </c>
      <c r="G20" s="677">
        <f>INDEX(Resumo[],MATCH($B$8,Resumo[Descrição dos Produtos],0),MATCH(C20,Resumo[#Headers],0))</f>
        <v>1</v>
      </c>
      <c r="H20" s="50">
        <f t="shared" si="2"/>
        <v>7</v>
      </c>
      <c r="I20" s="678">
        <f t="shared" si="0"/>
        <v>1277.43</v>
      </c>
      <c r="J20" s="51">
        <f>IF(ISBLANK(B20),0,VLOOKUP(B20,'TC 07-2023'!B:Z,25,TRUE)/182.49)</f>
        <v>120.38555537289714</v>
      </c>
      <c r="K20" s="33">
        <f t="shared" si="1"/>
        <v>153784.12</v>
      </c>
    </row>
    <row r="21" spans="2:15" ht="15" customHeight="1">
      <c r="B21" s="35" t="str">
        <f>IF(ISBLANK(C21),0,VLOOKUP(C21,Categorias!$A$4:$B$83,2,FALSE))</f>
        <v>P8065</v>
      </c>
      <c r="C21" s="786" t="s">
        <v>39</v>
      </c>
      <c r="D21" s="786"/>
      <c r="E21" s="786"/>
      <c r="F21" s="52">
        <v>1</v>
      </c>
      <c r="G21" s="677">
        <f>INDEX(Resumo[],MATCH($B$8,Resumo[Descrição dos Produtos],0),MATCH(C21,Resumo[#Headers],0))</f>
        <v>1</v>
      </c>
      <c r="H21" s="50">
        <f t="shared" si="2"/>
        <v>7</v>
      </c>
      <c r="I21" s="678">
        <f t="shared" si="0"/>
        <v>1277.43</v>
      </c>
      <c r="J21" s="51">
        <f>IF(ISBLANK(B21),0,VLOOKUP(B21,'TC 07-2023'!B:Z,25,TRUE)/182.49)</f>
        <v>115.96701189106251</v>
      </c>
      <c r="K21" s="33">
        <f t="shared" si="1"/>
        <v>148139.74</v>
      </c>
    </row>
    <row r="22" spans="2:15" ht="15" customHeight="1">
      <c r="B22" s="35" t="str">
        <f>IF(ISBLANK(C22),0,VLOOKUP(C22,Categorias!$A$4:$B$83,2,FALSE))</f>
        <v>P8061</v>
      </c>
      <c r="C22" s="786" t="s">
        <v>35</v>
      </c>
      <c r="D22" s="786"/>
      <c r="E22" s="786"/>
      <c r="F22" s="52">
        <v>0.5</v>
      </c>
      <c r="G22" s="677">
        <f>INDEX(Resumo[],MATCH($B$8,Resumo[Descrição dos Produtos],0),MATCH(C22,Resumo[#Headers],0))</f>
        <v>1</v>
      </c>
      <c r="H22" s="50">
        <f t="shared" ref="H22" si="3">F22*G22*$K$7</f>
        <v>3.5</v>
      </c>
      <c r="I22" s="678">
        <f t="shared" ref="I22" si="4">H22*182.49</f>
        <v>638.71500000000003</v>
      </c>
      <c r="J22" s="51">
        <f>IF(ISBLANK(B22),0,VLOOKUP(B22,'TC 07-2023'!B:Z,25,TRUE)/182.49)</f>
        <v>174.03671434051179</v>
      </c>
      <c r="K22" s="33">
        <f t="shared" ref="K22" si="5">J22*I22</f>
        <v>111159.86</v>
      </c>
    </row>
    <row r="23" spans="2:15" ht="15" customHeight="1">
      <c r="B23" s="35"/>
      <c r="F23" s="679"/>
      <c r="H23" s="680"/>
      <c r="I23" s="54"/>
      <c r="J23" s="51"/>
      <c r="K23" s="33"/>
    </row>
    <row r="24" spans="2:15" ht="15" customHeight="1">
      <c r="B24" s="35"/>
      <c r="F24" s="679"/>
      <c r="H24" s="680"/>
      <c r="I24" s="54"/>
      <c r="J24" s="51"/>
      <c r="K24" s="33"/>
    </row>
    <row r="25" spans="2:15" ht="15" customHeight="1">
      <c r="B25" s="35" t="s">
        <v>344</v>
      </c>
      <c r="C25" s="6"/>
      <c r="D25" s="6"/>
      <c r="E25" s="6"/>
      <c r="F25" s="55"/>
      <c r="G25" s="6"/>
      <c r="H25" s="55"/>
      <c r="I25" s="56"/>
      <c r="J25" s="51"/>
      <c r="K25" s="40"/>
    </row>
    <row r="26" spans="2:15">
      <c r="B26" s="42" t="s">
        <v>124</v>
      </c>
      <c r="C26" s="43"/>
      <c r="D26" s="43"/>
      <c r="E26" s="43"/>
      <c r="F26" s="44"/>
      <c r="G26" s="44"/>
      <c r="H26" s="44"/>
      <c r="I26" s="44"/>
      <c r="J26" s="45"/>
      <c r="K26" s="46">
        <f>SUM(K18:K25)</f>
        <v>672654.42999999993</v>
      </c>
    </row>
    <row r="27" spans="2:15">
      <c r="B27" s="42" t="s">
        <v>125</v>
      </c>
      <c r="C27" s="43"/>
      <c r="D27" s="43"/>
      <c r="E27" s="481">
        <v>1</v>
      </c>
      <c r="F27" s="42" t="s">
        <v>126</v>
      </c>
      <c r="G27" s="43"/>
      <c r="H27" s="43"/>
      <c r="I27" s="43"/>
      <c r="J27" s="58"/>
      <c r="K27" s="46">
        <f>K26+K16</f>
        <v>680347.75217499991</v>
      </c>
    </row>
    <row r="28" spans="2:15">
      <c r="B28" s="42" t="s">
        <v>127</v>
      </c>
      <c r="C28" s="43"/>
      <c r="D28" s="43"/>
      <c r="E28" s="481"/>
      <c r="F28" s="42"/>
      <c r="G28" s="43"/>
      <c r="H28" s="43"/>
      <c r="I28" s="43"/>
      <c r="J28" s="58"/>
      <c r="K28" s="46">
        <f>K27/E27</f>
        <v>680347.75217499991</v>
      </c>
    </row>
    <row r="29" spans="2:15">
      <c r="B29" s="59"/>
      <c r="C29" s="43"/>
      <c r="D29" s="43"/>
      <c r="E29" s="43"/>
      <c r="F29" s="43"/>
      <c r="G29" s="43"/>
      <c r="H29" s="43"/>
      <c r="I29" s="43"/>
      <c r="J29" s="43"/>
      <c r="K29" s="58"/>
    </row>
    <row r="30" spans="2:15" ht="30">
      <c r="B30" s="777" t="s">
        <v>128</v>
      </c>
      <c r="C30" s="778"/>
      <c r="D30" s="778"/>
      <c r="E30" s="778"/>
      <c r="F30" s="778"/>
      <c r="G30" s="779"/>
      <c r="H30" s="60" t="s">
        <v>105</v>
      </c>
      <c r="I30" s="60" t="s">
        <v>129</v>
      </c>
      <c r="J30" s="61" t="s">
        <v>130</v>
      </c>
      <c r="K30" s="61" t="s">
        <v>131</v>
      </c>
    </row>
    <row r="31" spans="2:15">
      <c r="B31" s="35" t="s">
        <v>310</v>
      </c>
      <c r="C31" s="5" t="str">
        <f>VLOOKUP(B31,Mat.Info!$A:$F,2,FALSE)</f>
        <v>Sistema operacional e pacote office</v>
      </c>
      <c r="G31" s="8"/>
      <c r="H31" s="104" t="s">
        <v>316</v>
      </c>
      <c r="I31" s="104">
        <f>SUM($F$12:$F$15)</f>
        <v>4790.3625000000002</v>
      </c>
      <c r="J31" s="104">
        <f>VLOOKUP(B31,Mat.Info!$A:$F,6,FALSE)</f>
        <v>0.2286</v>
      </c>
      <c r="K31" s="32">
        <f>I31*J31</f>
        <v>1095.0768674999999</v>
      </c>
    </row>
    <row r="32" spans="2:15">
      <c r="B32" s="35" t="str">
        <f>Mat.Info!A3</f>
        <v>MT2557</v>
      </c>
      <c r="C32" s="5" t="str">
        <f>IF(B32="","",VLOOKUP(B32,Mat.Info!A2:F6,2,FALSE))</f>
        <v>Software CAD para MAC/Windows 64bits</v>
      </c>
      <c r="G32" s="8"/>
      <c r="H32" s="54" t="s">
        <v>316</v>
      </c>
      <c r="I32" s="54">
        <f>SUM($I$19:$I$21)</f>
        <v>3832.29</v>
      </c>
      <c r="J32" s="54">
        <f>VLOOKUP(B32,Mat.Info!$A:$F,6,FALSE)</f>
        <v>5.3840000000000003</v>
      </c>
      <c r="K32" s="33">
        <f>IF(B32="","",I32*J32)</f>
        <v>20633.049360000001</v>
      </c>
    </row>
    <row r="33" spans="2:11">
      <c r="B33" s="35"/>
      <c r="G33" s="8"/>
      <c r="H33" s="33"/>
      <c r="I33" s="33"/>
      <c r="J33" s="33"/>
      <c r="K33" s="33"/>
    </row>
    <row r="34" spans="2:11">
      <c r="B34" s="35"/>
      <c r="G34" s="8"/>
      <c r="H34" s="33"/>
      <c r="I34" s="33"/>
      <c r="J34" s="33"/>
      <c r="K34" s="33"/>
    </row>
    <row r="35" spans="2:11">
      <c r="B35" s="35"/>
      <c r="G35" s="8"/>
      <c r="H35" s="33"/>
      <c r="I35" s="33"/>
      <c r="J35" s="33"/>
      <c r="K35" s="33"/>
    </row>
    <row r="36" spans="2:11">
      <c r="B36" s="35"/>
      <c r="G36" s="8"/>
      <c r="H36" s="33"/>
      <c r="I36" s="33"/>
      <c r="J36" s="33"/>
      <c r="K36" s="33"/>
    </row>
    <row r="37" spans="2:11">
      <c r="B37" s="35"/>
      <c r="G37" s="8"/>
      <c r="H37" s="33"/>
      <c r="I37" s="33"/>
      <c r="J37" s="33"/>
      <c r="K37" s="33"/>
    </row>
    <row r="38" spans="2:11">
      <c r="B38" s="37"/>
      <c r="C38" s="6"/>
      <c r="D38" s="6"/>
      <c r="E38" s="6"/>
      <c r="F38" s="6"/>
      <c r="G38" s="38"/>
      <c r="H38" s="40"/>
      <c r="I38" s="40"/>
      <c r="J38" s="40"/>
      <c r="K38" s="40"/>
    </row>
    <row r="39" spans="2:11">
      <c r="B39" s="42" t="s">
        <v>132</v>
      </c>
      <c r="C39" s="43"/>
      <c r="D39" s="43"/>
      <c r="E39" s="43"/>
      <c r="F39" s="43"/>
      <c r="G39" s="43"/>
      <c r="H39" s="44"/>
      <c r="I39" s="44"/>
      <c r="J39" s="45"/>
      <c r="K39" s="46">
        <f>SUM(K31:K38)</f>
        <v>21728.126227500001</v>
      </c>
    </row>
    <row r="40" spans="2:11">
      <c r="B40" s="20" t="s">
        <v>133</v>
      </c>
      <c r="C40" s="62"/>
      <c r="D40" s="62"/>
      <c r="E40" s="62"/>
      <c r="F40" s="62"/>
      <c r="G40" s="62"/>
      <c r="H40" s="63"/>
      <c r="I40" s="60" t="s">
        <v>129</v>
      </c>
      <c r="J40" s="60" t="s">
        <v>134</v>
      </c>
      <c r="K40" s="60" t="s">
        <v>112</v>
      </c>
    </row>
    <row r="41" spans="2:11">
      <c r="B41" s="64"/>
      <c r="C41" s="65"/>
      <c r="D41" s="65"/>
      <c r="E41" s="65"/>
      <c r="F41" s="65"/>
      <c r="G41" s="65"/>
      <c r="H41" s="66"/>
      <c r="I41" s="67"/>
      <c r="J41" s="67" t="s">
        <v>135</v>
      </c>
      <c r="K41" s="67" t="s">
        <v>135</v>
      </c>
    </row>
    <row r="42" spans="2:11">
      <c r="B42" s="59"/>
      <c r="C42" s="43"/>
      <c r="D42" s="43"/>
      <c r="E42" s="43"/>
      <c r="F42" s="43"/>
      <c r="G42" s="43"/>
      <c r="H42" s="43"/>
      <c r="I42" s="43"/>
      <c r="J42" s="43"/>
      <c r="K42" s="58"/>
    </row>
    <row r="43" spans="2:11">
      <c r="B43" s="42" t="s">
        <v>136</v>
      </c>
      <c r="C43" s="43"/>
      <c r="D43" s="43"/>
      <c r="E43" s="43"/>
      <c r="F43" s="43"/>
      <c r="G43" s="43"/>
      <c r="H43" s="43"/>
      <c r="I43" s="43"/>
      <c r="J43" s="58"/>
      <c r="K43" s="4"/>
    </row>
    <row r="44" spans="2:11">
      <c r="B44" s="20" t="s">
        <v>137</v>
      </c>
      <c r="C44" s="68"/>
      <c r="D44" s="60" t="s">
        <v>129</v>
      </c>
      <c r="E44" s="780" t="s">
        <v>138</v>
      </c>
      <c r="F44" s="781"/>
      <c r="G44" s="782"/>
      <c r="H44" s="783" t="s">
        <v>130</v>
      </c>
      <c r="I44" s="784"/>
      <c r="J44" s="785"/>
      <c r="K44" s="60" t="s">
        <v>112</v>
      </c>
    </row>
    <row r="45" spans="2:11">
      <c r="B45" s="37"/>
      <c r="C45" s="6"/>
      <c r="D45" s="67"/>
      <c r="E45" s="24" t="s">
        <v>139</v>
      </c>
      <c r="F45" s="24" t="s">
        <v>140</v>
      </c>
      <c r="G45" s="24" t="s">
        <v>141</v>
      </c>
      <c r="H45" s="24" t="s">
        <v>139</v>
      </c>
      <c r="I45" s="24" t="s">
        <v>140</v>
      </c>
      <c r="J45" s="24" t="s">
        <v>141</v>
      </c>
      <c r="K45" s="67" t="s">
        <v>135</v>
      </c>
    </row>
    <row r="46" spans="2:11">
      <c r="B46" s="59"/>
      <c r="C46" s="43"/>
      <c r="D46" s="4"/>
      <c r="E46" s="4"/>
      <c r="F46" s="4"/>
      <c r="G46" s="4"/>
      <c r="H46" s="4"/>
      <c r="I46" s="4"/>
      <c r="J46" s="4"/>
      <c r="K46" s="46"/>
    </row>
    <row r="47" spans="2:11">
      <c r="B47" s="42" t="s">
        <v>142</v>
      </c>
      <c r="C47" s="43"/>
      <c r="D47" s="43"/>
      <c r="E47" s="43"/>
      <c r="F47" s="43"/>
      <c r="G47" s="43"/>
      <c r="H47" s="43"/>
      <c r="I47" s="43"/>
      <c r="J47" s="58"/>
      <c r="K47" s="46"/>
    </row>
    <row r="48" spans="2:11">
      <c r="B48" s="59"/>
      <c r="C48" s="43"/>
      <c r="D48" s="43"/>
      <c r="E48" s="43"/>
      <c r="F48" s="43"/>
      <c r="G48" s="43"/>
      <c r="H48" s="43"/>
      <c r="I48" s="43"/>
      <c r="J48" s="43"/>
      <c r="K48" s="45"/>
    </row>
    <row r="49" spans="2:11">
      <c r="B49" s="42" t="s">
        <v>143</v>
      </c>
      <c r="C49" s="69"/>
      <c r="D49" s="69"/>
      <c r="E49" s="69"/>
      <c r="F49" s="69"/>
      <c r="G49" s="69"/>
      <c r="H49" s="69"/>
      <c r="I49" s="69"/>
      <c r="J49" s="69"/>
      <c r="K49" s="70">
        <f>K47+K43+K39+K28</f>
        <v>702075.87840249995</v>
      </c>
    </row>
    <row r="50" spans="2:11">
      <c r="B50" s="42" t="s">
        <v>144</v>
      </c>
      <c r="C50" s="69"/>
      <c r="D50" s="69"/>
      <c r="E50" s="69"/>
      <c r="F50" s="69"/>
      <c r="G50" s="69"/>
      <c r="H50" s="69"/>
      <c r="I50" s="69"/>
      <c r="J50" s="71">
        <f ca="1">Dados!$C$10</f>
        <v>0.44790000000000002</v>
      </c>
      <c r="K50" s="70">
        <f ca="1">K49*J50</f>
        <v>314459.78593647975</v>
      </c>
    </row>
    <row r="51" spans="2:11">
      <c r="B51" s="59" t="s">
        <v>145</v>
      </c>
      <c r="C51" s="43"/>
      <c r="D51" s="43"/>
      <c r="E51" s="43"/>
      <c r="F51" s="43"/>
      <c r="G51" s="43"/>
      <c r="H51" s="43"/>
      <c r="I51" s="43"/>
      <c r="J51" s="43"/>
      <c r="K51" s="46">
        <f ca="1">K50+K49</f>
        <v>1016535.6643389796</v>
      </c>
    </row>
    <row r="53" spans="2:11" ht="4.5" customHeight="1"/>
  </sheetData>
  <mergeCells count="15">
    <mergeCell ref="C12:E12"/>
    <mergeCell ref="B6:K6"/>
    <mergeCell ref="B8:H9"/>
    <mergeCell ref="F10:F11"/>
    <mergeCell ref="G10:H10"/>
    <mergeCell ref="I10:J10"/>
    <mergeCell ref="E44:G44"/>
    <mergeCell ref="H44:J44"/>
    <mergeCell ref="C13:E13"/>
    <mergeCell ref="C18:E18"/>
    <mergeCell ref="C19:E19"/>
    <mergeCell ref="C20:E20"/>
    <mergeCell ref="C21:E21"/>
    <mergeCell ref="B30:G30"/>
    <mergeCell ref="C22:E22"/>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BC1E1F1-1953-4286-AD8E-51012ADE10C5}">
          <x14:formula1>
            <xm:f>Categorias!$A$4:$A$101</xm:f>
          </x14:formula1>
          <xm:sqref>C18:E22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A42D8-26AE-4D95-AF45-01B13D090EB5}">
  <sheetPr>
    <tabColor rgb="FF008080"/>
    <pageSetUpPr fitToPage="1"/>
  </sheetPr>
  <dimension ref="A1:O53"/>
  <sheetViews>
    <sheetView zoomScale="75" zoomScaleNormal="75" workbookViewId="0">
      <selection activeCell="G7" sqref="G7"/>
    </sheetView>
  </sheetViews>
  <sheetFormatPr defaultRowHeight="15"/>
  <cols>
    <col min="1" max="1" width="1" style="5" customWidth="1"/>
    <col min="2" max="2" width="12" style="5" customWidth="1"/>
    <col min="3" max="3" width="26.42578125" style="5" customWidth="1"/>
    <col min="4" max="4" width="11.28515625" style="5" customWidth="1"/>
    <col min="5" max="5" width="7.5703125" style="5" customWidth="1"/>
    <col min="6" max="9" width="9.5703125" style="5" customWidth="1"/>
    <col min="10" max="10" width="9.85546875" style="5" customWidth="1"/>
    <col min="11" max="11" width="13.28515625" style="5" customWidth="1"/>
    <col min="12" max="12" width="0.7109375" style="5" customWidth="1"/>
    <col min="13" max="14" width="9.140625" style="5"/>
    <col min="15" max="15" width="9.140625" style="53"/>
    <col min="16" max="16384" width="9.140625" style="5"/>
  </cols>
  <sheetData>
    <row r="1" spans="1:11" ht="4.5" customHeight="1">
      <c r="B1" s="6"/>
      <c r="C1" s="6"/>
      <c r="D1" s="6"/>
      <c r="E1" s="6"/>
      <c r="F1" s="6"/>
      <c r="G1" s="6"/>
      <c r="H1" s="6"/>
      <c r="I1" s="6"/>
      <c r="J1" s="6"/>
      <c r="K1" s="6"/>
    </row>
    <row r="2" spans="1:11">
      <c r="B2" s="672"/>
      <c r="C2" s="673"/>
      <c r="D2" s="673"/>
      <c r="E2" s="673"/>
      <c r="F2" s="673"/>
      <c r="G2" s="673"/>
      <c r="H2" s="673"/>
      <c r="I2" s="673"/>
      <c r="J2" s="673"/>
      <c r="K2" s="7"/>
    </row>
    <row r="3" spans="1:11">
      <c r="A3" s="8"/>
      <c r="B3" s="674"/>
      <c r="C3" s="9"/>
      <c r="D3" s="9"/>
      <c r="E3" s="9"/>
      <c r="F3" s="9"/>
      <c r="G3" s="9"/>
      <c r="H3" s="9"/>
      <c r="I3" s="9"/>
      <c r="J3" s="639" t="s">
        <v>99</v>
      </c>
      <c r="K3" s="11">
        <f>Dados!C9</f>
        <v>45108</v>
      </c>
    </row>
    <row r="4" spans="1:11">
      <c r="A4" s="8"/>
      <c r="B4" s="674"/>
      <c r="C4" s="9"/>
      <c r="D4" s="9"/>
      <c r="E4" s="9"/>
      <c r="F4" s="9"/>
      <c r="G4" s="9"/>
      <c r="H4" s="9"/>
      <c r="I4" s="9"/>
      <c r="J4" s="10"/>
      <c r="K4" s="12"/>
    </row>
    <row r="5" spans="1:11">
      <c r="A5" s="8"/>
      <c r="B5" s="674"/>
      <c r="C5" s="9"/>
      <c r="D5" s="9"/>
      <c r="E5" s="9"/>
      <c r="F5" s="9"/>
      <c r="G5" s="9"/>
      <c r="H5" s="9"/>
      <c r="I5" s="9"/>
      <c r="J5" s="10" t="s">
        <v>100</v>
      </c>
      <c r="K5" s="13" t="s">
        <v>101</v>
      </c>
    </row>
    <row r="6" spans="1:11">
      <c r="A6" s="8"/>
      <c r="B6" s="769" t="s">
        <v>102</v>
      </c>
      <c r="C6" s="770"/>
      <c r="D6" s="770"/>
      <c r="E6" s="770"/>
      <c r="F6" s="770"/>
      <c r="G6" s="770"/>
      <c r="H6" s="770"/>
      <c r="I6" s="770"/>
      <c r="J6" s="770"/>
      <c r="K6" s="771"/>
    </row>
    <row r="7" spans="1:11">
      <c r="B7" s="14" t="s">
        <v>103</v>
      </c>
      <c r="C7" s="15"/>
      <c r="D7" s="15"/>
      <c r="E7" s="15"/>
      <c r="F7" s="15"/>
      <c r="G7" s="15"/>
      <c r="H7" s="15"/>
      <c r="I7" s="15"/>
      <c r="J7" s="16" t="s">
        <v>104</v>
      </c>
      <c r="K7" s="94">
        <f>'Alocação MO'!D7</f>
        <v>7</v>
      </c>
    </row>
    <row r="8" spans="1:11">
      <c r="B8" s="772" t="str">
        <f>CONCATENATE("",'Alocação MO'!C7)</f>
        <v>Dimensão de Engenharia (EEN) - Ampliação de Capacidade e Melhorias</v>
      </c>
      <c r="C8" s="773"/>
      <c r="D8" s="773"/>
      <c r="E8" s="773"/>
      <c r="F8" s="773"/>
      <c r="G8" s="773"/>
      <c r="H8" s="773"/>
      <c r="I8" s="675"/>
      <c r="J8" s="675" t="s">
        <v>105</v>
      </c>
      <c r="K8" s="17" t="s">
        <v>106</v>
      </c>
    </row>
    <row r="9" spans="1:11">
      <c r="B9" s="772"/>
      <c r="C9" s="773"/>
      <c r="D9" s="773"/>
      <c r="E9" s="773"/>
      <c r="F9" s="774"/>
      <c r="G9" s="774"/>
      <c r="H9" s="774"/>
      <c r="I9" s="18"/>
      <c r="J9" s="18" t="s">
        <v>107</v>
      </c>
      <c r="K9" s="19"/>
    </row>
    <row r="10" spans="1:11">
      <c r="B10" s="20" t="s">
        <v>108</v>
      </c>
      <c r="C10" s="21"/>
      <c r="D10" s="22"/>
      <c r="E10" s="23"/>
      <c r="F10" s="775" t="s">
        <v>109</v>
      </c>
      <c r="G10" s="776" t="s">
        <v>110</v>
      </c>
      <c r="H10" s="776"/>
      <c r="I10" s="776" t="s">
        <v>111</v>
      </c>
      <c r="J10" s="776"/>
      <c r="K10" s="25" t="s">
        <v>112</v>
      </c>
    </row>
    <row r="11" spans="1:11">
      <c r="B11" s="26"/>
      <c r="C11" s="27"/>
      <c r="D11" s="28"/>
      <c r="E11" s="29"/>
      <c r="F11" s="775"/>
      <c r="G11" s="24" t="s">
        <v>113</v>
      </c>
      <c r="H11" s="24" t="s">
        <v>114</v>
      </c>
      <c r="I11" s="24" t="s">
        <v>113</v>
      </c>
      <c r="J11" s="24" t="s">
        <v>114</v>
      </c>
      <c r="K11" s="30" t="s">
        <v>115</v>
      </c>
    </row>
    <row r="12" spans="1:11" ht="32.25" customHeight="1">
      <c r="B12" s="31" t="s">
        <v>295</v>
      </c>
      <c r="C12" s="767" t="str">
        <f>VLOOKUP(B12,Equip.Info!A:L,2,FALSE)</f>
        <v>Desktop com monitor de 21", processador, placa de vídeo e memória compatíveis à CAD/SIG</v>
      </c>
      <c r="D12" s="767"/>
      <c r="E12" s="768"/>
      <c r="F12" s="105">
        <f>SUM(I18:I25)</f>
        <v>4790.3625000000002</v>
      </c>
      <c r="G12" s="105">
        <v>1</v>
      </c>
      <c r="H12" s="105">
        <v>0</v>
      </c>
      <c r="I12" s="105">
        <f>VLOOKUP($B12,Equip.Info!$A:$L,11,FALSE)</f>
        <v>1.6060000000000001</v>
      </c>
      <c r="J12" s="105">
        <f>VLOOKUP($B12,Equip.Info!$A:$L,12,FALSE)</f>
        <v>1.0569999999999999</v>
      </c>
      <c r="K12" s="120">
        <f>F12*(G12*I12+H12*J12)</f>
        <v>7693.3221750000012</v>
      </c>
    </row>
    <row r="13" spans="1:11" ht="29.25" customHeight="1">
      <c r="B13" s="31"/>
      <c r="C13" s="767"/>
      <c r="D13" s="767"/>
      <c r="E13" s="768"/>
      <c r="F13" s="106"/>
      <c r="G13" s="106"/>
      <c r="H13" s="106"/>
      <c r="I13" s="106"/>
      <c r="J13" s="106"/>
      <c r="K13" s="121"/>
    </row>
    <row r="14" spans="1:11" ht="20.100000000000001" customHeight="1">
      <c r="B14" s="35"/>
      <c r="E14" s="8"/>
      <c r="F14" s="36"/>
      <c r="G14" s="33"/>
      <c r="H14" s="33"/>
      <c r="I14" s="33"/>
      <c r="J14" s="33"/>
      <c r="K14" s="34"/>
    </row>
    <row r="15" spans="1:11" ht="20.100000000000001" customHeight="1">
      <c r="B15" s="37"/>
      <c r="C15" s="6"/>
      <c r="D15" s="6"/>
      <c r="E15" s="38"/>
      <c r="F15" s="39"/>
      <c r="G15" s="40"/>
      <c r="H15" s="40"/>
      <c r="I15" s="40"/>
      <c r="J15" s="40"/>
      <c r="K15" s="41"/>
    </row>
    <row r="16" spans="1:11">
      <c r="B16" s="42" t="s">
        <v>116</v>
      </c>
      <c r="C16" s="43"/>
      <c r="D16" s="43"/>
      <c r="E16" s="43"/>
      <c r="F16" s="43"/>
      <c r="G16" s="44"/>
      <c r="H16" s="44"/>
      <c r="I16" s="44"/>
      <c r="J16" s="45"/>
      <c r="K16" s="46">
        <f>K12+K13</f>
        <v>7693.3221750000012</v>
      </c>
    </row>
    <row r="17" spans="2:15" s="49" customFormat="1" ht="45">
      <c r="B17" s="47" t="s">
        <v>117</v>
      </c>
      <c r="C17" s="83"/>
      <c r="D17" s="83"/>
      <c r="E17" s="83"/>
      <c r="F17" s="95" t="s">
        <v>118</v>
      </c>
      <c r="G17" s="95" t="s">
        <v>119</v>
      </c>
      <c r="H17" s="96" t="s">
        <v>120</v>
      </c>
      <c r="I17" s="84" t="s">
        <v>121</v>
      </c>
      <c r="J17" s="48" t="s">
        <v>122</v>
      </c>
      <c r="K17" s="48" t="s">
        <v>123</v>
      </c>
      <c r="O17" s="87"/>
    </row>
    <row r="18" spans="2:15" ht="15" customHeight="1">
      <c r="B18" s="35" t="str">
        <f>IF(ISBLANK(C18),0,VLOOKUP(C18,Categorias!$A$4:$B$83,2,FALSE))</f>
        <v>P8060</v>
      </c>
      <c r="C18" s="786" t="s">
        <v>34</v>
      </c>
      <c r="D18" s="786"/>
      <c r="E18" s="786"/>
      <c r="F18" s="52">
        <v>0.25</v>
      </c>
      <c r="G18" s="677">
        <f>INDEX(Resumo[],MATCH($B$8,Resumo[Descrição dos Produtos],0),MATCH(C18,Resumo[#Headers],0))</f>
        <v>1</v>
      </c>
      <c r="H18" s="50">
        <f>F18*G18*$K$7</f>
        <v>1.75</v>
      </c>
      <c r="I18" s="678">
        <f t="shared" ref="I18:I22" si="0">H18*182.49</f>
        <v>319.35750000000002</v>
      </c>
      <c r="J18" s="51">
        <f>IF(ISBLANK(B18),0,VLOOKUP(B18,'TC 07-2023'!B:Z,25,TRUE)/182.49)</f>
        <v>207.71921749136939</v>
      </c>
      <c r="K18" s="33">
        <f t="shared" ref="K18:K22" si="1">J18*I18</f>
        <v>66336.69</v>
      </c>
    </row>
    <row r="19" spans="2:15" ht="15" customHeight="1">
      <c r="B19" s="35" t="str">
        <f>IF(ISBLANK(C19),0,VLOOKUP(C19,Categorias!$A$4:$B$83,2,FALSE))</f>
        <v>P8067</v>
      </c>
      <c r="C19" s="786" t="s">
        <v>41</v>
      </c>
      <c r="D19" s="786"/>
      <c r="E19" s="786"/>
      <c r="F19" s="52">
        <v>1</v>
      </c>
      <c r="G19" s="677">
        <f>INDEX(Resumo[],MATCH($B$8,Resumo[Descrição dos Produtos],0),MATCH(C19,Resumo[#Headers],0))</f>
        <v>1</v>
      </c>
      <c r="H19" s="50">
        <f t="shared" ref="H19:H22" si="2">F19*G19*$K$7</f>
        <v>7</v>
      </c>
      <c r="I19" s="678">
        <f t="shared" si="0"/>
        <v>1277.43</v>
      </c>
      <c r="J19" s="51">
        <f>IF(ISBLANK(B19),0,VLOOKUP(B19,'TC 07-2023'!B:Z,25,TRUE)/182.49)</f>
        <v>151.26779549564358</v>
      </c>
      <c r="K19" s="33">
        <f t="shared" si="1"/>
        <v>193234.02</v>
      </c>
    </row>
    <row r="20" spans="2:15" ht="15" customHeight="1">
      <c r="B20" s="35" t="str">
        <f>IF(ISBLANK(C20),0,VLOOKUP(C20,Categorias!$A$4:$B$83,2,FALSE))</f>
        <v>P8066</v>
      </c>
      <c r="C20" s="786" t="s">
        <v>40</v>
      </c>
      <c r="D20" s="786"/>
      <c r="E20" s="786"/>
      <c r="F20" s="52">
        <v>1</v>
      </c>
      <c r="G20" s="677">
        <f>INDEX(Resumo[],MATCH($B$8,Resumo[Descrição dos Produtos],0),MATCH(C20,Resumo[#Headers],0))</f>
        <v>1</v>
      </c>
      <c r="H20" s="50">
        <f t="shared" si="2"/>
        <v>7</v>
      </c>
      <c r="I20" s="678">
        <f t="shared" si="0"/>
        <v>1277.43</v>
      </c>
      <c r="J20" s="51">
        <f>IF(ISBLANK(B20),0,VLOOKUP(B20,'TC 07-2023'!B:Z,25,TRUE)/182.49)</f>
        <v>120.38555537289714</v>
      </c>
      <c r="K20" s="33">
        <f t="shared" si="1"/>
        <v>153784.12</v>
      </c>
    </row>
    <row r="21" spans="2:15" ht="15" customHeight="1">
      <c r="B21" s="35" t="str">
        <f>IF(ISBLANK(C21),0,VLOOKUP(C21,Categorias!$A$4:$B$83,2,FALSE))</f>
        <v>P8065</v>
      </c>
      <c r="C21" s="786" t="s">
        <v>39</v>
      </c>
      <c r="D21" s="786"/>
      <c r="E21" s="786"/>
      <c r="F21" s="52">
        <v>1</v>
      </c>
      <c r="G21" s="677">
        <f>INDEX(Resumo[],MATCH($B$8,Resumo[Descrição dos Produtos],0),MATCH(C21,Resumo[#Headers],0))</f>
        <v>1</v>
      </c>
      <c r="H21" s="50">
        <f t="shared" si="2"/>
        <v>7</v>
      </c>
      <c r="I21" s="678">
        <f t="shared" si="0"/>
        <v>1277.43</v>
      </c>
      <c r="J21" s="51">
        <f>IF(ISBLANK(B21),0,VLOOKUP(B21,'TC 07-2023'!B:Z,25,TRUE)/182.49)</f>
        <v>115.96701189106251</v>
      </c>
      <c r="K21" s="33">
        <f t="shared" si="1"/>
        <v>148139.74</v>
      </c>
    </row>
    <row r="22" spans="2:15" ht="15" customHeight="1">
      <c r="B22" s="35" t="str">
        <f>IF(ISBLANK(C22),0,VLOOKUP(C22,Categorias!$A$4:$B$83,2,FALSE))</f>
        <v>P8061</v>
      </c>
      <c r="C22" s="786" t="s">
        <v>35</v>
      </c>
      <c r="D22" s="786"/>
      <c r="E22" s="786"/>
      <c r="F22" s="52">
        <v>0.5</v>
      </c>
      <c r="G22" s="677">
        <f>INDEX(Resumo[],MATCH($B$8,Resumo[Descrição dos Produtos],0),MATCH(C22,Resumo[#Headers],0))</f>
        <v>1</v>
      </c>
      <c r="H22" s="50">
        <f t="shared" si="2"/>
        <v>3.5</v>
      </c>
      <c r="I22" s="678">
        <f t="shared" si="0"/>
        <v>638.71500000000003</v>
      </c>
      <c r="J22" s="51">
        <f>IF(ISBLANK(B22),0,VLOOKUP(B22,'TC 07-2023'!B:Z,25,TRUE)/182.49)</f>
        <v>174.03671434051179</v>
      </c>
      <c r="K22" s="33">
        <f t="shared" si="1"/>
        <v>111159.86</v>
      </c>
    </row>
    <row r="23" spans="2:15" ht="15" customHeight="1">
      <c r="B23" s="35"/>
      <c r="F23" s="679"/>
      <c r="H23" s="680"/>
      <c r="I23" s="54"/>
      <c r="J23" s="51"/>
      <c r="K23" s="33"/>
    </row>
    <row r="24" spans="2:15" ht="15" customHeight="1">
      <c r="B24" s="35"/>
      <c r="F24" s="679"/>
      <c r="H24" s="680"/>
      <c r="I24" s="54"/>
      <c r="J24" s="51"/>
      <c r="K24" s="33"/>
    </row>
    <row r="25" spans="2:15" ht="15" customHeight="1">
      <c r="B25" s="35" t="s">
        <v>344</v>
      </c>
      <c r="C25" s="6"/>
      <c r="D25" s="6"/>
      <c r="E25" s="6"/>
      <c r="F25" s="55"/>
      <c r="G25" s="6"/>
      <c r="H25" s="55"/>
      <c r="I25" s="56"/>
      <c r="J25" s="51"/>
      <c r="K25" s="40"/>
    </row>
    <row r="26" spans="2:15">
      <c r="B26" s="42" t="s">
        <v>124</v>
      </c>
      <c r="C26" s="43"/>
      <c r="D26" s="43"/>
      <c r="E26" s="43"/>
      <c r="F26" s="44"/>
      <c r="G26" s="44"/>
      <c r="H26" s="44"/>
      <c r="I26" s="44"/>
      <c r="J26" s="45"/>
      <c r="K26" s="46">
        <f>SUM(K18:K25)</f>
        <v>672654.42999999993</v>
      </c>
    </row>
    <row r="27" spans="2:15">
      <c r="B27" s="42" t="s">
        <v>125</v>
      </c>
      <c r="C27" s="43"/>
      <c r="D27" s="43"/>
      <c r="E27" s="481">
        <v>1</v>
      </c>
      <c r="F27" s="42" t="s">
        <v>126</v>
      </c>
      <c r="G27" s="43"/>
      <c r="H27" s="43"/>
      <c r="I27" s="43"/>
      <c r="J27" s="58"/>
      <c r="K27" s="46">
        <f>K26+K16</f>
        <v>680347.75217499991</v>
      </c>
    </row>
    <row r="28" spans="2:15">
      <c r="B28" s="42" t="s">
        <v>127</v>
      </c>
      <c r="C28" s="43"/>
      <c r="D28" s="43"/>
      <c r="E28" s="481"/>
      <c r="F28" s="42"/>
      <c r="G28" s="43"/>
      <c r="H28" s="43"/>
      <c r="I28" s="43"/>
      <c r="J28" s="58"/>
      <c r="K28" s="46">
        <f>K27/E27</f>
        <v>680347.75217499991</v>
      </c>
    </row>
    <row r="29" spans="2:15">
      <c r="B29" s="59"/>
      <c r="C29" s="43"/>
      <c r="D29" s="43"/>
      <c r="E29" s="43"/>
      <c r="F29" s="43"/>
      <c r="G29" s="43"/>
      <c r="H29" s="43"/>
      <c r="I29" s="43"/>
      <c r="J29" s="43"/>
      <c r="K29" s="58"/>
    </row>
    <row r="30" spans="2:15" ht="30">
      <c r="B30" s="777" t="s">
        <v>128</v>
      </c>
      <c r="C30" s="778"/>
      <c r="D30" s="778"/>
      <c r="E30" s="778"/>
      <c r="F30" s="778"/>
      <c r="G30" s="779"/>
      <c r="H30" s="60" t="s">
        <v>105</v>
      </c>
      <c r="I30" s="60" t="s">
        <v>129</v>
      </c>
      <c r="J30" s="61" t="s">
        <v>130</v>
      </c>
      <c r="K30" s="61" t="s">
        <v>131</v>
      </c>
    </row>
    <row r="31" spans="2:15">
      <c r="B31" s="35" t="s">
        <v>310</v>
      </c>
      <c r="C31" s="5" t="str">
        <f>VLOOKUP(B31,Mat.Info!$A:$F,2,FALSE)</f>
        <v>Sistema operacional e pacote office</v>
      </c>
      <c r="G31" s="8"/>
      <c r="H31" s="104" t="s">
        <v>316</v>
      </c>
      <c r="I31" s="104">
        <f>SUM($F$12:$F$15)</f>
        <v>4790.3625000000002</v>
      </c>
      <c r="J31" s="104">
        <f>VLOOKUP(B31,Mat.Info!$A:$F,6,FALSE)</f>
        <v>0.2286</v>
      </c>
      <c r="K31" s="32">
        <f>I31*J31</f>
        <v>1095.0768674999999</v>
      </c>
    </row>
    <row r="32" spans="2:15">
      <c r="B32" s="35" t="str">
        <f>Mat.Info!A3</f>
        <v>MT2557</v>
      </c>
      <c r="C32" s="5" t="str">
        <f>IF(B32="","",VLOOKUP(B32,Mat.Info!A2:F6,2,FALSE))</f>
        <v>Software CAD para MAC/Windows 64bits</v>
      </c>
      <c r="G32" s="8"/>
      <c r="H32" s="54" t="s">
        <v>316</v>
      </c>
      <c r="I32" s="54">
        <f>SUM($I$19:$I$21)</f>
        <v>3832.29</v>
      </c>
      <c r="J32" s="54">
        <f>VLOOKUP(B32,Mat.Info!$A:$F,6,FALSE)</f>
        <v>5.3840000000000003</v>
      </c>
      <c r="K32" s="33">
        <f>IF(B32="","",I32*J32)</f>
        <v>20633.049360000001</v>
      </c>
    </row>
    <row r="33" spans="2:11">
      <c r="B33" s="35"/>
      <c r="G33" s="8"/>
      <c r="H33" s="33"/>
      <c r="I33" s="33"/>
      <c r="J33" s="33"/>
      <c r="K33" s="33"/>
    </row>
    <row r="34" spans="2:11">
      <c r="B34" s="35"/>
      <c r="G34" s="8"/>
      <c r="H34" s="33"/>
      <c r="I34" s="33"/>
      <c r="J34" s="33"/>
      <c r="K34" s="33"/>
    </row>
    <row r="35" spans="2:11">
      <c r="B35" s="35"/>
      <c r="G35" s="8"/>
      <c r="H35" s="33"/>
      <c r="I35" s="33"/>
      <c r="J35" s="33"/>
      <c r="K35" s="33"/>
    </row>
    <row r="36" spans="2:11">
      <c r="B36" s="35"/>
      <c r="G36" s="8"/>
      <c r="H36" s="33"/>
      <c r="I36" s="33"/>
      <c r="J36" s="33"/>
      <c r="K36" s="33"/>
    </row>
    <row r="37" spans="2:11">
      <c r="B37" s="35"/>
      <c r="G37" s="8"/>
      <c r="H37" s="33"/>
      <c r="I37" s="33"/>
      <c r="J37" s="33"/>
      <c r="K37" s="33"/>
    </row>
    <row r="38" spans="2:11">
      <c r="B38" s="37"/>
      <c r="C38" s="6"/>
      <c r="D38" s="6"/>
      <c r="E38" s="6"/>
      <c r="F38" s="6"/>
      <c r="G38" s="38"/>
      <c r="H38" s="40"/>
      <c r="I38" s="40"/>
      <c r="J38" s="40"/>
      <c r="K38" s="40"/>
    </row>
    <row r="39" spans="2:11">
      <c r="B39" s="42" t="s">
        <v>132</v>
      </c>
      <c r="C39" s="43"/>
      <c r="D39" s="43"/>
      <c r="E39" s="43"/>
      <c r="F39" s="43"/>
      <c r="G39" s="43"/>
      <c r="H39" s="44"/>
      <c r="I39" s="44"/>
      <c r="J39" s="45"/>
      <c r="K39" s="46">
        <f>SUM(K31:K38)</f>
        <v>21728.126227500001</v>
      </c>
    </row>
    <row r="40" spans="2:11">
      <c r="B40" s="20" t="s">
        <v>133</v>
      </c>
      <c r="C40" s="62"/>
      <c r="D40" s="62"/>
      <c r="E40" s="62"/>
      <c r="F40" s="62"/>
      <c r="G40" s="62"/>
      <c r="H40" s="63"/>
      <c r="I40" s="60" t="s">
        <v>129</v>
      </c>
      <c r="J40" s="60" t="s">
        <v>134</v>
      </c>
      <c r="K40" s="60" t="s">
        <v>112</v>
      </c>
    </row>
    <row r="41" spans="2:11">
      <c r="B41" s="64"/>
      <c r="C41" s="65"/>
      <c r="D41" s="65"/>
      <c r="E41" s="65"/>
      <c r="F41" s="65"/>
      <c r="G41" s="65"/>
      <c r="H41" s="66"/>
      <c r="I41" s="67"/>
      <c r="J41" s="67" t="s">
        <v>135</v>
      </c>
      <c r="K41" s="67" t="s">
        <v>135</v>
      </c>
    </row>
    <row r="42" spans="2:11">
      <c r="B42" s="59"/>
      <c r="C42" s="43"/>
      <c r="D42" s="43"/>
      <c r="E42" s="43"/>
      <c r="F42" s="43"/>
      <c r="G42" s="43"/>
      <c r="H42" s="43"/>
      <c r="I42" s="43"/>
      <c r="J42" s="43"/>
      <c r="K42" s="58"/>
    </row>
    <row r="43" spans="2:11">
      <c r="B43" s="42" t="s">
        <v>136</v>
      </c>
      <c r="C43" s="43"/>
      <c r="D43" s="43"/>
      <c r="E43" s="43"/>
      <c r="F43" s="43"/>
      <c r="G43" s="43"/>
      <c r="H43" s="43"/>
      <c r="I43" s="43"/>
      <c r="J43" s="58"/>
      <c r="K43" s="4"/>
    </row>
    <row r="44" spans="2:11">
      <c r="B44" s="20" t="s">
        <v>137</v>
      </c>
      <c r="C44" s="68"/>
      <c r="D44" s="60" t="s">
        <v>129</v>
      </c>
      <c r="E44" s="780" t="s">
        <v>138</v>
      </c>
      <c r="F44" s="781"/>
      <c r="G44" s="782"/>
      <c r="H44" s="783" t="s">
        <v>130</v>
      </c>
      <c r="I44" s="784"/>
      <c r="J44" s="785"/>
      <c r="K44" s="60" t="s">
        <v>112</v>
      </c>
    </row>
    <row r="45" spans="2:11">
      <c r="B45" s="37"/>
      <c r="C45" s="6"/>
      <c r="D45" s="67"/>
      <c r="E45" s="24" t="s">
        <v>139</v>
      </c>
      <c r="F45" s="24" t="s">
        <v>140</v>
      </c>
      <c r="G45" s="24" t="s">
        <v>141</v>
      </c>
      <c r="H45" s="24" t="s">
        <v>139</v>
      </c>
      <c r="I45" s="24" t="s">
        <v>140</v>
      </c>
      <c r="J45" s="24" t="s">
        <v>141</v>
      </c>
      <c r="K45" s="67" t="s">
        <v>135</v>
      </c>
    </row>
    <row r="46" spans="2:11">
      <c r="B46" s="59"/>
      <c r="C46" s="43"/>
      <c r="D46" s="4"/>
      <c r="E46" s="4"/>
      <c r="F46" s="4"/>
      <c r="G46" s="4"/>
      <c r="H46" s="4"/>
      <c r="I46" s="4"/>
      <c r="J46" s="4"/>
      <c r="K46" s="46"/>
    </row>
    <row r="47" spans="2:11">
      <c r="B47" s="42" t="s">
        <v>142</v>
      </c>
      <c r="C47" s="43"/>
      <c r="D47" s="43"/>
      <c r="E47" s="43"/>
      <c r="F47" s="43"/>
      <c r="G47" s="43"/>
      <c r="H47" s="43"/>
      <c r="I47" s="43"/>
      <c r="J47" s="58"/>
      <c r="K47" s="46"/>
    </row>
    <row r="48" spans="2:11">
      <c r="B48" s="59"/>
      <c r="C48" s="43"/>
      <c r="D48" s="43"/>
      <c r="E48" s="43"/>
      <c r="F48" s="43"/>
      <c r="G48" s="43"/>
      <c r="H48" s="43"/>
      <c r="I48" s="43"/>
      <c r="J48" s="43"/>
      <c r="K48" s="45"/>
    </row>
    <row r="49" spans="2:11">
      <c r="B49" s="42" t="s">
        <v>143</v>
      </c>
      <c r="C49" s="69"/>
      <c r="D49" s="69"/>
      <c r="E49" s="69"/>
      <c r="F49" s="69"/>
      <c r="G49" s="69"/>
      <c r="H49" s="69"/>
      <c r="I49" s="69"/>
      <c r="J49" s="69"/>
      <c r="K49" s="70">
        <f>K47+K43+K39+K28</f>
        <v>702075.87840249995</v>
      </c>
    </row>
    <row r="50" spans="2:11">
      <c r="B50" s="42" t="s">
        <v>144</v>
      </c>
      <c r="C50" s="69"/>
      <c r="D50" s="69"/>
      <c r="E50" s="69"/>
      <c r="F50" s="69"/>
      <c r="G50" s="69"/>
      <c r="H50" s="69"/>
      <c r="I50" s="69"/>
      <c r="J50" s="71">
        <f ca="1">Dados!$C$10</f>
        <v>0.44790000000000002</v>
      </c>
      <c r="K50" s="70">
        <f ca="1">K49*J50</f>
        <v>314459.78593647975</v>
      </c>
    </row>
    <row r="51" spans="2:11">
      <c r="B51" s="59" t="s">
        <v>145</v>
      </c>
      <c r="C51" s="43"/>
      <c r="D51" s="43"/>
      <c r="E51" s="43"/>
      <c r="F51" s="43"/>
      <c r="G51" s="43"/>
      <c r="H51" s="43"/>
      <c r="I51" s="43"/>
      <c r="J51" s="43"/>
      <c r="K51" s="46">
        <f ca="1">K50+K49</f>
        <v>1016535.6643389796</v>
      </c>
    </row>
    <row r="53" spans="2:11" ht="4.5" customHeight="1"/>
  </sheetData>
  <mergeCells count="15">
    <mergeCell ref="B30:G30"/>
    <mergeCell ref="E44:G44"/>
    <mergeCell ref="H44:J44"/>
    <mergeCell ref="C13:E13"/>
    <mergeCell ref="C18:E18"/>
    <mergeCell ref="C19:E19"/>
    <mergeCell ref="C20:E20"/>
    <mergeCell ref="C21:E21"/>
    <mergeCell ref="C22:E22"/>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F28BB12-42D7-476D-9CE6-34050355E738}">
          <x14:formula1>
            <xm:f>Categorias!$A$4:$A$101</xm:f>
          </x14:formula1>
          <xm:sqref>C18:E22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8637-6422-40D5-ACC2-F450694F788F}">
  <sheetPr>
    <tabColor rgb="FF008080"/>
    <pageSetUpPr fitToPage="1"/>
  </sheetPr>
  <dimension ref="A1:O53"/>
  <sheetViews>
    <sheetView zoomScale="75" zoomScaleNormal="75" workbookViewId="0">
      <selection activeCell="G7" sqref="G7"/>
    </sheetView>
  </sheetViews>
  <sheetFormatPr defaultRowHeight="15"/>
  <cols>
    <col min="1" max="1" width="1" style="5" customWidth="1"/>
    <col min="2" max="2" width="12" style="5" customWidth="1"/>
    <col min="3" max="3" width="26.42578125" style="5" customWidth="1"/>
    <col min="4" max="4" width="11.28515625" style="5" customWidth="1"/>
    <col min="5" max="5" width="7.5703125" style="5" customWidth="1"/>
    <col min="6" max="9" width="9.5703125" style="5" customWidth="1"/>
    <col min="10" max="10" width="9.85546875" style="5" customWidth="1"/>
    <col min="11" max="11" width="13.28515625" style="5" customWidth="1"/>
    <col min="12" max="12" width="0.7109375" style="5" customWidth="1"/>
    <col min="13" max="14" width="9.140625" style="5"/>
    <col min="15" max="15" width="9.140625" style="53"/>
    <col min="16" max="16384" width="9.140625" style="5"/>
  </cols>
  <sheetData>
    <row r="1" spans="1:11" ht="4.5" customHeight="1">
      <c r="B1" s="6"/>
      <c r="C1" s="6"/>
      <c r="D1" s="6"/>
      <c r="E1" s="6"/>
      <c r="F1" s="6"/>
      <c r="G1" s="6"/>
      <c r="H1" s="6"/>
      <c r="I1" s="6"/>
      <c r="J1" s="6"/>
      <c r="K1" s="6"/>
    </row>
    <row r="2" spans="1:11">
      <c r="B2" s="672"/>
      <c r="C2" s="673"/>
      <c r="D2" s="673"/>
      <c r="E2" s="673"/>
      <c r="F2" s="673"/>
      <c r="G2" s="673"/>
      <c r="H2" s="673"/>
      <c r="I2" s="673"/>
      <c r="J2" s="673"/>
      <c r="K2" s="7"/>
    </row>
    <row r="3" spans="1:11">
      <c r="A3" s="8"/>
      <c r="B3" s="674"/>
      <c r="C3" s="9"/>
      <c r="D3" s="9"/>
      <c r="E3" s="9"/>
      <c r="F3" s="9"/>
      <c r="G3" s="9"/>
      <c r="H3" s="9"/>
      <c r="I3" s="9"/>
      <c r="J3" s="639" t="s">
        <v>99</v>
      </c>
      <c r="K3" s="11">
        <f>Dados!C9</f>
        <v>45108</v>
      </c>
    </row>
    <row r="4" spans="1:11">
      <c r="A4" s="8"/>
      <c r="B4" s="674"/>
      <c r="C4" s="9"/>
      <c r="D4" s="9"/>
      <c r="E4" s="9"/>
      <c r="F4" s="9"/>
      <c r="G4" s="9"/>
      <c r="H4" s="9"/>
      <c r="I4" s="9"/>
      <c r="J4" s="10"/>
      <c r="K4" s="12"/>
    </row>
    <row r="5" spans="1:11">
      <c r="A5" s="8"/>
      <c r="B5" s="674"/>
      <c r="C5" s="9"/>
      <c r="D5" s="9"/>
      <c r="E5" s="9"/>
      <c r="F5" s="9"/>
      <c r="G5" s="9"/>
      <c r="H5" s="9"/>
      <c r="I5" s="9"/>
      <c r="J5" s="10" t="s">
        <v>100</v>
      </c>
      <c r="K5" s="13" t="s">
        <v>101</v>
      </c>
    </row>
    <row r="6" spans="1:11">
      <c r="A6" s="8"/>
      <c r="B6" s="769" t="s">
        <v>102</v>
      </c>
      <c r="C6" s="770"/>
      <c r="D6" s="770"/>
      <c r="E6" s="770"/>
      <c r="F6" s="770"/>
      <c r="G6" s="770"/>
      <c r="H6" s="770"/>
      <c r="I6" s="770"/>
      <c r="J6" s="770"/>
      <c r="K6" s="771"/>
    </row>
    <row r="7" spans="1:11">
      <c r="B7" s="14" t="s">
        <v>103</v>
      </c>
      <c r="C7" s="15"/>
      <c r="D7" s="15"/>
      <c r="E7" s="15"/>
      <c r="F7" s="15"/>
      <c r="G7" s="15"/>
      <c r="H7" s="15"/>
      <c r="I7" s="15"/>
      <c r="J7" s="16" t="s">
        <v>104</v>
      </c>
      <c r="K7" s="94">
        <f>'Alocação MO'!D8</f>
        <v>7</v>
      </c>
    </row>
    <row r="8" spans="1:11">
      <c r="B8" s="772" t="str">
        <f>CONCATENATE("",'Alocação MO'!C8)</f>
        <v>Dimensão Operacional (EOP)</v>
      </c>
      <c r="C8" s="773"/>
      <c r="D8" s="773"/>
      <c r="E8" s="773"/>
      <c r="F8" s="773"/>
      <c r="G8" s="773"/>
      <c r="H8" s="773"/>
      <c r="I8" s="675"/>
      <c r="J8" s="675" t="s">
        <v>105</v>
      </c>
      <c r="K8" s="17" t="s">
        <v>106</v>
      </c>
    </row>
    <row r="9" spans="1:11">
      <c r="B9" s="772"/>
      <c r="C9" s="773"/>
      <c r="D9" s="773"/>
      <c r="E9" s="773"/>
      <c r="F9" s="774"/>
      <c r="G9" s="774"/>
      <c r="H9" s="774"/>
      <c r="I9" s="18"/>
      <c r="J9" s="18" t="s">
        <v>107</v>
      </c>
      <c r="K9" s="19"/>
    </row>
    <row r="10" spans="1:11">
      <c r="B10" s="20" t="s">
        <v>108</v>
      </c>
      <c r="C10" s="21"/>
      <c r="D10" s="22"/>
      <c r="E10" s="23"/>
      <c r="F10" s="775" t="s">
        <v>109</v>
      </c>
      <c r="G10" s="776" t="s">
        <v>110</v>
      </c>
      <c r="H10" s="776"/>
      <c r="I10" s="776" t="s">
        <v>111</v>
      </c>
      <c r="J10" s="776"/>
      <c r="K10" s="25" t="s">
        <v>112</v>
      </c>
    </row>
    <row r="11" spans="1:11">
      <c r="B11" s="26"/>
      <c r="C11" s="27"/>
      <c r="D11" s="28"/>
      <c r="E11" s="29"/>
      <c r="F11" s="775"/>
      <c r="G11" s="24" t="s">
        <v>113</v>
      </c>
      <c r="H11" s="24" t="s">
        <v>114</v>
      </c>
      <c r="I11" s="24" t="s">
        <v>113</v>
      </c>
      <c r="J11" s="24" t="s">
        <v>114</v>
      </c>
      <c r="K11" s="30" t="s">
        <v>115</v>
      </c>
    </row>
    <row r="12" spans="1:11" ht="32.25" customHeight="1">
      <c r="B12" s="31" t="s">
        <v>295</v>
      </c>
      <c r="C12" s="767" t="str">
        <f>VLOOKUP(B12,Equip.Info!A:L,2,FALSE)</f>
        <v>Desktop com monitor de 21", processador, placa de vídeo e memória compatíveis à CAD/SIG</v>
      </c>
      <c r="D12" s="767"/>
      <c r="E12" s="768"/>
      <c r="F12" s="650">
        <f>SUM(I18:I25)</f>
        <v>12135.585000000001</v>
      </c>
      <c r="G12" s="105">
        <v>1</v>
      </c>
      <c r="H12" s="105">
        <v>0</v>
      </c>
      <c r="I12" s="105">
        <f>VLOOKUP($B12,Equip.Info!$A:$L,11,FALSE)</f>
        <v>1.6060000000000001</v>
      </c>
      <c r="J12" s="105">
        <f>VLOOKUP($B12,Equip.Info!$A:$L,12,FALSE)</f>
        <v>1.0569999999999999</v>
      </c>
      <c r="K12" s="120">
        <f>F12*(G12*I12+H12*J12)</f>
        <v>19489.749510000001</v>
      </c>
    </row>
    <row r="13" spans="1:11" ht="29.25" customHeight="1">
      <c r="B13" s="31"/>
      <c r="C13" s="767"/>
      <c r="D13" s="767"/>
      <c r="E13" s="768"/>
      <c r="F13" s="106"/>
      <c r="G13" s="106"/>
      <c r="H13" s="106"/>
      <c r="I13" s="106"/>
      <c r="J13" s="106"/>
      <c r="K13" s="121"/>
    </row>
    <row r="14" spans="1:11" ht="20.100000000000001" customHeight="1">
      <c r="B14" s="35"/>
      <c r="E14" s="8"/>
      <c r="F14" s="36"/>
      <c r="G14" s="33"/>
      <c r="H14" s="33"/>
      <c r="I14" s="33"/>
      <c r="J14" s="33"/>
      <c r="K14" s="34"/>
    </row>
    <row r="15" spans="1:11" ht="20.100000000000001" customHeight="1">
      <c r="B15" s="37"/>
      <c r="C15" s="6"/>
      <c r="D15" s="6"/>
      <c r="E15" s="38"/>
      <c r="F15" s="39"/>
      <c r="G15" s="40"/>
      <c r="H15" s="40"/>
      <c r="I15" s="40"/>
      <c r="J15" s="40"/>
      <c r="K15" s="41"/>
    </row>
    <row r="16" spans="1:11">
      <c r="B16" s="42" t="s">
        <v>116</v>
      </c>
      <c r="C16" s="43"/>
      <c r="D16" s="43"/>
      <c r="E16" s="43"/>
      <c r="F16" s="43"/>
      <c r="G16" s="44"/>
      <c r="H16" s="44"/>
      <c r="I16" s="44"/>
      <c r="J16" s="45"/>
      <c r="K16" s="46">
        <f>K12+K13</f>
        <v>19489.749510000001</v>
      </c>
    </row>
    <row r="17" spans="2:15" s="49" customFormat="1" ht="45">
      <c r="B17" s="47" t="s">
        <v>117</v>
      </c>
      <c r="C17" s="83"/>
      <c r="D17" s="83"/>
      <c r="E17" s="83"/>
      <c r="F17" s="95" t="s">
        <v>118</v>
      </c>
      <c r="G17" s="95" t="s">
        <v>119</v>
      </c>
      <c r="H17" s="96" t="s">
        <v>120</v>
      </c>
      <c r="I17" s="84" t="s">
        <v>121</v>
      </c>
      <c r="J17" s="48" t="s">
        <v>122</v>
      </c>
      <c r="K17" s="48" t="s">
        <v>123</v>
      </c>
      <c r="O17" s="87"/>
    </row>
    <row r="18" spans="2:15" ht="15" customHeight="1">
      <c r="B18" s="35" t="str">
        <f>IF(ISBLANK(C18),0,VLOOKUP(C18,Categorias!$A$4:$B$83,2,FALSE))</f>
        <v>P8060</v>
      </c>
      <c r="C18" s="786" t="s">
        <v>34</v>
      </c>
      <c r="D18" s="786"/>
      <c r="E18" s="786"/>
      <c r="F18" s="52">
        <v>0.5</v>
      </c>
      <c r="G18" s="677">
        <f>INDEX(Resumo[],MATCH($B$8,Resumo[Descrição dos Produtos],0),MATCH(C18,Resumo[#Headers],0))</f>
        <v>1</v>
      </c>
      <c r="H18" s="50">
        <f>F18*G18*$K$7</f>
        <v>3.5</v>
      </c>
      <c r="I18" s="678">
        <f t="shared" ref="I18:I21" si="0">H18*182.49</f>
        <v>638.71500000000003</v>
      </c>
      <c r="J18" s="51">
        <f>IF(ISBLANK(B18),0,VLOOKUP(B18,'TC 07-2023'!B:Z,25,TRUE)/182.49)</f>
        <v>207.71921749136939</v>
      </c>
      <c r="K18" s="33">
        <f t="shared" ref="K18:K21" si="1">J18*I18</f>
        <v>132673.38</v>
      </c>
    </row>
    <row r="19" spans="2:15" ht="15" customHeight="1">
      <c r="B19" s="35" t="str">
        <f>IF(ISBLANK(C19),0,VLOOKUP(C19,Categorias!$A$4:$B$83,2,FALSE))</f>
        <v>P8067</v>
      </c>
      <c r="C19" s="786" t="s">
        <v>41</v>
      </c>
      <c r="D19" s="786"/>
      <c r="E19" s="786"/>
      <c r="F19" s="52">
        <v>1</v>
      </c>
      <c r="G19" s="677">
        <f>INDEX(Resumo[],MATCH($B$8,Resumo[Descrição dos Produtos],0),MATCH(C19,Resumo[#Headers],0))</f>
        <v>2</v>
      </c>
      <c r="H19" s="50">
        <f t="shared" ref="H19:H21" si="2">F19*G19*$K$7</f>
        <v>14</v>
      </c>
      <c r="I19" s="678">
        <f t="shared" si="0"/>
        <v>2554.86</v>
      </c>
      <c r="J19" s="51">
        <f>IF(ISBLANK(B19),0,VLOOKUP(B19,'TC 07-2023'!B:Z,25,TRUE)/182.49)</f>
        <v>151.26779549564358</v>
      </c>
      <c r="K19" s="33">
        <f t="shared" si="1"/>
        <v>386468.04</v>
      </c>
    </row>
    <row r="20" spans="2:15" ht="15" customHeight="1">
      <c r="B20" s="35" t="str">
        <f>IF(ISBLANK(C20),0,VLOOKUP(C20,Categorias!$A$4:$B$83,2,FALSE))</f>
        <v>P8066</v>
      </c>
      <c r="C20" s="786" t="s">
        <v>40</v>
      </c>
      <c r="D20" s="786"/>
      <c r="E20" s="786"/>
      <c r="F20" s="52">
        <v>1</v>
      </c>
      <c r="G20" s="677">
        <f>INDEX(Resumo[],MATCH($B$8,Resumo[Descrição dos Produtos],0),MATCH(C20,Resumo[#Headers],0))</f>
        <v>4</v>
      </c>
      <c r="H20" s="50">
        <f t="shared" si="2"/>
        <v>28</v>
      </c>
      <c r="I20" s="678">
        <f t="shared" si="0"/>
        <v>5109.72</v>
      </c>
      <c r="J20" s="51">
        <f>IF(ISBLANK(B20),0,VLOOKUP(B20,'TC 07-2023'!B:Z,25,TRUE)/182.49)</f>
        <v>120.38555537289714</v>
      </c>
      <c r="K20" s="33">
        <f t="shared" si="1"/>
        <v>615136.48</v>
      </c>
    </row>
    <row r="21" spans="2:15" ht="15" customHeight="1">
      <c r="B21" s="35" t="str">
        <f>IF(ISBLANK(C21),0,VLOOKUP(C21,Categorias!$A$4:$B$83,2,FALSE))</f>
        <v>P8065</v>
      </c>
      <c r="C21" s="786" t="s">
        <v>39</v>
      </c>
      <c r="D21" s="786"/>
      <c r="E21" s="786"/>
      <c r="F21" s="52">
        <v>1</v>
      </c>
      <c r="G21" s="677">
        <f>INDEX(Resumo[],MATCH($B$8,Resumo[Descrição dos Produtos],0),MATCH(C21,Resumo[#Headers],0))</f>
        <v>2</v>
      </c>
      <c r="H21" s="50">
        <f t="shared" si="2"/>
        <v>14</v>
      </c>
      <c r="I21" s="678">
        <f t="shared" si="0"/>
        <v>2554.86</v>
      </c>
      <c r="J21" s="51">
        <f>IF(ISBLANK(B21),0,VLOOKUP(B21,'TC 07-2023'!B:Z,25,TRUE)/182.49)</f>
        <v>115.96701189106251</v>
      </c>
      <c r="K21" s="33">
        <f t="shared" si="1"/>
        <v>296279.48</v>
      </c>
    </row>
    <row r="22" spans="2:15" ht="15" customHeight="1">
      <c r="B22" s="35" t="str">
        <f>IF(ISBLANK(C22),0,VLOOKUP(C22,Categorias!$A$4:$B$83,2,FALSE))</f>
        <v>P8061</v>
      </c>
      <c r="C22" s="786" t="s">
        <v>35</v>
      </c>
      <c r="D22" s="786"/>
      <c r="E22" s="786"/>
      <c r="F22" s="52">
        <v>1</v>
      </c>
      <c r="G22" s="677">
        <f>INDEX(Resumo[],MATCH($B$8,Resumo[Descrição dos Produtos],0),MATCH(C22,Resumo[#Headers],0))</f>
        <v>1</v>
      </c>
      <c r="H22" s="50">
        <f t="shared" ref="H22" si="3">F22*G22*$K$7</f>
        <v>7</v>
      </c>
      <c r="I22" s="678">
        <f t="shared" ref="I22" si="4">H22*182.49</f>
        <v>1277.43</v>
      </c>
      <c r="J22" s="51">
        <f>IF(ISBLANK(B22),0,VLOOKUP(B22,'TC 07-2023'!B:Z,25,TRUE)/182.49)</f>
        <v>174.03671434051179</v>
      </c>
      <c r="K22" s="33">
        <f t="shared" ref="K22" si="5">J22*I22</f>
        <v>222319.72</v>
      </c>
    </row>
    <row r="23" spans="2:15" ht="15" customHeight="1">
      <c r="B23" s="35"/>
      <c r="F23" s="679"/>
      <c r="H23" s="680"/>
      <c r="I23" s="54"/>
      <c r="J23" s="51"/>
      <c r="K23" s="33"/>
    </row>
    <row r="24" spans="2:15" ht="15" customHeight="1">
      <c r="B24" s="35"/>
      <c r="F24" s="679"/>
      <c r="H24" s="680"/>
      <c r="I24" s="54"/>
      <c r="J24" s="51"/>
      <c r="K24" s="33"/>
    </row>
    <row r="25" spans="2:15" ht="15" customHeight="1">
      <c r="B25" s="35" t="s">
        <v>344</v>
      </c>
      <c r="C25" s="6"/>
      <c r="D25" s="6"/>
      <c r="E25" s="6"/>
      <c r="F25" s="55"/>
      <c r="G25" s="6"/>
      <c r="H25" s="55"/>
      <c r="I25" s="56"/>
      <c r="J25" s="51"/>
      <c r="K25" s="40"/>
    </row>
    <row r="26" spans="2:15">
      <c r="B26" s="42" t="s">
        <v>124</v>
      </c>
      <c r="C26" s="43"/>
      <c r="D26" s="43"/>
      <c r="E26" s="43"/>
      <c r="F26" s="44"/>
      <c r="G26" s="44"/>
      <c r="H26" s="44"/>
      <c r="I26" s="44"/>
      <c r="J26" s="45"/>
      <c r="K26" s="46">
        <f>SUM(K18:K25)</f>
        <v>1652877.0999999999</v>
      </c>
    </row>
    <row r="27" spans="2:15">
      <c r="B27" s="42" t="s">
        <v>125</v>
      </c>
      <c r="C27" s="43"/>
      <c r="D27" s="43"/>
      <c r="E27" s="481">
        <v>1</v>
      </c>
      <c r="F27" s="42" t="s">
        <v>126</v>
      </c>
      <c r="G27" s="43"/>
      <c r="H27" s="43"/>
      <c r="I27" s="43"/>
      <c r="J27" s="58"/>
      <c r="K27" s="46">
        <f>K26+K16</f>
        <v>1672366.8495099999</v>
      </c>
    </row>
    <row r="28" spans="2:15">
      <c r="B28" s="42" t="s">
        <v>127</v>
      </c>
      <c r="C28" s="43"/>
      <c r="D28" s="43"/>
      <c r="E28" s="481"/>
      <c r="F28" s="42"/>
      <c r="G28" s="43"/>
      <c r="H28" s="43"/>
      <c r="I28" s="43"/>
      <c r="J28" s="58"/>
      <c r="K28" s="46">
        <f>K27/E27</f>
        <v>1672366.8495099999</v>
      </c>
    </row>
    <row r="29" spans="2:15">
      <c r="B29" s="59"/>
      <c r="C29" s="43"/>
      <c r="D29" s="43"/>
      <c r="E29" s="43"/>
      <c r="F29" s="43"/>
      <c r="G29" s="43"/>
      <c r="H29" s="43"/>
      <c r="I29" s="43"/>
      <c r="J29" s="43"/>
      <c r="K29" s="58"/>
    </row>
    <row r="30" spans="2:15" ht="30">
      <c r="B30" s="777" t="s">
        <v>128</v>
      </c>
      <c r="C30" s="778"/>
      <c r="D30" s="778"/>
      <c r="E30" s="778"/>
      <c r="F30" s="778"/>
      <c r="G30" s="779"/>
      <c r="H30" s="60" t="s">
        <v>105</v>
      </c>
      <c r="I30" s="60" t="s">
        <v>129</v>
      </c>
      <c r="J30" s="61" t="s">
        <v>130</v>
      </c>
      <c r="K30" s="61" t="s">
        <v>131</v>
      </c>
    </row>
    <row r="31" spans="2:15">
      <c r="B31" s="35" t="s">
        <v>310</v>
      </c>
      <c r="C31" s="5" t="str">
        <f>VLOOKUP(B31,Mat.Info!A1:F3,2,FALSE)</f>
        <v>Sistema operacional e pacote office</v>
      </c>
      <c r="G31" s="8"/>
      <c r="H31" s="104" t="s">
        <v>316</v>
      </c>
      <c r="I31" s="649">
        <f>SUM(F12:F15)</f>
        <v>12135.585000000001</v>
      </c>
      <c r="J31" s="104">
        <f>VLOOKUP(B31,Mat.Info!$A:$F,6,FALSE)</f>
        <v>0.2286</v>
      </c>
      <c r="K31" s="32">
        <f>I31*J31</f>
        <v>2774.194731</v>
      </c>
    </row>
    <row r="32" spans="2:15">
      <c r="B32" s="35"/>
      <c r="C32" s="5" t="str">
        <f>IF(B32="","",VLOOKUP(B32,Mat.Info!A2:F6,2,FALSE))</f>
        <v/>
      </c>
      <c r="G32" s="8"/>
      <c r="H32" s="54"/>
      <c r="I32" s="54"/>
      <c r="J32" s="54" t="str">
        <f>IF(B32="","",VLOOKUP(B32,Mat.Info!$A:$F,5,FALSE))</f>
        <v/>
      </c>
      <c r="K32" s="33" t="str">
        <f>IF(B32="","",I32*J32)</f>
        <v/>
      </c>
    </row>
    <row r="33" spans="2:11">
      <c r="B33" s="35"/>
      <c r="G33" s="8"/>
      <c r="H33" s="33"/>
      <c r="I33" s="33"/>
      <c r="J33" s="33"/>
      <c r="K33" s="33"/>
    </row>
    <row r="34" spans="2:11">
      <c r="B34" s="35"/>
      <c r="G34" s="8"/>
      <c r="H34" s="33"/>
      <c r="I34" s="33"/>
      <c r="J34" s="33"/>
      <c r="K34" s="33"/>
    </row>
    <row r="35" spans="2:11">
      <c r="B35" s="35"/>
      <c r="G35" s="8"/>
      <c r="H35" s="33"/>
      <c r="I35" s="33"/>
      <c r="J35" s="33"/>
      <c r="K35" s="33"/>
    </row>
    <row r="36" spans="2:11">
      <c r="B36" s="35"/>
      <c r="G36" s="8"/>
      <c r="H36" s="33"/>
      <c r="I36" s="33"/>
      <c r="J36" s="33"/>
      <c r="K36" s="33"/>
    </row>
    <row r="37" spans="2:11">
      <c r="B37" s="35"/>
      <c r="G37" s="8"/>
      <c r="H37" s="33"/>
      <c r="I37" s="33"/>
      <c r="J37" s="33"/>
      <c r="K37" s="33"/>
    </row>
    <row r="38" spans="2:11">
      <c r="B38" s="37"/>
      <c r="C38" s="6"/>
      <c r="D38" s="6"/>
      <c r="E38" s="6"/>
      <c r="F38" s="6"/>
      <c r="G38" s="38"/>
      <c r="H38" s="40"/>
      <c r="I38" s="40"/>
      <c r="J38" s="40"/>
      <c r="K38" s="40"/>
    </row>
    <row r="39" spans="2:11">
      <c r="B39" s="42" t="s">
        <v>132</v>
      </c>
      <c r="C39" s="43"/>
      <c r="D39" s="43"/>
      <c r="E39" s="43"/>
      <c r="F39" s="43"/>
      <c r="G39" s="43"/>
      <c r="H39" s="44"/>
      <c r="I39" s="44"/>
      <c r="J39" s="45"/>
      <c r="K39" s="46">
        <f>SUM(K31:K38)</f>
        <v>2774.194731</v>
      </c>
    </row>
    <row r="40" spans="2:11">
      <c r="B40" s="20" t="s">
        <v>133</v>
      </c>
      <c r="C40" s="62"/>
      <c r="D40" s="62"/>
      <c r="E40" s="62"/>
      <c r="F40" s="62"/>
      <c r="G40" s="62"/>
      <c r="H40" s="63"/>
      <c r="I40" s="60" t="s">
        <v>129</v>
      </c>
      <c r="J40" s="60" t="s">
        <v>134</v>
      </c>
      <c r="K40" s="60" t="s">
        <v>112</v>
      </c>
    </row>
    <row r="41" spans="2:11">
      <c r="B41" s="64"/>
      <c r="C41" s="65"/>
      <c r="D41" s="65"/>
      <c r="E41" s="65"/>
      <c r="F41" s="65"/>
      <c r="G41" s="65"/>
      <c r="H41" s="66"/>
      <c r="I41" s="67"/>
      <c r="J41" s="67" t="s">
        <v>135</v>
      </c>
      <c r="K41" s="67" t="s">
        <v>135</v>
      </c>
    </row>
    <row r="42" spans="2:11">
      <c r="B42" s="59"/>
      <c r="C42" s="43"/>
      <c r="D42" s="43"/>
      <c r="E42" s="43"/>
      <c r="F42" s="43"/>
      <c r="G42" s="43"/>
      <c r="H42" s="43"/>
      <c r="I42" s="43"/>
      <c r="J42" s="43"/>
      <c r="K42" s="58"/>
    </row>
    <row r="43" spans="2:11">
      <c r="B43" s="42" t="s">
        <v>136</v>
      </c>
      <c r="C43" s="43"/>
      <c r="D43" s="43"/>
      <c r="E43" s="43"/>
      <c r="F43" s="43"/>
      <c r="G43" s="43"/>
      <c r="H43" s="43"/>
      <c r="I43" s="43"/>
      <c r="J43" s="58"/>
      <c r="K43" s="4"/>
    </row>
    <row r="44" spans="2:11">
      <c r="B44" s="20" t="s">
        <v>137</v>
      </c>
      <c r="C44" s="68"/>
      <c r="D44" s="60" t="s">
        <v>129</v>
      </c>
      <c r="E44" s="780" t="s">
        <v>138</v>
      </c>
      <c r="F44" s="781"/>
      <c r="G44" s="782"/>
      <c r="H44" s="783" t="s">
        <v>130</v>
      </c>
      <c r="I44" s="784"/>
      <c r="J44" s="785"/>
      <c r="K44" s="60" t="s">
        <v>112</v>
      </c>
    </row>
    <row r="45" spans="2:11">
      <c r="B45" s="37"/>
      <c r="C45" s="6"/>
      <c r="D45" s="67"/>
      <c r="E45" s="24" t="s">
        <v>139</v>
      </c>
      <c r="F45" s="24" t="s">
        <v>140</v>
      </c>
      <c r="G45" s="24" t="s">
        <v>141</v>
      </c>
      <c r="H45" s="24" t="s">
        <v>139</v>
      </c>
      <c r="I45" s="24" t="s">
        <v>140</v>
      </c>
      <c r="J45" s="24" t="s">
        <v>141</v>
      </c>
      <c r="K45" s="67" t="s">
        <v>135</v>
      </c>
    </row>
    <row r="46" spans="2:11">
      <c r="B46" s="59"/>
      <c r="C46" s="43"/>
      <c r="D46" s="4"/>
      <c r="E46" s="4"/>
      <c r="F46" s="4"/>
      <c r="G46" s="4"/>
      <c r="H46" s="4"/>
      <c r="I46" s="4"/>
      <c r="J46" s="4"/>
      <c r="K46" s="46"/>
    </row>
    <row r="47" spans="2:11">
      <c r="B47" s="42" t="s">
        <v>142</v>
      </c>
      <c r="C47" s="43"/>
      <c r="D47" s="43"/>
      <c r="E47" s="43"/>
      <c r="F47" s="43"/>
      <c r="G47" s="43"/>
      <c r="H47" s="43"/>
      <c r="I47" s="43"/>
      <c r="J47" s="58"/>
      <c r="K47" s="46"/>
    </row>
    <row r="48" spans="2:11">
      <c r="B48" s="59"/>
      <c r="C48" s="43"/>
      <c r="D48" s="43"/>
      <c r="E48" s="43"/>
      <c r="F48" s="43"/>
      <c r="G48" s="43"/>
      <c r="H48" s="43"/>
      <c r="I48" s="43"/>
      <c r="J48" s="43"/>
      <c r="K48" s="45"/>
    </row>
    <row r="49" spans="2:11">
      <c r="B49" s="42" t="s">
        <v>143</v>
      </c>
      <c r="C49" s="69"/>
      <c r="D49" s="69"/>
      <c r="E49" s="69"/>
      <c r="F49" s="69"/>
      <c r="G49" s="69"/>
      <c r="H49" s="69"/>
      <c r="I49" s="69"/>
      <c r="J49" s="69"/>
      <c r="K49" s="70">
        <f>K47+K43+K39+K28</f>
        <v>1675141.044241</v>
      </c>
    </row>
    <row r="50" spans="2:11">
      <c r="B50" s="42" t="s">
        <v>144</v>
      </c>
      <c r="C50" s="69"/>
      <c r="D50" s="69"/>
      <c r="E50" s="69"/>
      <c r="F50" s="69"/>
      <c r="G50" s="69"/>
      <c r="H50" s="69"/>
      <c r="I50" s="69"/>
      <c r="J50" s="71">
        <f ca="1">Dados!$C$10</f>
        <v>0.44790000000000002</v>
      </c>
      <c r="K50" s="70">
        <f ca="1">K49*J50</f>
        <v>750295.67371554393</v>
      </c>
    </row>
    <row r="51" spans="2:11">
      <c r="B51" s="59" t="s">
        <v>145</v>
      </c>
      <c r="C51" s="43"/>
      <c r="D51" s="43"/>
      <c r="E51" s="43"/>
      <c r="F51" s="43"/>
      <c r="G51" s="43"/>
      <c r="H51" s="43"/>
      <c r="I51" s="43"/>
      <c r="J51" s="43"/>
      <c r="K51" s="46">
        <f ca="1">K50+K49</f>
        <v>2425436.7179565439</v>
      </c>
    </row>
    <row r="53" spans="2:11" ht="4.5" customHeight="1"/>
  </sheetData>
  <mergeCells count="15">
    <mergeCell ref="C12:E12"/>
    <mergeCell ref="C22:E22"/>
    <mergeCell ref="B6:K6"/>
    <mergeCell ref="B8:H9"/>
    <mergeCell ref="F10:F11"/>
    <mergeCell ref="G10:H10"/>
    <mergeCell ref="I10:J10"/>
    <mergeCell ref="E44:G44"/>
    <mergeCell ref="H44:J44"/>
    <mergeCell ref="C13:E13"/>
    <mergeCell ref="C18:E18"/>
    <mergeCell ref="C19:E19"/>
    <mergeCell ref="C20:E20"/>
    <mergeCell ref="C21:E21"/>
    <mergeCell ref="B30:G3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AFC5CC9-4F0D-4E00-A6F1-53C1521BE104}">
          <x14:formula1>
            <xm:f>Categorias!$A$4:$A$101</xm:f>
          </x14:formula1>
          <xm:sqref>C18:E22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80F51-9592-4EC8-A514-EC39E781F551}">
  <sheetPr>
    <tabColor rgb="FF008080"/>
    <pageSetUpPr fitToPage="1"/>
  </sheetPr>
  <dimension ref="A1:O53"/>
  <sheetViews>
    <sheetView zoomScale="75" zoomScaleNormal="75" workbookViewId="0">
      <selection activeCell="G7" sqref="G7"/>
    </sheetView>
  </sheetViews>
  <sheetFormatPr defaultRowHeight="15"/>
  <cols>
    <col min="1" max="1" width="1" style="5" customWidth="1"/>
    <col min="2" max="2" width="12" style="5" customWidth="1"/>
    <col min="3" max="3" width="26.42578125" style="5" customWidth="1"/>
    <col min="4" max="4" width="11.28515625" style="5" customWidth="1"/>
    <col min="5" max="5" width="7.5703125" style="5" customWidth="1"/>
    <col min="6" max="9" width="9.5703125" style="5" customWidth="1"/>
    <col min="10" max="10" width="9.85546875" style="5" customWidth="1"/>
    <col min="11" max="11" width="13.28515625" style="5" customWidth="1"/>
    <col min="12" max="12" width="0.7109375" style="5" customWidth="1"/>
    <col min="13" max="14" width="9.140625" style="5"/>
    <col min="15" max="15" width="9.140625" style="53"/>
    <col min="16" max="16384" width="9.140625" style="5"/>
  </cols>
  <sheetData>
    <row r="1" spans="1:11" ht="4.5" customHeight="1">
      <c r="B1" s="6"/>
      <c r="C1" s="6"/>
      <c r="D1" s="6"/>
      <c r="E1" s="6"/>
      <c r="F1" s="6"/>
      <c r="G1" s="6"/>
      <c r="H1" s="6"/>
      <c r="I1" s="6"/>
      <c r="J1" s="6"/>
      <c r="K1" s="6"/>
    </row>
    <row r="2" spans="1:11">
      <c r="B2" s="672"/>
      <c r="C2" s="673"/>
      <c r="D2" s="673"/>
      <c r="E2" s="673"/>
      <c r="F2" s="673"/>
      <c r="G2" s="673"/>
      <c r="H2" s="673"/>
      <c r="I2" s="673"/>
      <c r="J2" s="673"/>
      <c r="K2" s="7"/>
    </row>
    <row r="3" spans="1:11">
      <c r="A3" s="8"/>
      <c r="B3" s="674"/>
      <c r="C3" s="9"/>
      <c r="D3" s="9"/>
      <c r="E3" s="9"/>
      <c r="F3" s="9"/>
      <c r="G3" s="9"/>
      <c r="H3" s="9"/>
      <c r="I3" s="9"/>
      <c r="J3" s="639" t="s">
        <v>99</v>
      </c>
      <c r="K3" s="11">
        <f>Dados!C9</f>
        <v>45108</v>
      </c>
    </row>
    <row r="4" spans="1:11">
      <c r="A4" s="8"/>
      <c r="B4" s="674"/>
      <c r="C4" s="9"/>
      <c r="D4" s="9"/>
      <c r="E4" s="9"/>
      <c r="F4" s="9"/>
      <c r="G4" s="9"/>
      <c r="H4" s="9"/>
      <c r="I4" s="9"/>
      <c r="J4" s="10"/>
      <c r="K4" s="12"/>
    </row>
    <row r="5" spans="1:11">
      <c r="A5" s="8"/>
      <c r="B5" s="674"/>
      <c r="C5" s="9"/>
      <c r="D5" s="9"/>
      <c r="E5" s="9"/>
      <c r="F5" s="9"/>
      <c r="G5" s="9"/>
      <c r="H5" s="9"/>
      <c r="I5" s="9"/>
      <c r="J5" s="10" t="s">
        <v>100</v>
      </c>
      <c r="K5" s="13" t="s">
        <v>101</v>
      </c>
    </row>
    <row r="6" spans="1:11">
      <c r="A6" s="8"/>
      <c r="B6" s="769" t="s">
        <v>102</v>
      </c>
      <c r="C6" s="770"/>
      <c r="D6" s="770"/>
      <c r="E6" s="770"/>
      <c r="F6" s="770"/>
      <c r="G6" s="770"/>
      <c r="H6" s="770"/>
      <c r="I6" s="770"/>
      <c r="J6" s="770"/>
      <c r="K6" s="771"/>
    </row>
    <row r="7" spans="1:11">
      <c r="B7" s="14" t="s">
        <v>103</v>
      </c>
      <c r="C7" s="15"/>
      <c r="D7" s="15"/>
      <c r="E7" s="15"/>
      <c r="F7" s="15"/>
      <c r="G7" s="15"/>
      <c r="H7" s="15"/>
      <c r="I7" s="15"/>
      <c r="J7" s="16" t="s">
        <v>104</v>
      </c>
      <c r="K7" s="94">
        <f>'Alocação MO'!D9</f>
        <v>5</v>
      </c>
    </row>
    <row r="8" spans="1:11">
      <c r="B8" s="772" t="str">
        <f>CONCATENATE("",'Alocação MO'!C9)</f>
        <v>Dimensão Socioambiental (EMA)</v>
      </c>
      <c r="C8" s="773"/>
      <c r="D8" s="773"/>
      <c r="E8" s="773"/>
      <c r="F8" s="773"/>
      <c r="G8" s="773"/>
      <c r="H8" s="773"/>
      <c r="I8" s="675"/>
      <c r="J8" s="675" t="s">
        <v>105</v>
      </c>
      <c r="K8" s="17" t="s">
        <v>106</v>
      </c>
    </row>
    <row r="9" spans="1:11">
      <c r="B9" s="772"/>
      <c r="C9" s="773"/>
      <c r="D9" s="773"/>
      <c r="E9" s="773"/>
      <c r="F9" s="774"/>
      <c r="G9" s="774"/>
      <c r="H9" s="774"/>
      <c r="I9" s="18"/>
      <c r="J9" s="18" t="s">
        <v>107</v>
      </c>
      <c r="K9" s="19"/>
    </row>
    <row r="10" spans="1:11">
      <c r="B10" s="20" t="s">
        <v>108</v>
      </c>
      <c r="C10" s="21"/>
      <c r="D10" s="22"/>
      <c r="E10" s="23"/>
      <c r="F10" s="775" t="s">
        <v>109</v>
      </c>
      <c r="G10" s="776" t="s">
        <v>110</v>
      </c>
      <c r="H10" s="776"/>
      <c r="I10" s="776" t="s">
        <v>111</v>
      </c>
      <c r="J10" s="776"/>
      <c r="K10" s="25" t="s">
        <v>112</v>
      </c>
    </row>
    <row r="11" spans="1:11">
      <c r="B11" s="26"/>
      <c r="C11" s="27"/>
      <c r="D11" s="28"/>
      <c r="E11" s="29"/>
      <c r="F11" s="775"/>
      <c r="G11" s="24" t="s">
        <v>113</v>
      </c>
      <c r="H11" s="24" t="s">
        <v>114</v>
      </c>
      <c r="I11" s="24" t="s">
        <v>113</v>
      </c>
      <c r="J11" s="24" t="s">
        <v>114</v>
      </c>
      <c r="K11" s="30" t="s">
        <v>115</v>
      </c>
    </row>
    <row r="12" spans="1:11" ht="32.25" customHeight="1">
      <c r="B12" s="31" t="s">
        <v>295</v>
      </c>
      <c r="C12" s="767" t="str">
        <f>VLOOKUP(B12,Equip.Info!A:L,2,FALSE)</f>
        <v>Desktop com monitor de 21", processador, placa de vídeo e memória compatíveis à CAD/SIG</v>
      </c>
      <c r="D12" s="767"/>
      <c r="E12" s="768"/>
      <c r="F12" s="105">
        <f>SUM(I18:I23)</f>
        <v>5018.4749999999995</v>
      </c>
      <c r="G12" s="105">
        <v>1</v>
      </c>
      <c r="H12" s="105">
        <v>0</v>
      </c>
      <c r="I12" s="105">
        <f>VLOOKUP($B12,Equip.Info!$A:$L,11,FALSE)</f>
        <v>1.6060000000000001</v>
      </c>
      <c r="J12" s="105">
        <f>VLOOKUP($B12,Equip.Info!$A:$L,12,FALSE)</f>
        <v>1.0569999999999999</v>
      </c>
      <c r="K12" s="120">
        <f>F12*(G12*I12+H12*J12)</f>
        <v>8059.6708499999995</v>
      </c>
    </row>
    <row r="13" spans="1:11" ht="29.25" customHeight="1">
      <c r="B13" s="31" t="s">
        <v>297</v>
      </c>
      <c r="C13" s="767" t="str">
        <f>VLOOKUP(B13,Equip.Info!A:L,2,FALSE)</f>
        <v>Laptop 14" com processador, placa de vídeo e memória compatíveis à função CAD/SIG</v>
      </c>
      <c r="D13" s="767"/>
      <c r="E13" s="768"/>
      <c r="F13" s="106">
        <f>I24</f>
        <v>912.45</v>
      </c>
      <c r="G13" s="106">
        <v>1</v>
      </c>
      <c r="H13" s="106">
        <v>0</v>
      </c>
      <c r="I13" s="106">
        <f>VLOOKUP($B13,Equip.Info!$A:$L,11,FALSE)</f>
        <v>1.0773999999999999</v>
      </c>
      <c r="J13" s="106">
        <f>VLOOKUP($B13,Equip.Info!$A:$L,12,FALSE)</f>
        <v>0.70909999999999995</v>
      </c>
      <c r="K13" s="121">
        <f>F13*(G13*I13+H13*J13)</f>
        <v>983.07362999999998</v>
      </c>
    </row>
    <row r="14" spans="1:11" ht="20.100000000000001" customHeight="1">
      <c r="B14" s="35"/>
      <c r="E14" s="8"/>
      <c r="F14" s="36"/>
      <c r="G14" s="33"/>
      <c r="H14" s="33"/>
      <c r="I14" s="33"/>
      <c r="J14" s="33"/>
      <c r="K14" s="34"/>
    </row>
    <row r="15" spans="1:11" ht="20.100000000000001" customHeight="1">
      <c r="B15" s="37"/>
      <c r="C15" s="6"/>
      <c r="D15" s="6"/>
      <c r="E15" s="38"/>
      <c r="F15" s="39"/>
      <c r="G15" s="40"/>
      <c r="H15" s="40"/>
      <c r="I15" s="40"/>
      <c r="J15" s="40"/>
      <c r="K15" s="41"/>
    </row>
    <row r="16" spans="1:11">
      <c r="B16" s="42" t="s">
        <v>116</v>
      </c>
      <c r="C16" s="43"/>
      <c r="D16" s="43"/>
      <c r="E16" s="43"/>
      <c r="F16" s="43"/>
      <c r="G16" s="44"/>
      <c r="H16" s="44"/>
      <c r="I16" s="44"/>
      <c r="J16" s="45"/>
      <c r="K16" s="46">
        <f>K12+K13</f>
        <v>9042.7444799999994</v>
      </c>
    </row>
    <row r="17" spans="2:15" s="49" customFormat="1" ht="45">
      <c r="B17" s="47" t="s">
        <v>117</v>
      </c>
      <c r="C17" s="83"/>
      <c r="D17" s="83"/>
      <c r="E17" s="83"/>
      <c r="F17" s="95" t="s">
        <v>118</v>
      </c>
      <c r="G17" s="95" t="s">
        <v>119</v>
      </c>
      <c r="H17" s="96" t="s">
        <v>120</v>
      </c>
      <c r="I17" s="84" t="s">
        <v>121</v>
      </c>
      <c r="J17" s="48" t="s">
        <v>122</v>
      </c>
      <c r="K17" s="48" t="s">
        <v>123</v>
      </c>
      <c r="O17" s="87"/>
    </row>
    <row r="18" spans="2:15" ht="15" customHeight="1">
      <c r="B18" s="35" t="str">
        <f>IF(ISBLANK(C18),0,VLOOKUP(C18,Categorias!$A$4:$B$83,2,FALSE))</f>
        <v>P8044</v>
      </c>
      <c r="C18" s="786" t="s">
        <v>24</v>
      </c>
      <c r="D18" s="786"/>
      <c r="E18" s="786"/>
      <c r="F18" s="52">
        <v>0.5</v>
      </c>
      <c r="G18" s="677">
        <f>INDEX(Resumo[],MATCH($B$8,Resumo[Descrição dos Produtos],0),MATCH(C18,Resumo[#Headers],0))</f>
        <v>1</v>
      </c>
      <c r="H18" s="50">
        <f>F18*G18*$K$7</f>
        <v>2.5</v>
      </c>
      <c r="I18" s="678">
        <f t="shared" ref="I18:I20" si="0">H18*182.49</f>
        <v>456.22500000000002</v>
      </c>
      <c r="J18" s="51">
        <f>IF(ISBLANK(B18),0,VLOOKUP(B18,'TC 07-2023'!B:Z,25,TRUE)/182.49)</f>
        <v>172.51148008110033</v>
      </c>
      <c r="K18" s="33">
        <f t="shared" ref="K18:K20" si="1">J18*I18</f>
        <v>78704.05</v>
      </c>
    </row>
    <row r="19" spans="2:15" ht="15" customHeight="1">
      <c r="B19" s="35" t="str">
        <f>IF(ISBLANK(C19),0,VLOOKUP(C19,Categorias!$A$4:$B$83,2,FALSE))</f>
        <v>P8059</v>
      </c>
      <c r="C19" s="786" t="s">
        <v>33</v>
      </c>
      <c r="D19" s="786"/>
      <c r="E19" s="786"/>
      <c r="F19" s="52">
        <v>1</v>
      </c>
      <c r="G19" s="677">
        <f>INDEX(Resumo[],MATCH($B$8,Resumo[Descrição dos Produtos],0),MATCH(C19,Resumo[#Headers],0))</f>
        <v>1</v>
      </c>
      <c r="H19" s="50">
        <f t="shared" ref="H19:H20" si="2">F19*G19*$K$7</f>
        <v>5</v>
      </c>
      <c r="I19" s="678">
        <f t="shared" si="0"/>
        <v>912.45</v>
      </c>
      <c r="J19" s="51">
        <f>IF(ISBLANK(B19),0,VLOOKUP(B19,'TC 07-2023'!B:Z,25,TRUE)/182.49)</f>
        <v>139.25875390432353</v>
      </c>
      <c r="K19" s="33">
        <f t="shared" si="1"/>
        <v>127066.65000000001</v>
      </c>
    </row>
    <row r="20" spans="2:15" ht="15" customHeight="1">
      <c r="B20" s="35" t="str">
        <f>IF(ISBLANK(C20),0,VLOOKUP(C20,Categorias!$A$4:$B$83,2,FALSE))</f>
        <v>P8058</v>
      </c>
      <c r="C20" s="676" t="s">
        <v>32</v>
      </c>
      <c r="D20" s="676"/>
      <c r="E20" s="676"/>
      <c r="F20" s="52">
        <v>1</v>
      </c>
      <c r="G20" s="677">
        <f>INDEX(Resumo[],MATCH($B$8,Resumo[Descrição dos Produtos],0),MATCH(C20,Resumo[#Headers],0))</f>
        <v>1</v>
      </c>
      <c r="H20" s="50">
        <f t="shared" si="2"/>
        <v>5</v>
      </c>
      <c r="I20" s="678">
        <f t="shared" si="0"/>
        <v>912.45</v>
      </c>
      <c r="J20" s="51">
        <f>IF(ISBLANK(B20),0,VLOOKUP(B20,'TC 07-2023'!B:Z,25,TRUE)/182.49)</f>
        <v>116.50780864704915</v>
      </c>
      <c r="K20" s="33">
        <f t="shared" si="1"/>
        <v>106307.55</v>
      </c>
    </row>
    <row r="21" spans="2:15" ht="15" customHeight="1">
      <c r="B21" s="35" t="str">
        <f>IF(ISBLANK(C21),0,VLOOKUP(C21,Categorias!$A$4:$B$83,2,FALSE))</f>
        <v>P8057</v>
      </c>
      <c r="C21" s="676" t="s">
        <v>31</v>
      </c>
      <c r="D21" s="676"/>
      <c r="E21" s="676"/>
      <c r="F21" s="52">
        <v>1</v>
      </c>
      <c r="G21" s="677">
        <f>INDEX(Resumo[],MATCH($B$8,Resumo[Descrição dos Produtos],0),MATCH(C21,Resumo[#Headers],0))</f>
        <v>1</v>
      </c>
      <c r="H21" s="50">
        <f t="shared" ref="H21:H22" si="3">F21*G21*$K$7</f>
        <v>5</v>
      </c>
      <c r="I21" s="678">
        <f t="shared" ref="I21:I22" si="4">H21*182.49</f>
        <v>912.45</v>
      </c>
      <c r="J21" s="51">
        <f>IF(ISBLANK(B21),0,VLOOKUP(B21,'TC 07-2023'!B:Z,25,TRUE)/182.49)</f>
        <v>116.04657789467916</v>
      </c>
      <c r="K21" s="33">
        <f t="shared" ref="K21:K22" si="5">J21*I21</f>
        <v>105886.70000000001</v>
      </c>
    </row>
    <row r="22" spans="2:15" ht="15" customHeight="1">
      <c r="B22" s="35" t="str">
        <f>IF(ISBLANK(C22),0,VLOOKUP(C22,Categorias!$A$4:$B$83,2,FALSE))</f>
        <v>P8034</v>
      </c>
      <c r="C22" s="676" t="s">
        <v>19</v>
      </c>
      <c r="D22" s="676"/>
      <c r="E22" s="676"/>
      <c r="F22" s="52">
        <v>1</v>
      </c>
      <c r="G22" s="677">
        <f>INDEX(Resumo[],MATCH($B$8,Resumo[Descrição dos Produtos],0),MATCH(C22,Resumo[#Headers],0))</f>
        <v>1</v>
      </c>
      <c r="H22" s="50">
        <f t="shared" si="3"/>
        <v>5</v>
      </c>
      <c r="I22" s="678">
        <f t="shared" si="4"/>
        <v>912.45</v>
      </c>
      <c r="J22" s="51">
        <f>IF(ISBLANK(B22),0,VLOOKUP(B22,'TC 07-2023'!B:Z,25,TRUE)/182.49)</f>
        <v>78.792152994684642</v>
      </c>
      <c r="K22" s="33">
        <f t="shared" si="5"/>
        <v>71893.900000000009</v>
      </c>
    </row>
    <row r="23" spans="2:15" ht="15" customHeight="1">
      <c r="B23" s="35" t="str">
        <f>IF(ISBLANK(C23),0,VLOOKUP(C23,Categorias!$A$4:$B$83,2,FALSE))</f>
        <v>P8070</v>
      </c>
      <c r="C23" s="676" t="s">
        <v>44</v>
      </c>
      <c r="D23" s="676"/>
      <c r="E23" s="676"/>
      <c r="F23" s="52">
        <v>1</v>
      </c>
      <c r="G23" s="677">
        <f>INDEX(Resumo[],MATCH($B$8,Resumo[Descrição dos Produtos],0),MATCH(C23,Resumo[#Headers],0))</f>
        <v>1</v>
      </c>
      <c r="H23" s="50">
        <f t="shared" ref="H23" si="6">F23*G23*$K$7</f>
        <v>5</v>
      </c>
      <c r="I23" s="678">
        <f t="shared" ref="I23" si="7">H23*182.49</f>
        <v>912.45</v>
      </c>
      <c r="J23" s="51">
        <f>IF(ISBLANK(B23),0,VLOOKUP(B23,'TC 07-2023'!B:Z,25,TRUE)/182.49)</f>
        <v>141.49964381609951</v>
      </c>
      <c r="K23" s="33">
        <f t="shared" ref="K23" si="8">J23*I23</f>
        <v>129111.35</v>
      </c>
    </row>
    <row r="24" spans="2:15" ht="15" customHeight="1">
      <c r="B24" s="35" t="str">
        <f>IF(ISBLANK(C24),0,VLOOKUP(C24,Categorias!$A$4:$B$83,2,FALSE))</f>
        <v>P8021</v>
      </c>
      <c r="C24" s="676" t="s">
        <v>12</v>
      </c>
      <c r="D24" s="676"/>
      <c r="E24" s="676"/>
      <c r="F24" s="52">
        <v>1</v>
      </c>
      <c r="G24" s="677">
        <f>INDEX(Resumo[],MATCH($B$8,Resumo[Descrição dos Produtos],0),MATCH(C24,Resumo[#Headers],0))</f>
        <v>1</v>
      </c>
      <c r="H24" s="50">
        <f t="shared" ref="H24" si="9">F24*G24*$K$7</f>
        <v>5</v>
      </c>
      <c r="I24" s="678">
        <f t="shared" ref="I24" si="10">H24*182.49</f>
        <v>912.45</v>
      </c>
      <c r="J24" s="51">
        <f>IF(ISBLANK(B24),0,VLOOKUP(B24,'TC 07-2023'!B:Z,25,TRUE)/182.49)</f>
        <v>73.004438599375305</v>
      </c>
      <c r="K24" s="33">
        <f t="shared" ref="K24" si="11">J24*I24</f>
        <v>66612.899999999994</v>
      </c>
    </row>
    <row r="25" spans="2:15" ht="15" customHeight="1">
      <c r="B25" s="35" t="str">
        <f>IF(ISBLANK(C25),0,VLOOKUP(C25,Categorias!$A$4:$B$83,2,FALSE))</f>
        <v>P8020</v>
      </c>
      <c r="C25" s="676" t="s">
        <v>11</v>
      </c>
      <c r="D25" s="676"/>
      <c r="E25" s="676"/>
      <c r="F25" s="52">
        <v>1</v>
      </c>
      <c r="G25" s="677">
        <f>INDEX(Resumo[],MATCH($B$8,Resumo[Descrição dos Produtos],0),MATCH(C25,Resumo[#Headers],0))</f>
        <v>1</v>
      </c>
      <c r="H25" s="50">
        <f t="shared" ref="H25" si="12">F25*G25*$K$7</f>
        <v>5</v>
      </c>
      <c r="I25" s="678">
        <f t="shared" ref="I25" si="13">H25*182.49</f>
        <v>912.45</v>
      </c>
      <c r="J25" s="51">
        <f>IF(ISBLANK(B25),0,VLOOKUP(B25,'TC 07-2023'!B:Z,25,TRUE)/182.49)</f>
        <v>45.364896706668851</v>
      </c>
      <c r="K25" s="33">
        <f t="shared" ref="K25" si="14">J25*I25</f>
        <v>41393.199999999997</v>
      </c>
    </row>
    <row r="26" spans="2:15">
      <c r="B26" s="42" t="s">
        <v>124</v>
      </c>
      <c r="C26" s="43"/>
      <c r="D26" s="43"/>
      <c r="E26" s="43"/>
      <c r="F26" s="44"/>
      <c r="G26" s="44"/>
      <c r="H26" s="44"/>
      <c r="I26" s="44"/>
      <c r="J26" s="45"/>
      <c r="K26" s="46">
        <f>SUM(K18:K25)</f>
        <v>726976.3</v>
      </c>
    </row>
    <row r="27" spans="2:15">
      <c r="B27" s="42" t="s">
        <v>125</v>
      </c>
      <c r="C27" s="43"/>
      <c r="D27" s="43"/>
      <c r="E27" s="481">
        <v>1</v>
      </c>
      <c r="F27" s="42" t="s">
        <v>126</v>
      </c>
      <c r="G27" s="43"/>
      <c r="H27" s="43"/>
      <c r="I27" s="43"/>
      <c r="J27" s="58"/>
      <c r="K27" s="46">
        <f>K26+K16</f>
        <v>736019.04448000004</v>
      </c>
    </row>
    <row r="28" spans="2:15">
      <c r="B28" s="42" t="s">
        <v>127</v>
      </c>
      <c r="C28" s="43"/>
      <c r="D28" s="43"/>
      <c r="E28" s="481"/>
      <c r="F28" s="42"/>
      <c r="G28" s="43"/>
      <c r="H28" s="43"/>
      <c r="I28" s="43"/>
      <c r="J28" s="58"/>
      <c r="K28" s="46">
        <f>K27/E27</f>
        <v>736019.04448000004</v>
      </c>
    </row>
    <row r="29" spans="2:15">
      <c r="B29" s="59"/>
      <c r="C29" s="43"/>
      <c r="D29" s="43"/>
      <c r="E29" s="43"/>
      <c r="F29" s="43"/>
      <c r="G29" s="43"/>
      <c r="H29" s="43"/>
      <c r="I29" s="43"/>
      <c r="J29" s="43"/>
      <c r="K29" s="58"/>
    </row>
    <row r="30" spans="2:15" ht="30">
      <c r="B30" s="777" t="s">
        <v>128</v>
      </c>
      <c r="C30" s="778"/>
      <c r="D30" s="778"/>
      <c r="E30" s="778"/>
      <c r="F30" s="778"/>
      <c r="G30" s="779"/>
      <c r="H30" s="60" t="s">
        <v>105</v>
      </c>
      <c r="I30" s="60" t="s">
        <v>129</v>
      </c>
      <c r="J30" s="61" t="s">
        <v>130</v>
      </c>
      <c r="K30" s="61" t="s">
        <v>131</v>
      </c>
    </row>
    <row r="31" spans="2:15">
      <c r="B31" s="35" t="s">
        <v>310</v>
      </c>
      <c r="C31" s="5" t="str">
        <f>VLOOKUP(B31,Mat.Info!A1:F3,2,FALSE)</f>
        <v>Sistema operacional e pacote office</v>
      </c>
      <c r="G31" s="8"/>
      <c r="H31" s="104" t="s">
        <v>316</v>
      </c>
      <c r="I31" s="104">
        <f>SUM(F12:F15)</f>
        <v>5930.9249999999993</v>
      </c>
      <c r="J31" s="104">
        <f>VLOOKUP(B31,Mat.Info!$A:$F,6,FALSE)</f>
        <v>0.2286</v>
      </c>
      <c r="K31" s="32">
        <f>I31*J31</f>
        <v>1355.8094549999998</v>
      </c>
    </row>
    <row r="32" spans="2:15">
      <c r="B32" s="35" t="s">
        <v>321</v>
      </c>
      <c r="C32" s="5" t="str">
        <f>IF(B32="","",VLOOKUP(B32,Mat.Info!A2:F6,2,FALSE))</f>
        <v>Software SIG para MAC/Windows 64bits</v>
      </c>
      <c r="G32" s="8"/>
      <c r="H32" s="54" t="s">
        <v>316</v>
      </c>
      <c r="I32" s="54">
        <f>SUM($I$19:$I$21,I22:I23)</f>
        <v>4562.25</v>
      </c>
      <c r="J32" s="54">
        <f>VLOOKUP(B32,Mat.Info!$A:$F,6,FALSE)</f>
        <v>2.6442999999999999</v>
      </c>
      <c r="K32" s="33">
        <f>IF(B32="","",I32*J32)</f>
        <v>12063.957675</v>
      </c>
    </row>
    <row r="33" spans="2:11">
      <c r="B33" s="35"/>
      <c r="G33" s="8"/>
      <c r="H33" s="33"/>
      <c r="I33" s="33"/>
      <c r="J33" s="33"/>
      <c r="K33" s="33"/>
    </row>
    <row r="34" spans="2:11">
      <c r="B34" s="35"/>
      <c r="G34" s="8"/>
      <c r="H34" s="33"/>
      <c r="I34" s="33"/>
      <c r="J34" s="33"/>
      <c r="K34" s="33"/>
    </row>
    <row r="35" spans="2:11">
      <c r="B35" s="35"/>
      <c r="G35" s="8"/>
      <c r="H35" s="33"/>
      <c r="I35" s="33"/>
      <c r="J35" s="33"/>
      <c r="K35" s="33"/>
    </row>
    <row r="36" spans="2:11">
      <c r="B36" s="35"/>
      <c r="G36" s="8"/>
      <c r="H36" s="33"/>
      <c r="I36" s="33"/>
      <c r="J36" s="33"/>
      <c r="K36" s="33"/>
    </row>
    <row r="37" spans="2:11">
      <c r="B37" s="35"/>
      <c r="G37" s="8"/>
      <c r="H37" s="33"/>
      <c r="I37" s="33"/>
      <c r="J37" s="33"/>
      <c r="K37" s="33"/>
    </row>
    <row r="38" spans="2:11">
      <c r="B38" s="37"/>
      <c r="C38" s="6"/>
      <c r="D38" s="6"/>
      <c r="E38" s="6"/>
      <c r="F38" s="6"/>
      <c r="G38" s="38"/>
      <c r="H38" s="40"/>
      <c r="I38" s="40"/>
      <c r="J38" s="40"/>
      <c r="K38" s="40"/>
    </row>
    <row r="39" spans="2:11">
      <c r="B39" s="42" t="s">
        <v>132</v>
      </c>
      <c r="C39" s="43"/>
      <c r="D39" s="43"/>
      <c r="E39" s="43"/>
      <c r="F39" s="43"/>
      <c r="G39" s="43"/>
      <c r="H39" s="44"/>
      <c r="I39" s="44"/>
      <c r="J39" s="45"/>
      <c r="K39" s="46">
        <f>SUM(K31:K38)</f>
        <v>13419.76713</v>
      </c>
    </row>
    <row r="40" spans="2:11">
      <c r="B40" s="20" t="s">
        <v>133</v>
      </c>
      <c r="C40" s="62"/>
      <c r="D40" s="62"/>
      <c r="E40" s="62"/>
      <c r="F40" s="62"/>
      <c r="G40" s="62"/>
      <c r="H40" s="63"/>
      <c r="I40" s="60" t="s">
        <v>129</v>
      </c>
      <c r="J40" s="60" t="s">
        <v>134</v>
      </c>
      <c r="K40" s="60" t="s">
        <v>112</v>
      </c>
    </row>
    <row r="41" spans="2:11">
      <c r="B41" s="64"/>
      <c r="C41" s="65"/>
      <c r="D41" s="65"/>
      <c r="E41" s="65"/>
      <c r="F41" s="65"/>
      <c r="G41" s="65"/>
      <c r="H41" s="66"/>
      <c r="I41" s="67"/>
      <c r="J41" s="67" t="s">
        <v>135</v>
      </c>
      <c r="K41" s="67" t="s">
        <v>135</v>
      </c>
    </row>
    <row r="42" spans="2:11">
      <c r="B42" s="59"/>
      <c r="C42" s="43"/>
      <c r="D42" s="43"/>
      <c r="E42" s="43"/>
      <c r="F42" s="43"/>
      <c r="G42" s="43"/>
      <c r="H42" s="43"/>
      <c r="I42" s="43"/>
      <c r="J42" s="43"/>
      <c r="K42" s="58"/>
    </row>
    <row r="43" spans="2:11">
      <c r="B43" s="42" t="s">
        <v>136</v>
      </c>
      <c r="C43" s="43"/>
      <c r="D43" s="43"/>
      <c r="E43" s="43"/>
      <c r="F43" s="43"/>
      <c r="G43" s="43"/>
      <c r="H43" s="43"/>
      <c r="I43" s="43"/>
      <c r="J43" s="58"/>
      <c r="K43" s="4"/>
    </row>
    <row r="44" spans="2:11">
      <c r="B44" s="20" t="s">
        <v>137</v>
      </c>
      <c r="C44" s="68"/>
      <c r="D44" s="60" t="s">
        <v>129</v>
      </c>
      <c r="E44" s="780" t="s">
        <v>138</v>
      </c>
      <c r="F44" s="781"/>
      <c r="G44" s="782"/>
      <c r="H44" s="783" t="s">
        <v>130</v>
      </c>
      <c r="I44" s="784"/>
      <c r="J44" s="785"/>
      <c r="K44" s="60" t="s">
        <v>112</v>
      </c>
    </row>
    <row r="45" spans="2:11">
      <c r="B45" s="37"/>
      <c r="C45" s="6"/>
      <c r="D45" s="67"/>
      <c r="E45" s="24" t="s">
        <v>139</v>
      </c>
      <c r="F45" s="24" t="s">
        <v>140</v>
      </c>
      <c r="G45" s="24" t="s">
        <v>141</v>
      </c>
      <c r="H45" s="24" t="s">
        <v>139</v>
      </c>
      <c r="I45" s="24" t="s">
        <v>140</v>
      </c>
      <c r="J45" s="24" t="s">
        <v>141</v>
      </c>
      <c r="K45" s="67" t="s">
        <v>135</v>
      </c>
    </row>
    <row r="46" spans="2:11">
      <c r="B46" s="59"/>
      <c r="C46" s="43"/>
      <c r="D46" s="4"/>
      <c r="E46" s="4"/>
      <c r="F46" s="4"/>
      <c r="G46" s="4"/>
      <c r="H46" s="4"/>
      <c r="I46" s="4"/>
      <c r="J46" s="4"/>
      <c r="K46" s="46"/>
    </row>
    <row r="47" spans="2:11">
      <c r="B47" s="42" t="s">
        <v>142</v>
      </c>
      <c r="C47" s="43"/>
      <c r="D47" s="43"/>
      <c r="E47" s="43"/>
      <c r="F47" s="43"/>
      <c r="G47" s="43"/>
      <c r="H47" s="43"/>
      <c r="I47" s="43"/>
      <c r="J47" s="58"/>
      <c r="K47" s="46"/>
    </row>
    <row r="48" spans="2:11">
      <c r="B48" s="59"/>
      <c r="C48" s="43"/>
      <c r="D48" s="43"/>
      <c r="E48" s="43"/>
      <c r="F48" s="43"/>
      <c r="G48" s="43"/>
      <c r="H48" s="43"/>
      <c r="I48" s="43"/>
      <c r="J48" s="43"/>
      <c r="K48" s="45"/>
    </row>
    <row r="49" spans="2:11">
      <c r="B49" s="42" t="s">
        <v>143</v>
      </c>
      <c r="C49" s="69"/>
      <c r="D49" s="69"/>
      <c r="E49" s="69"/>
      <c r="F49" s="69"/>
      <c r="G49" s="69"/>
      <c r="H49" s="69"/>
      <c r="I49" s="69"/>
      <c r="J49" s="69"/>
      <c r="K49" s="70">
        <f>K47+K43+K39+K28</f>
        <v>749438.81161000009</v>
      </c>
    </row>
    <row r="50" spans="2:11">
      <c r="B50" s="42" t="s">
        <v>144</v>
      </c>
      <c r="C50" s="69"/>
      <c r="D50" s="69"/>
      <c r="E50" s="69"/>
      <c r="F50" s="69"/>
      <c r="G50" s="69"/>
      <c r="H50" s="69"/>
      <c r="I50" s="69"/>
      <c r="J50" s="71">
        <f ca="1">Dados!$C$10</f>
        <v>0.44790000000000002</v>
      </c>
      <c r="K50" s="70">
        <f ca="1">K49*J50</f>
        <v>335673.64372011903</v>
      </c>
    </row>
    <row r="51" spans="2:11">
      <c r="B51" s="59" t="s">
        <v>145</v>
      </c>
      <c r="C51" s="43"/>
      <c r="D51" s="43"/>
      <c r="E51" s="43"/>
      <c r="F51" s="43"/>
      <c r="G51" s="43"/>
      <c r="H51" s="43"/>
      <c r="I51" s="43"/>
      <c r="J51" s="43"/>
      <c r="K51" s="46">
        <f ca="1">K50+K49</f>
        <v>1085112.455330119</v>
      </c>
    </row>
    <row r="53" spans="2:11" ht="4.5" customHeight="1"/>
  </sheetData>
  <mergeCells count="12">
    <mergeCell ref="C12:E12"/>
    <mergeCell ref="B6:K6"/>
    <mergeCell ref="B8:H9"/>
    <mergeCell ref="F10:F11"/>
    <mergeCell ref="G10:H10"/>
    <mergeCell ref="I10:J10"/>
    <mergeCell ref="E44:G44"/>
    <mergeCell ref="H44:J44"/>
    <mergeCell ref="C13:E13"/>
    <mergeCell ref="C18:E18"/>
    <mergeCell ref="C19:E19"/>
    <mergeCell ref="B30:G3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5F86D45-E55E-4537-956C-C1A65CF01ECC}">
          <x14:formula1>
            <xm:f>Categorias!$A$4:$A$101</xm:f>
          </x14:formula1>
          <xm:sqref>C18:E25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03AEF-560A-47B4-A099-D29E0F5AF01B}">
  <sheetPr>
    <tabColor rgb="FF008080"/>
    <pageSetUpPr fitToPage="1"/>
  </sheetPr>
  <dimension ref="A1:O53"/>
  <sheetViews>
    <sheetView zoomScale="75" zoomScaleNormal="75" workbookViewId="0">
      <selection activeCell="G7" sqref="G7"/>
    </sheetView>
  </sheetViews>
  <sheetFormatPr defaultRowHeight="15"/>
  <cols>
    <col min="1" max="1" width="1" style="5" customWidth="1"/>
    <col min="2" max="2" width="12" style="5" customWidth="1"/>
    <col min="3" max="3" width="26.42578125" style="5" customWidth="1"/>
    <col min="4" max="4" width="11.28515625" style="5" customWidth="1"/>
    <col min="5" max="5" width="7.5703125" style="5" customWidth="1"/>
    <col min="6" max="9" width="9.5703125" style="5" customWidth="1"/>
    <col min="10" max="10" width="9.85546875" style="5" customWidth="1"/>
    <col min="11" max="11" width="13.28515625" style="5" customWidth="1"/>
    <col min="12" max="12" width="0.7109375" style="5" customWidth="1"/>
    <col min="13" max="14" width="9.140625" style="5"/>
    <col min="15" max="15" width="9.140625" style="53"/>
    <col min="16" max="16384" width="9.140625" style="5"/>
  </cols>
  <sheetData>
    <row r="1" spans="1:11" ht="4.5" customHeight="1">
      <c r="B1" s="6"/>
      <c r="C1" s="6"/>
      <c r="D1" s="6"/>
      <c r="E1" s="6"/>
      <c r="F1" s="6"/>
      <c r="G1" s="6"/>
      <c r="H1" s="6"/>
      <c r="I1" s="6"/>
      <c r="J1" s="6"/>
      <c r="K1" s="6"/>
    </row>
    <row r="2" spans="1:11">
      <c r="B2" s="672"/>
      <c r="C2" s="673"/>
      <c r="D2" s="673"/>
      <c r="E2" s="673"/>
      <c r="F2" s="673"/>
      <c r="G2" s="673"/>
      <c r="H2" s="673"/>
      <c r="I2" s="673"/>
      <c r="J2" s="673"/>
      <c r="K2" s="7"/>
    </row>
    <row r="3" spans="1:11">
      <c r="A3" s="8"/>
      <c r="B3" s="674"/>
      <c r="C3" s="9"/>
      <c r="D3" s="9"/>
      <c r="E3" s="9"/>
      <c r="F3" s="9"/>
      <c r="G3" s="9"/>
      <c r="H3" s="9"/>
      <c r="I3" s="9"/>
      <c r="J3" s="639" t="s">
        <v>99</v>
      </c>
      <c r="K3" s="11">
        <f>Dados!C9</f>
        <v>45108</v>
      </c>
    </row>
    <row r="4" spans="1:11">
      <c r="A4" s="8"/>
      <c r="B4" s="674"/>
      <c r="C4" s="9"/>
      <c r="D4" s="9"/>
      <c r="E4" s="9"/>
      <c r="F4" s="9"/>
      <c r="G4" s="9"/>
      <c r="H4" s="9"/>
      <c r="I4" s="9"/>
      <c r="J4" s="10"/>
      <c r="K4" s="12"/>
    </row>
    <row r="5" spans="1:11">
      <c r="A5" s="8"/>
      <c r="B5" s="674"/>
      <c r="C5" s="9"/>
      <c r="D5" s="9"/>
      <c r="E5" s="9"/>
      <c r="F5" s="9"/>
      <c r="G5" s="9"/>
      <c r="H5" s="9"/>
      <c r="I5" s="9"/>
      <c r="J5" s="10" t="s">
        <v>100</v>
      </c>
      <c r="K5" s="13" t="s">
        <v>101</v>
      </c>
    </row>
    <row r="6" spans="1:11">
      <c r="A6" s="8"/>
      <c r="B6" s="769" t="s">
        <v>102</v>
      </c>
      <c r="C6" s="770"/>
      <c r="D6" s="770"/>
      <c r="E6" s="770"/>
      <c r="F6" s="770"/>
      <c r="G6" s="770"/>
      <c r="H6" s="770"/>
      <c r="I6" s="770"/>
      <c r="J6" s="770"/>
      <c r="K6" s="771"/>
    </row>
    <row r="7" spans="1:11">
      <c r="B7" s="14" t="s">
        <v>103</v>
      </c>
      <c r="C7" s="15"/>
      <c r="D7" s="15"/>
      <c r="E7" s="15"/>
      <c r="F7" s="15"/>
      <c r="G7" s="15"/>
      <c r="H7" s="15"/>
      <c r="I7" s="15"/>
      <c r="J7" s="16" t="s">
        <v>104</v>
      </c>
      <c r="K7" s="94">
        <f>'Alocação MO'!D10</f>
        <v>5</v>
      </c>
    </row>
    <row r="8" spans="1:11">
      <c r="B8" s="772" t="str">
        <f>CONCATENATE("",'Alocação MO'!C10)</f>
        <v>Dimensão Econômico-Financeira (MEF)</v>
      </c>
      <c r="C8" s="773"/>
      <c r="D8" s="773"/>
      <c r="E8" s="773"/>
      <c r="F8" s="773"/>
      <c r="G8" s="773"/>
      <c r="H8" s="773"/>
      <c r="I8" s="675"/>
      <c r="J8" s="675" t="s">
        <v>105</v>
      </c>
      <c r="K8" s="17" t="s">
        <v>106</v>
      </c>
    </row>
    <row r="9" spans="1:11">
      <c r="B9" s="772"/>
      <c r="C9" s="773"/>
      <c r="D9" s="773"/>
      <c r="E9" s="773"/>
      <c r="F9" s="774"/>
      <c r="G9" s="774"/>
      <c r="H9" s="774"/>
      <c r="I9" s="18"/>
      <c r="J9" s="18" t="s">
        <v>107</v>
      </c>
      <c r="K9" s="19"/>
    </row>
    <row r="10" spans="1:11">
      <c r="B10" s="20" t="s">
        <v>108</v>
      </c>
      <c r="C10" s="21"/>
      <c r="D10" s="22"/>
      <c r="E10" s="23"/>
      <c r="F10" s="775" t="s">
        <v>109</v>
      </c>
      <c r="G10" s="776" t="s">
        <v>110</v>
      </c>
      <c r="H10" s="776"/>
      <c r="I10" s="776" t="s">
        <v>111</v>
      </c>
      <c r="J10" s="776"/>
      <c r="K10" s="25" t="s">
        <v>112</v>
      </c>
    </row>
    <row r="11" spans="1:11">
      <c r="B11" s="26"/>
      <c r="C11" s="27"/>
      <c r="D11" s="28"/>
      <c r="E11" s="29"/>
      <c r="F11" s="775"/>
      <c r="G11" s="24" t="s">
        <v>113</v>
      </c>
      <c r="H11" s="24" t="s">
        <v>114</v>
      </c>
      <c r="I11" s="24" t="s">
        <v>113</v>
      </c>
      <c r="J11" s="24" t="s">
        <v>114</v>
      </c>
      <c r="K11" s="30" t="s">
        <v>115</v>
      </c>
    </row>
    <row r="12" spans="1:11" ht="32.25" customHeight="1">
      <c r="B12" s="31" t="s">
        <v>297</v>
      </c>
      <c r="C12" s="767" t="str">
        <f>VLOOKUP(B12,Equip.Info!A:L,2,FALSE)</f>
        <v>Laptop 14" com processador, placa de vídeo e memória compatíveis à função CAD/SIG</v>
      </c>
      <c r="D12" s="767"/>
      <c r="E12" s="768"/>
      <c r="F12" s="105">
        <f>SUM(I18:I25)</f>
        <v>3649.8</v>
      </c>
      <c r="G12" s="105">
        <v>1</v>
      </c>
      <c r="H12" s="105">
        <v>0</v>
      </c>
      <c r="I12" s="105">
        <f>VLOOKUP($B12,Equip.Info!$A:$L,11,FALSE)</f>
        <v>1.0773999999999999</v>
      </c>
      <c r="J12" s="105">
        <f>VLOOKUP($B12,Equip.Info!$A:$L,12,FALSE)</f>
        <v>0.70909999999999995</v>
      </c>
      <c r="K12" s="120">
        <f>F12*(G12*I12+H12*J12)</f>
        <v>3932.2945199999999</v>
      </c>
    </row>
    <row r="13" spans="1:11" ht="29.25" customHeight="1">
      <c r="B13" s="31"/>
      <c r="C13" s="767"/>
      <c r="D13" s="767"/>
      <c r="E13" s="768"/>
      <c r="F13" s="106"/>
      <c r="G13" s="106"/>
      <c r="H13" s="106"/>
      <c r="I13" s="106"/>
      <c r="J13" s="106"/>
      <c r="K13" s="121"/>
    </row>
    <row r="14" spans="1:11" ht="20.100000000000001" customHeight="1">
      <c r="B14" s="35"/>
      <c r="E14" s="8"/>
      <c r="F14" s="36"/>
      <c r="G14" s="33"/>
      <c r="H14" s="33"/>
      <c r="I14" s="33"/>
      <c r="J14" s="33"/>
      <c r="K14" s="34"/>
    </row>
    <row r="15" spans="1:11" ht="20.100000000000001" customHeight="1">
      <c r="B15" s="37"/>
      <c r="C15" s="6"/>
      <c r="D15" s="6"/>
      <c r="E15" s="38"/>
      <c r="F15" s="39"/>
      <c r="G15" s="40"/>
      <c r="H15" s="40"/>
      <c r="I15" s="40"/>
      <c r="J15" s="40"/>
      <c r="K15" s="41"/>
    </row>
    <row r="16" spans="1:11">
      <c r="B16" s="42" t="s">
        <v>116</v>
      </c>
      <c r="C16" s="43"/>
      <c r="D16" s="43"/>
      <c r="E16" s="43"/>
      <c r="F16" s="43"/>
      <c r="G16" s="44"/>
      <c r="H16" s="44"/>
      <c r="I16" s="44"/>
      <c r="J16" s="45"/>
      <c r="K16" s="46">
        <f>K12+K13</f>
        <v>3932.2945199999999</v>
      </c>
    </row>
    <row r="17" spans="2:15" s="49" customFormat="1" ht="45">
      <c r="B17" s="47" t="s">
        <v>117</v>
      </c>
      <c r="C17" s="83"/>
      <c r="D17" s="83"/>
      <c r="E17" s="83"/>
      <c r="F17" s="95" t="s">
        <v>118</v>
      </c>
      <c r="G17" s="95" t="s">
        <v>119</v>
      </c>
      <c r="H17" s="96" t="s">
        <v>120</v>
      </c>
      <c r="I17" s="84" t="s">
        <v>121</v>
      </c>
      <c r="J17" s="48" t="s">
        <v>122</v>
      </c>
      <c r="K17" s="48" t="s">
        <v>123</v>
      </c>
      <c r="O17" s="87"/>
    </row>
    <row r="18" spans="2:15" ht="15" customHeight="1">
      <c r="B18" s="35" t="str">
        <f>IF(ISBLANK(C18),0,VLOOKUP(C18,Categorias!$A$4:$B$83,2,FALSE))</f>
        <v>P8047</v>
      </c>
      <c r="C18" s="786" t="s">
        <v>27</v>
      </c>
      <c r="D18" s="786"/>
      <c r="E18" s="786"/>
      <c r="F18" s="52">
        <v>1</v>
      </c>
      <c r="G18" s="677">
        <f>INDEX(Resumo[],MATCH($B$8,Resumo[Descrição dos Produtos],0),MATCH(C18,Resumo[#Headers],0))</f>
        <v>1</v>
      </c>
      <c r="H18" s="50">
        <f>F18*G18*$K$7</f>
        <v>5</v>
      </c>
      <c r="I18" s="678">
        <f t="shared" ref="I18:I20" si="0">H18*182.49</f>
        <v>912.45</v>
      </c>
      <c r="J18" s="51">
        <f>IF(ISBLANK(B18),0,VLOOKUP(B18,'TC 07-2023'!B:Z,25,TRUE)/182.49)</f>
        <v>108.82941531042796</v>
      </c>
      <c r="K18" s="33">
        <f t="shared" ref="K18:K20" si="1">J18*I18</f>
        <v>99301.4</v>
      </c>
    </row>
    <row r="19" spans="2:15" ht="15" customHeight="1">
      <c r="B19" s="35" t="str">
        <f>IF(ISBLANK(C19),0,VLOOKUP(C19,Categorias!$A$4:$B$83,2,FALSE))</f>
        <v>P8046</v>
      </c>
      <c r="C19" s="786" t="s">
        <v>26</v>
      </c>
      <c r="D19" s="786"/>
      <c r="E19" s="786"/>
      <c r="F19" s="52">
        <v>1</v>
      </c>
      <c r="G19" s="677">
        <f>INDEX(Resumo[],MATCH($B$8,Resumo[Descrição dos Produtos],0),MATCH(C19,Resumo[#Headers],0))</f>
        <v>1</v>
      </c>
      <c r="H19" s="50">
        <f t="shared" ref="H19" si="2">F19*G19*$K$7</f>
        <v>5</v>
      </c>
      <c r="I19" s="678">
        <f t="shared" si="0"/>
        <v>912.45</v>
      </c>
      <c r="J19" s="51">
        <f>IF(ISBLANK(B19),0,VLOOKUP(B19,'TC 07-2023'!B:Z,25,TRUE)/182.49)</f>
        <v>66.089758342922892</v>
      </c>
      <c r="K19" s="33">
        <f t="shared" si="1"/>
        <v>60303.6</v>
      </c>
    </row>
    <row r="20" spans="2:15" ht="15" customHeight="1">
      <c r="B20" s="35" t="str">
        <f>IF(ISBLANK(C20),0,VLOOKUP(C20,Categorias!$A$4:$B$83,2,FALSE))</f>
        <v>P8045</v>
      </c>
      <c r="C20" s="786" t="s">
        <v>25</v>
      </c>
      <c r="D20" s="786"/>
      <c r="E20" s="786"/>
      <c r="F20" s="52">
        <v>1</v>
      </c>
      <c r="G20" s="677">
        <f>INDEX(Resumo[],MATCH($B$8,Resumo[Descrição dos Produtos],0),MATCH(C20,Resumo[#Headers],0))</f>
        <v>1</v>
      </c>
      <c r="H20" s="50">
        <f t="shared" ref="H20" si="3">F20*G20*$K$7</f>
        <v>5</v>
      </c>
      <c r="I20" s="678">
        <f t="shared" si="0"/>
        <v>912.45</v>
      </c>
      <c r="J20" s="51">
        <f>IF(ISBLANK(B20),0,VLOOKUP(B20,'TC 07-2023'!B:Z,25,TRUE)/182.49)</f>
        <v>50.939777522055998</v>
      </c>
      <c r="K20" s="33">
        <f t="shared" si="1"/>
        <v>46480</v>
      </c>
    </row>
    <row r="21" spans="2:15" ht="15" customHeight="1">
      <c r="B21" s="35" t="str">
        <f>IF(ISBLANK(C21),0,VLOOKUP(C21,Categorias!$A$4:$B$83,2,FALSE))</f>
        <v>P8042</v>
      </c>
      <c r="C21" s="786" t="s">
        <v>23</v>
      </c>
      <c r="D21" s="786"/>
      <c r="E21" s="786"/>
      <c r="F21" s="52">
        <v>1</v>
      </c>
      <c r="G21" s="677">
        <f>INDEX(Resumo[],MATCH($B$8,Resumo[Descrição dos Produtos],0),MATCH(C21,Resumo[#Headers],0))</f>
        <v>1</v>
      </c>
      <c r="H21" s="50">
        <f t="shared" ref="H21" si="4">F21*G21*$K$7</f>
        <v>5</v>
      </c>
      <c r="I21" s="678">
        <f t="shared" ref="I21" si="5">H21*182.49</f>
        <v>912.45</v>
      </c>
      <c r="J21" s="51">
        <f>IF(ISBLANK(B21),0,VLOOKUP(B21,'TC 07-2023'!B:Z,25,TRUE)/182.49)</f>
        <v>105.8051948051948</v>
      </c>
      <c r="K21" s="33">
        <f t="shared" ref="K21" si="6">J21*I21</f>
        <v>96541.95</v>
      </c>
    </row>
    <row r="22" spans="2:15" ht="15" customHeight="1">
      <c r="B22" s="35"/>
      <c r="C22" s="786"/>
      <c r="D22" s="786"/>
      <c r="E22" s="786"/>
      <c r="F22" s="52"/>
      <c r="G22" s="677"/>
      <c r="H22" s="50"/>
      <c r="I22" s="678"/>
      <c r="J22" s="51"/>
      <c r="K22" s="33"/>
    </row>
    <row r="23" spans="2:15" ht="15" customHeight="1">
      <c r="B23" s="35"/>
      <c r="F23" s="679"/>
      <c r="H23" s="680"/>
      <c r="I23" s="54"/>
      <c r="J23" s="51"/>
      <c r="K23" s="33"/>
    </row>
    <row r="24" spans="2:15" ht="15" customHeight="1">
      <c r="B24" s="35"/>
      <c r="F24" s="679"/>
      <c r="H24" s="680"/>
      <c r="I24" s="54"/>
      <c r="J24" s="51"/>
      <c r="K24" s="33"/>
    </row>
    <row r="25" spans="2:15" ht="15" customHeight="1">
      <c r="B25" s="35" t="s">
        <v>344</v>
      </c>
      <c r="C25" s="6"/>
      <c r="D25" s="6"/>
      <c r="E25" s="6"/>
      <c r="F25" s="55"/>
      <c r="G25" s="6"/>
      <c r="H25" s="55"/>
      <c r="I25" s="56"/>
      <c r="J25" s="51"/>
      <c r="K25" s="40"/>
    </row>
    <row r="26" spans="2:15">
      <c r="B26" s="42" t="s">
        <v>124</v>
      </c>
      <c r="C26" s="43"/>
      <c r="D26" s="43"/>
      <c r="E26" s="43"/>
      <c r="F26" s="44"/>
      <c r="G26" s="44"/>
      <c r="H26" s="44"/>
      <c r="I26" s="44"/>
      <c r="J26" s="45"/>
      <c r="K26" s="46">
        <f>SUM(K18:K25)</f>
        <v>302626.95</v>
      </c>
    </row>
    <row r="27" spans="2:15">
      <c r="B27" s="42" t="s">
        <v>125</v>
      </c>
      <c r="C27" s="43"/>
      <c r="D27" s="43"/>
      <c r="E27" s="481">
        <v>1</v>
      </c>
      <c r="F27" s="42" t="s">
        <v>126</v>
      </c>
      <c r="G27" s="43"/>
      <c r="H27" s="43"/>
      <c r="I27" s="43"/>
      <c r="J27" s="58"/>
      <c r="K27" s="46">
        <f>K26+K16</f>
        <v>306559.24452000001</v>
      </c>
    </row>
    <row r="28" spans="2:15">
      <c r="B28" s="42" t="s">
        <v>127</v>
      </c>
      <c r="C28" s="43"/>
      <c r="D28" s="43"/>
      <c r="E28" s="481"/>
      <c r="F28" s="42"/>
      <c r="G28" s="43"/>
      <c r="H28" s="43"/>
      <c r="I28" s="43"/>
      <c r="J28" s="58"/>
      <c r="K28" s="46">
        <f>K27/E27</f>
        <v>306559.24452000001</v>
      </c>
    </row>
    <row r="29" spans="2:15">
      <c r="B29" s="59"/>
      <c r="C29" s="43"/>
      <c r="D29" s="43"/>
      <c r="E29" s="43"/>
      <c r="F29" s="43"/>
      <c r="G29" s="43"/>
      <c r="H29" s="43"/>
      <c r="I29" s="43"/>
      <c r="J29" s="43"/>
      <c r="K29" s="58"/>
    </row>
    <row r="30" spans="2:15" ht="30">
      <c r="B30" s="777" t="s">
        <v>128</v>
      </c>
      <c r="C30" s="778"/>
      <c r="D30" s="778"/>
      <c r="E30" s="778"/>
      <c r="F30" s="778"/>
      <c r="G30" s="779"/>
      <c r="H30" s="60" t="s">
        <v>105</v>
      </c>
      <c r="I30" s="60" t="s">
        <v>129</v>
      </c>
      <c r="J30" s="61" t="s">
        <v>130</v>
      </c>
      <c r="K30" s="61" t="s">
        <v>131</v>
      </c>
    </row>
    <row r="31" spans="2:15">
      <c r="B31" s="35" t="s">
        <v>310</v>
      </c>
      <c r="C31" s="5" t="str">
        <f>VLOOKUP(B31,Mat.Info!A1:F3,2,FALSE)</f>
        <v>Sistema operacional e pacote office</v>
      </c>
      <c r="G31" s="8"/>
      <c r="H31" s="104" t="s">
        <v>316</v>
      </c>
      <c r="I31" s="104">
        <f>SUM(F12:F15)</f>
        <v>3649.8</v>
      </c>
      <c r="J31" s="104">
        <f>VLOOKUP(B31,Mat.Info!$A:$F,6,FALSE)</f>
        <v>0.2286</v>
      </c>
      <c r="K31" s="32">
        <f>I31*J31</f>
        <v>834.34428000000003</v>
      </c>
    </row>
    <row r="32" spans="2:15">
      <c r="B32" s="35"/>
      <c r="C32" s="5" t="str">
        <f>IF(B32="","",VLOOKUP(B32,Mat.Info!A2:F6,2,FALSE))</f>
        <v/>
      </c>
      <c r="G32" s="8"/>
      <c r="H32" s="33"/>
      <c r="I32" s="33"/>
      <c r="J32" s="33" t="str">
        <f>IF(B32="","",VLOOKUP(B32,Mat.Info!$A:$F,5,FALSE))</f>
        <v/>
      </c>
      <c r="K32" s="33" t="str">
        <f>IF(B32="","",I32*J32)</f>
        <v/>
      </c>
    </row>
    <row r="33" spans="2:11">
      <c r="B33" s="35"/>
      <c r="G33" s="8"/>
      <c r="H33" s="33"/>
      <c r="I33" s="33"/>
      <c r="J33" s="33"/>
      <c r="K33" s="33"/>
    </row>
    <row r="34" spans="2:11">
      <c r="B34" s="35"/>
      <c r="G34" s="8"/>
      <c r="H34" s="33"/>
      <c r="I34" s="33"/>
      <c r="J34" s="33"/>
      <c r="K34" s="33"/>
    </row>
    <row r="35" spans="2:11">
      <c r="B35" s="35"/>
      <c r="G35" s="8"/>
      <c r="H35" s="33"/>
      <c r="I35" s="33"/>
      <c r="J35" s="33"/>
      <c r="K35" s="33"/>
    </row>
    <row r="36" spans="2:11">
      <c r="B36" s="35"/>
      <c r="G36" s="8"/>
      <c r="H36" s="33"/>
      <c r="I36" s="33"/>
      <c r="J36" s="33"/>
      <c r="K36" s="33"/>
    </row>
    <row r="37" spans="2:11">
      <c r="B37" s="35"/>
      <c r="G37" s="8"/>
      <c r="H37" s="33"/>
      <c r="I37" s="33"/>
      <c r="J37" s="33"/>
      <c r="K37" s="33"/>
    </row>
    <row r="38" spans="2:11">
      <c r="B38" s="37"/>
      <c r="C38" s="6"/>
      <c r="D38" s="6"/>
      <c r="E38" s="6"/>
      <c r="F38" s="6"/>
      <c r="G38" s="38"/>
      <c r="H38" s="40"/>
      <c r="I38" s="40"/>
      <c r="J38" s="40"/>
      <c r="K38" s="40"/>
    </row>
    <row r="39" spans="2:11">
      <c r="B39" s="42" t="s">
        <v>132</v>
      </c>
      <c r="C39" s="43"/>
      <c r="D39" s="43"/>
      <c r="E39" s="43"/>
      <c r="F39" s="43"/>
      <c r="G39" s="43"/>
      <c r="H39" s="44"/>
      <c r="I39" s="44"/>
      <c r="J39" s="45"/>
      <c r="K39" s="46">
        <f>SUM(K31:K38)</f>
        <v>834.34428000000003</v>
      </c>
    </row>
    <row r="40" spans="2:11">
      <c r="B40" s="20" t="s">
        <v>133</v>
      </c>
      <c r="C40" s="62"/>
      <c r="D40" s="62"/>
      <c r="E40" s="62"/>
      <c r="F40" s="62"/>
      <c r="G40" s="62"/>
      <c r="H40" s="63"/>
      <c r="I40" s="60" t="s">
        <v>129</v>
      </c>
      <c r="J40" s="60" t="s">
        <v>134</v>
      </c>
      <c r="K40" s="60" t="s">
        <v>112</v>
      </c>
    </row>
    <row r="41" spans="2:11">
      <c r="B41" s="64"/>
      <c r="C41" s="65"/>
      <c r="D41" s="65"/>
      <c r="E41" s="65"/>
      <c r="F41" s="65"/>
      <c r="G41" s="65"/>
      <c r="H41" s="66"/>
      <c r="I41" s="67"/>
      <c r="J41" s="67" t="s">
        <v>135</v>
      </c>
      <c r="K41" s="67" t="s">
        <v>135</v>
      </c>
    </row>
    <row r="42" spans="2:11">
      <c r="B42" s="59"/>
      <c r="C42" s="43"/>
      <c r="D42" s="43"/>
      <c r="E42" s="43"/>
      <c r="F42" s="43"/>
      <c r="G42" s="43"/>
      <c r="H42" s="43"/>
      <c r="I42" s="43"/>
      <c r="J42" s="43"/>
      <c r="K42" s="58"/>
    </row>
    <row r="43" spans="2:11">
      <c r="B43" s="42" t="s">
        <v>136</v>
      </c>
      <c r="C43" s="43"/>
      <c r="D43" s="43"/>
      <c r="E43" s="43"/>
      <c r="F43" s="43"/>
      <c r="G43" s="43"/>
      <c r="H43" s="43"/>
      <c r="I43" s="43"/>
      <c r="J43" s="58"/>
      <c r="K43" s="4"/>
    </row>
    <row r="44" spans="2:11">
      <c r="B44" s="20" t="s">
        <v>137</v>
      </c>
      <c r="C44" s="68"/>
      <c r="D44" s="60" t="s">
        <v>129</v>
      </c>
      <c r="E44" s="780" t="s">
        <v>138</v>
      </c>
      <c r="F44" s="781"/>
      <c r="G44" s="782"/>
      <c r="H44" s="783" t="s">
        <v>130</v>
      </c>
      <c r="I44" s="784"/>
      <c r="J44" s="785"/>
      <c r="K44" s="60" t="s">
        <v>112</v>
      </c>
    </row>
    <row r="45" spans="2:11">
      <c r="B45" s="37"/>
      <c r="C45" s="6"/>
      <c r="D45" s="67"/>
      <c r="E45" s="24" t="s">
        <v>139</v>
      </c>
      <c r="F45" s="24" t="s">
        <v>140</v>
      </c>
      <c r="G45" s="24" t="s">
        <v>141</v>
      </c>
      <c r="H45" s="24" t="s">
        <v>139</v>
      </c>
      <c r="I45" s="24" t="s">
        <v>140</v>
      </c>
      <c r="J45" s="24" t="s">
        <v>141</v>
      </c>
      <c r="K45" s="67" t="s">
        <v>135</v>
      </c>
    </row>
    <row r="46" spans="2:11">
      <c r="B46" s="59"/>
      <c r="C46" s="43"/>
      <c r="D46" s="4"/>
      <c r="E46" s="4"/>
      <c r="F46" s="4"/>
      <c r="G46" s="4"/>
      <c r="H46" s="4"/>
      <c r="I46" s="4"/>
      <c r="J46" s="4"/>
      <c r="K46" s="46"/>
    </row>
    <row r="47" spans="2:11">
      <c r="B47" s="42" t="s">
        <v>142</v>
      </c>
      <c r="C47" s="43"/>
      <c r="D47" s="43"/>
      <c r="E47" s="43"/>
      <c r="F47" s="43"/>
      <c r="G47" s="43"/>
      <c r="H47" s="43"/>
      <c r="I47" s="43"/>
      <c r="J47" s="58"/>
      <c r="K47" s="46"/>
    </row>
    <row r="48" spans="2:11">
      <c r="B48" s="59"/>
      <c r="C48" s="43"/>
      <c r="D48" s="43"/>
      <c r="E48" s="43"/>
      <c r="F48" s="43"/>
      <c r="G48" s="43"/>
      <c r="H48" s="43"/>
      <c r="I48" s="43"/>
      <c r="J48" s="43"/>
      <c r="K48" s="45"/>
    </row>
    <row r="49" spans="2:11">
      <c r="B49" s="42" t="s">
        <v>143</v>
      </c>
      <c r="C49" s="69"/>
      <c r="D49" s="69"/>
      <c r="E49" s="69"/>
      <c r="F49" s="69"/>
      <c r="G49" s="69"/>
      <c r="H49" s="69"/>
      <c r="I49" s="69"/>
      <c r="J49" s="69"/>
      <c r="K49" s="70">
        <f>K47+K43+K39+K28</f>
        <v>307393.58880000003</v>
      </c>
    </row>
    <row r="50" spans="2:11">
      <c r="B50" s="42" t="s">
        <v>144</v>
      </c>
      <c r="C50" s="69"/>
      <c r="D50" s="69"/>
      <c r="E50" s="69"/>
      <c r="F50" s="69"/>
      <c r="G50" s="69"/>
      <c r="H50" s="69"/>
      <c r="I50" s="69"/>
      <c r="J50" s="71">
        <f ca="1">Dados!$C$10</f>
        <v>0.44790000000000002</v>
      </c>
      <c r="K50" s="70">
        <f ca="1">K49*J50</f>
        <v>137681.58842352001</v>
      </c>
    </row>
    <row r="51" spans="2:11">
      <c r="B51" s="59" t="s">
        <v>145</v>
      </c>
      <c r="C51" s="43"/>
      <c r="D51" s="43"/>
      <c r="E51" s="43"/>
      <c r="F51" s="43"/>
      <c r="G51" s="43"/>
      <c r="H51" s="43"/>
      <c r="I51" s="43"/>
      <c r="J51" s="43"/>
      <c r="K51" s="46">
        <f ca="1">K50+K49</f>
        <v>445075.17722352</v>
      </c>
    </row>
    <row r="53" spans="2:11" ht="4.5" customHeight="1"/>
  </sheetData>
  <mergeCells count="15">
    <mergeCell ref="C12:E12"/>
    <mergeCell ref="B6:K6"/>
    <mergeCell ref="B8:H9"/>
    <mergeCell ref="F10:F11"/>
    <mergeCell ref="G10:H10"/>
    <mergeCell ref="I10:J10"/>
    <mergeCell ref="E44:G44"/>
    <mergeCell ref="H44:J44"/>
    <mergeCell ref="C13:E13"/>
    <mergeCell ref="C18:E18"/>
    <mergeCell ref="C19:E19"/>
    <mergeCell ref="C20:E20"/>
    <mergeCell ref="C21:E21"/>
    <mergeCell ref="B30:G30"/>
    <mergeCell ref="C22:E22"/>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F857377-9778-43A2-B1A2-64722A69BA1A}">
          <x14:formula1>
            <xm:f>Categorias!$A$4:$A$101</xm:f>
          </x14:formula1>
          <xm:sqref>C18:E22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9C66A-B8C9-40A8-A11F-876D4C71AF05}">
  <sheetPr>
    <tabColor rgb="FF008080"/>
    <pageSetUpPr fitToPage="1"/>
  </sheetPr>
  <dimension ref="A1:O53"/>
  <sheetViews>
    <sheetView zoomScale="75" zoomScaleNormal="75" workbookViewId="0">
      <selection activeCell="G7" sqref="G7"/>
    </sheetView>
  </sheetViews>
  <sheetFormatPr defaultRowHeight="15"/>
  <cols>
    <col min="1" max="1" width="1" style="5" customWidth="1"/>
    <col min="2" max="2" width="12" style="5" customWidth="1"/>
    <col min="3" max="3" width="26.42578125" style="5" customWidth="1"/>
    <col min="4" max="4" width="11.28515625" style="5" customWidth="1"/>
    <col min="5" max="5" width="7.5703125" style="5" customWidth="1"/>
    <col min="6" max="9" width="9.5703125" style="5" customWidth="1"/>
    <col min="10" max="10" width="9.85546875" style="5" customWidth="1"/>
    <col min="11" max="11" width="13.28515625" style="5" customWidth="1"/>
    <col min="12" max="12" width="0.7109375" style="5" customWidth="1"/>
    <col min="13" max="14" width="9.140625" style="5"/>
    <col min="15" max="15" width="9.140625" style="53"/>
    <col min="16" max="16384" width="9.140625" style="5"/>
  </cols>
  <sheetData>
    <row r="1" spans="1:11" ht="4.5" customHeight="1">
      <c r="B1" s="6"/>
      <c r="C1" s="6"/>
      <c r="D1" s="6"/>
      <c r="E1" s="6"/>
      <c r="F1" s="6"/>
      <c r="G1" s="6"/>
      <c r="H1" s="6"/>
      <c r="I1" s="6"/>
      <c r="J1" s="6"/>
      <c r="K1" s="6"/>
    </row>
    <row r="2" spans="1:11">
      <c r="B2" s="672"/>
      <c r="C2" s="673"/>
      <c r="D2" s="673"/>
      <c r="E2" s="673"/>
      <c r="F2" s="673"/>
      <c r="G2" s="673"/>
      <c r="H2" s="673"/>
      <c r="I2" s="673"/>
      <c r="J2" s="673"/>
      <c r="K2" s="7"/>
    </row>
    <row r="3" spans="1:11">
      <c r="A3" s="8"/>
      <c r="B3" s="674"/>
      <c r="C3" s="9"/>
      <c r="D3" s="9"/>
      <c r="E3" s="9"/>
      <c r="F3" s="9"/>
      <c r="G3" s="9"/>
      <c r="H3" s="9"/>
      <c r="I3" s="9"/>
      <c r="J3" s="639" t="s">
        <v>99</v>
      </c>
      <c r="K3" s="11">
        <f>Dados!C9</f>
        <v>45108</v>
      </c>
    </row>
    <row r="4" spans="1:11">
      <c r="A4" s="8"/>
      <c r="B4" s="674"/>
      <c r="C4" s="9"/>
      <c r="D4" s="9"/>
      <c r="E4" s="9"/>
      <c r="F4" s="9"/>
      <c r="G4" s="9"/>
      <c r="H4" s="9"/>
      <c r="I4" s="9"/>
      <c r="J4" s="10"/>
      <c r="K4" s="12"/>
    </row>
    <row r="5" spans="1:11">
      <c r="A5" s="8"/>
      <c r="B5" s="674"/>
      <c r="C5" s="9"/>
      <c r="D5" s="9"/>
      <c r="E5" s="9"/>
      <c r="F5" s="9"/>
      <c r="G5" s="9"/>
      <c r="H5" s="9"/>
      <c r="I5" s="9"/>
      <c r="J5" s="10" t="s">
        <v>100</v>
      </c>
      <c r="K5" s="13" t="s">
        <v>101</v>
      </c>
    </row>
    <row r="6" spans="1:11">
      <c r="A6" s="8"/>
      <c r="B6" s="769" t="s">
        <v>102</v>
      </c>
      <c r="C6" s="770"/>
      <c r="D6" s="770"/>
      <c r="E6" s="770"/>
      <c r="F6" s="770"/>
      <c r="G6" s="770"/>
      <c r="H6" s="770"/>
      <c r="I6" s="770"/>
      <c r="J6" s="770"/>
      <c r="K6" s="771"/>
    </row>
    <row r="7" spans="1:11">
      <c r="B7" s="14" t="s">
        <v>103</v>
      </c>
      <c r="C7" s="15"/>
      <c r="D7" s="15"/>
      <c r="E7" s="15"/>
      <c r="F7" s="15"/>
      <c r="G7" s="15"/>
      <c r="H7" s="15"/>
      <c r="I7" s="15"/>
      <c r="J7" s="16" t="s">
        <v>104</v>
      </c>
      <c r="K7" s="94">
        <f>'Alocação MO'!D11</f>
        <v>3</v>
      </c>
    </row>
    <row r="8" spans="1:11">
      <c r="B8" s="772" t="str">
        <f>CONCATENATE("",'Alocação MO'!C11)</f>
        <v>Dimensão Jurídico-Regulatória (EJR)</v>
      </c>
      <c r="C8" s="773"/>
      <c r="D8" s="773"/>
      <c r="E8" s="773"/>
      <c r="F8" s="773"/>
      <c r="G8" s="773"/>
      <c r="H8" s="773"/>
      <c r="I8" s="675"/>
      <c r="J8" s="675" t="s">
        <v>105</v>
      </c>
      <c r="K8" s="17" t="s">
        <v>106</v>
      </c>
    </row>
    <row r="9" spans="1:11">
      <c r="B9" s="772"/>
      <c r="C9" s="773"/>
      <c r="D9" s="773"/>
      <c r="E9" s="773"/>
      <c r="F9" s="774"/>
      <c r="G9" s="774"/>
      <c r="H9" s="774"/>
      <c r="I9" s="18"/>
      <c r="J9" s="18" t="s">
        <v>107</v>
      </c>
      <c r="K9" s="19"/>
    </row>
    <row r="10" spans="1:11">
      <c r="B10" s="20" t="s">
        <v>108</v>
      </c>
      <c r="C10" s="21"/>
      <c r="D10" s="22"/>
      <c r="E10" s="23"/>
      <c r="F10" s="775" t="s">
        <v>109</v>
      </c>
      <c r="G10" s="776" t="s">
        <v>110</v>
      </c>
      <c r="H10" s="776"/>
      <c r="I10" s="776" t="s">
        <v>111</v>
      </c>
      <c r="J10" s="776"/>
      <c r="K10" s="25" t="s">
        <v>112</v>
      </c>
    </row>
    <row r="11" spans="1:11">
      <c r="B11" s="26"/>
      <c r="C11" s="27"/>
      <c r="D11" s="28"/>
      <c r="E11" s="29"/>
      <c r="F11" s="775"/>
      <c r="G11" s="24" t="s">
        <v>113</v>
      </c>
      <c r="H11" s="24" t="s">
        <v>114</v>
      </c>
      <c r="I11" s="24" t="s">
        <v>113</v>
      </c>
      <c r="J11" s="24" t="s">
        <v>114</v>
      </c>
      <c r="K11" s="30" t="s">
        <v>115</v>
      </c>
    </row>
    <row r="12" spans="1:11" ht="32.25" customHeight="1">
      <c r="B12" s="31" t="s">
        <v>297</v>
      </c>
      <c r="C12" s="767" t="str">
        <f>VLOOKUP(B12,Equip.Info!A:L,2,FALSE)</f>
        <v>Laptop 14" com processador, placa de vídeo e memória compatíveis à função CAD/SIG</v>
      </c>
      <c r="D12" s="767"/>
      <c r="E12" s="768"/>
      <c r="F12" s="105">
        <f>SUM(I18:I25)</f>
        <v>2189.88</v>
      </c>
      <c r="G12" s="105">
        <v>1</v>
      </c>
      <c r="H12" s="105">
        <v>0</v>
      </c>
      <c r="I12" s="105">
        <f>VLOOKUP($B12,Equip.Info!$A:$L,11,FALSE)</f>
        <v>1.0773999999999999</v>
      </c>
      <c r="J12" s="105">
        <f>VLOOKUP($B12,Equip.Info!$A:$L,12,FALSE)</f>
        <v>0.70909999999999995</v>
      </c>
      <c r="K12" s="120">
        <f>F12*(G12*I12+H12*J12)</f>
        <v>2359.3767119999998</v>
      </c>
    </row>
    <row r="13" spans="1:11" ht="29.25" customHeight="1">
      <c r="B13" s="31"/>
      <c r="C13" s="767"/>
      <c r="D13" s="767"/>
      <c r="E13" s="768"/>
      <c r="F13" s="106"/>
      <c r="G13" s="106"/>
      <c r="H13" s="106"/>
      <c r="I13" s="106"/>
      <c r="J13" s="106"/>
      <c r="K13" s="121"/>
    </row>
    <row r="14" spans="1:11" ht="20.100000000000001" customHeight="1">
      <c r="B14" s="35"/>
      <c r="E14" s="8"/>
      <c r="F14" s="36"/>
      <c r="G14" s="33"/>
      <c r="H14" s="33"/>
      <c r="I14" s="33"/>
      <c r="J14" s="33"/>
      <c r="K14" s="34"/>
    </row>
    <row r="15" spans="1:11" ht="20.100000000000001" customHeight="1">
      <c r="B15" s="37"/>
      <c r="C15" s="6"/>
      <c r="D15" s="6"/>
      <c r="E15" s="38"/>
      <c r="F15" s="39"/>
      <c r="G15" s="40"/>
      <c r="H15" s="40"/>
      <c r="I15" s="40"/>
      <c r="J15" s="40"/>
      <c r="K15" s="41"/>
    </row>
    <row r="16" spans="1:11">
      <c r="B16" s="42" t="s">
        <v>116</v>
      </c>
      <c r="C16" s="43"/>
      <c r="D16" s="43"/>
      <c r="E16" s="43"/>
      <c r="F16" s="43"/>
      <c r="G16" s="44"/>
      <c r="H16" s="44"/>
      <c r="I16" s="44"/>
      <c r="J16" s="45"/>
      <c r="K16" s="46">
        <f>K12+K13</f>
        <v>2359.3767119999998</v>
      </c>
    </row>
    <row r="17" spans="2:15" s="49" customFormat="1" ht="45">
      <c r="B17" s="47" t="s">
        <v>117</v>
      </c>
      <c r="C17" s="83"/>
      <c r="D17" s="83"/>
      <c r="E17" s="83"/>
      <c r="F17" s="95" t="s">
        <v>118</v>
      </c>
      <c r="G17" s="95" t="s">
        <v>119</v>
      </c>
      <c r="H17" s="96" t="s">
        <v>120</v>
      </c>
      <c r="I17" s="84" t="s">
        <v>121</v>
      </c>
      <c r="J17" s="48" t="s">
        <v>122</v>
      </c>
      <c r="K17" s="48" t="s">
        <v>123</v>
      </c>
      <c r="O17" s="87"/>
    </row>
    <row r="18" spans="2:15" ht="15" customHeight="1">
      <c r="B18" s="35" t="str">
        <f>IF(ISBLANK(C18),0,VLOOKUP(C18,Categorias!$A$4:$B$83,2,FALSE))</f>
        <v>P8003</v>
      </c>
      <c r="C18" s="786" t="s">
        <v>3</v>
      </c>
      <c r="D18" s="786"/>
      <c r="E18" s="786"/>
      <c r="F18" s="52">
        <v>1</v>
      </c>
      <c r="G18" s="677">
        <f>INDEX(Resumo[],MATCH($B$8,Resumo[Descrição dos Produtos],0),MATCH(C18,Resumo[#Headers],0))</f>
        <v>1</v>
      </c>
      <c r="H18" s="50">
        <f>F18*G18*$K$7</f>
        <v>3</v>
      </c>
      <c r="I18" s="678">
        <f t="shared" ref="I18:I19" si="0">H18*182.49</f>
        <v>547.47</v>
      </c>
      <c r="J18" s="51">
        <f>IF(ISBLANK(B18),0,VLOOKUP(B18,'TC 07-2023'!B:Z,25,TRUE)/182.49)</f>
        <v>105.29289276124719</v>
      </c>
      <c r="K18" s="33">
        <f t="shared" ref="K18:K19" si="1">J18*I18</f>
        <v>57644.700000000004</v>
      </c>
    </row>
    <row r="19" spans="2:15" ht="15" customHeight="1">
      <c r="B19" s="35" t="str">
        <f>IF(ISBLANK(C19),0,VLOOKUP(C19,Categorias!$A$4:$B$83,2,FALSE))</f>
        <v>P8002</v>
      </c>
      <c r="C19" s="786" t="s">
        <v>2</v>
      </c>
      <c r="D19" s="786"/>
      <c r="E19" s="786"/>
      <c r="F19" s="52">
        <v>1</v>
      </c>
      <c r="G19" s="677">
        <f>INDEX(Resumo[],MATCH($B$8,Resumo[Descrição dos Produtos],0),MATCH(C19,Resumo[#Headers],0))</f>
        <v>2</v>
      </c>
      <c r="H19" s="50">
        <f t="shared" ref="H19" si="2">F19*G19*$K$7</f>
        <v>6</v>
      </c>
      <c r="I19" s="678">
        <f t="shared" si="0"/>
        <v>1094.94</v>
      </c>
      <c r="J19" s="51">
        <f>IF(ISBLANK(B19),0,VLOOKUP(B19,'TC 07-2023'!B:Z,25,TRUE)/182.49)</f>
        <v>61.793906515425505</v>
      </c>
      <c r="K19" s="33">
        <f t="shared" si="1"/>
        <v>67660.62000000001</v>
      </c>
    </row>
    <row r="20" spans="2:15" ht="15" customHeight="1">
      <c r="B20" s="35" t="str">
        <f>IF(ISBLANK(C20),0,VLOOKUP(C20,Categorias!$A$4:$B$83,2,FALSE))</f>
        <v>P8001</v>
      </c>
      <c r="C20" s="786" t="s">
        <v>1</v>
      </c>
      <c r="D20" s="786"/>
      <c r="E20" s="786"/>
      <c r="F20" s="52">
        <v>1</v>
      </c>
      <c r="G20" s="677">
        <f>INDEX(Resumo[],MATCH($B$8,Resumo[Descrição dos Produtos],0),MATCH(C20,Resumo[#Headers],0))</f>
        <v>1</v>
      </c>
      <c r="H20" s="50">
        <f t="shared" ref="H20" si="3">F20*G20*$K$7</f>
        <v>3</v>
      </c>
      <c r="I20" s="678">
        <f t="shared" ref="I20" si="4">H20*182.49</f>
        <v>547.47</v>
      </c>
      <c r="J20" s="51">
        <f>IF(ISBLANK(B20),0,VLOOKUP(B20,'TC 07-2023'!B:Z,25,TRUE)/182.49)</f>
        <v>47.753575538385661</v>
      </c>
      <c r="K20" s="33">
        <f t="shared" ref="K20" si="5">J20*I20</f>
        <v>26143.649999999998</v>
      </c>
    </row>
    <row r="21" spans="2:15" ht="15" customHeight="1">
      <c r="B21" s="35"/>
      <c r="F21" s="679"/>
      <c r="H21" s="680"/>
      <c r="I21" s="54"/>
      <c r="J21" s="51"/>
      <c r="K21" s="33"/>
    </row>
    <row r="22" spans="2:15" ht="15" customHeight="1">
      <c r="B22" s="35"/>
      <c r="F22" s="679"/>
      <c r="H22" s="680"/>
      <c r="I22" s="54"/>
      <c r="J22" s="51"/>
      <c r="K22" s="33"/>
    </row>
    <row r="23" spans="2:15" ht="15" customHeight="1">
      <c r="B23" s="35"/>
      <c r="F23" s="679"/>
      <c r="H23" s="680"/>
      <c r="I23" s="54"/>
      <c r="J23" s="51"/>
      <c r="K23" s="33"/>
    </row>
    <row r="24" spans="2:15" ht="15" customHeight="1">
      <c r="B24" s="35"/>
      <c r="F24" s="679"/>
      <c r="H24" s="680"/>
      <c r="I24" s="54"/>
      <c r="J24" s="51"/>
      <c r="K24" s="33"/>
    </row>
    <row r="25" spans="2:15" ht="15" customHeight="1">
      <c r="B25" s="35" t="s">
        <v>344</v>
      </c>
      <c r="C25" s="6"/>
      <c r="D25" s="6"/>
      <c r="E25" s="6"/>
      <c r="F25" s="55"/>
      <c r="G25" s="6"/>
      <c r="H25" s="55"/>
      <c r="I25" s="56"/>
      <c r="J25" s="51"/>
      <c r="K25" s="40"/>
    </row>
    <row r="26" spans="2:15">
      <c r="B26" s="42" t="s">
        <v>124</v>
      </c>
      <c r="C26" s="43"/>
      <c r="D26" s="43"/>
      <c r="E26" s="43"/>
      <c r="F26" s="44"/>
      <c r="G26" s="44"/>
      <c r="H26" s="44"/>
      <c r="I26" s="44"/>
      <c r="J26" s="45"/>
      <c r="K26" s="46">
        <f>SUM(K18:K25)</f>
        <v>151448.97</v>
      </c>
    </row>
    <row r="27" spans="2:15">
      <c r="B27" s="42" t="s">
        <v>125</v>
      </c>
      <c r="C27" s="43"/>
      <c r="D27" s="43"/>
      <c r="E27" s="481">
        <v>1</v>
      </c>
      <c r="F27" s="42" t="s">
        <v>126</v>
      </c>
      <c r="G27" s="43"/>
      <c r="H27" s="43"/>
      <c r="I27" s="43"/>
      <c r="J27" s="58"/>
      <c r="K27" s="46">
        <f>K26+K16</f>
        <v>153808.346712</v>
      </c>
    </row>
    <row r="28" spans="2:15">
      <c r="B28" s="42" t="s">
        <v>127</v>
      </c>
      <c r="C28" s="43"/>
      <c r="D28" s="43"/>
      <c r="E28" s="481"/>
      <c r="F28" s="42"/>
      <c r="G28" s="43"/>
      <c r="H28" s="43"/>
      <c r="I28" s="43"/>
      <c r="J28" s="58"/>
      <c r="K28" s="46">
        <f>K27/E27</f>
        <v>153808.346712</v>
      </c>
    </row>
    <row r="29" spans="2:15">
      <c r="B29" s="59"/>
      <c r="C29" s="43"/>
      <c r="D29" s="43"/>
      <c r="E29" s="43"/>
      <c r="F29" s="43"/>
      <c r="G29" s="43"/>
      <c r="H29" s="43"/>
      <c r="I29" s="43"/>
      <c r="J29" s="43"/>
      <c r="K29" s="58"/>
    </row>
    <row r="30" spans="2:15" ht="30">
      <c r="B30" s="777" t="s">
        <v>128</v>
      </c>
      <c r="C30" s="778"/>
      <c r="D30" s="778"/>
      <c r="E30" s="778"/>
      <c r="F30" s="778"/>
      <c r="G30" s="779"/>
      <c r="H30" s="60" t="s">
        <v>105</v>
      </c>
      <c r="I30" s="60" t="s">
        <v>129</v>
      </c>
      <c r="J30" s="61" t="s">
        <v>130</v>
      </c>
      <c r="K30" s="61" t="s">
        <v>131</v>
      </c>
    </row>
    <row r="31" spans="2:15">
      <c r="B31" s="35" t="s">
        <v>310</v>
      </c>
      <c r="C31" s="5" t="str">
        <f>VLOOKUP(B31,Mat.Info!A1:F3,2,FALSE)</f>
        <v>Sistema operacional e pacote office</v>
      </c>
      <c r="G31" s="8"/>
      <c r="H31" s="104" t="s">
        <v>316</v>
      </c>
      <c r="I31" s="104">
        <f>SUM(F12:F15)</f>
        <v>2189.88</v>
      </c>
      <c r="J31" s="104">
        <f>VLOOKUP(B31,Mat.Info!$A:$F,6,FALSE)</f>
        <v>0.2286</v>
      </c>
      <c r="K31" s="32">
        <f>I31*J31</f>
        <v>500.60656800000004</v>
      </c>
    </row>
    <row r="32" spans="2:15">
      <c r="B32" s="35"/>
      <c r="C32" s="5" t="str">
        <f>IF(B32="","",VLOOKUP(B32,Mat.Info!A2:F6,2,FALSE))</f>
        <v/>
      </c>
      <c r="G32" s="8"/>
      <c r="H32" s="33"/>
      <c r="I32" s="33"/>
      <c r="J32" s="33" t="str">
        <f>IF(B32="","",VLOOKUP(B32,Mat.Info!$A:$F,5,FALSE))</f>
        <v/>
      </c>
      <c r="K32" s="33" t="str">
        <f>IF(B32="","",I32*J32)</f>
        <v/>
      </c>
    </row>
    <row r="33" spans="2:11">
      <c r="B33" s="35"/>
      <c r="G33" s="8"/>
      <c r="H33" s="33"/>
      <c r="I33" s="33"/>
      <c r="J33" s="33"/>
      <c r="K33" s="33"/>
    </row>
    <row r="34" spans="2:11">
      <c r="B34" s="35"/>
      <c r="G34" s="8"/>
      <c r="H34" s="33"/>
      <c r="I34" s="33"/>
      <c r="J34" s="33"/>
      <c r="K34" s="33"/>
    </row>
    <row r="35" spans="2:11">
      <c r="B35" s="35"/>
      <c r="G35" s="8"/>
      <c r="H35" s="33"/>
      <c r="I35" s="33"/>
      <c r="J35" s="33"/>
      <c r="K35" s="33"/>
    </row>
    <row r="36" spans="2:11">
      <c r="B36" s="35"/>
      <c r="G36" s="8"/>
      <c r="H36" s="33"/>
      <c r="I36" s="33"/>
      <c r="J36" s="33"/>
      <c r="K36" s="33"/>
    </row>
    <row r="37" spans="2:11">
      <c r="B37" s="35"/>
      <c r="G37" s="8"/>
      <c r="H37" s="33"/>
      <c r="I37" s="33"/>
      <c r="J37" s="33"/>
      <c r="K37" s="33"/>
    </row>
    <row r="38" spans="2:11">
      <c r="B38" s="37"/>
      <c r="C38" s="6"/>
      <c r="D38" s="6"/>
      <c r="E38" s="6"/>
      <c r="F38" s="6"/>
      <c r="G38" s="38"/>
      <c r="H38" s="40"/>
      <c r="I38" s="40"/>
      <c r="J38" s="40"/>
      <c r="K38" s="40"/>
    </row>
    <row r="39" spans="2:11">
      <c r="B39" s="42" t="s">
        <v>132</v>
      </c>
      <c r="C39" s="43"/>
      <c r="D39" s="43"/>
      <c r="E39" s="43"/>
      <c r="F39" s="43"/>
      <c r="G39" s="43"/>
      <c r="H39" s="44"/>
      <c r="I39" s="44"/>
      <c r="J39" s="45"/>
      <c r="K39" s="46">
        <f>SUM(K31:K38)</f>
        <v>500.60656800000004</v>
      </c>
    </row>
    <row r="40" spans="2:11">
      <c r="B40" s="20" t="s">
        <v>133</v>
      </c>
      <c r="C40" s="62"/>
      <c r="D40" s="62"/>
      <c r="E40" s="62"/>
      <c r="F40" s="62"/>
      <c r="G40" s="62"/>
      <c r="H40" s="63"/>
      <c r="I40" s="60" t="s">
        <v>129</v>
      </c>
      <c r="J40" s="60" t="s">
        <v>134</v>
      </c>
      <c r="K40" s="60" t="s">
        <v>112</v>
      </c>
    </row>
    <row r="41" spans="2:11">
      <c r="B41" s="64"/>
      <c r="C41" s="65"/>
      <c r="D41" s="65"/>
      <c r="E41" s="65"/>
      <c r="F41" s="65"/>
      <c r="G41" s="65"/>
      <c r="H41" s="66"/>
      <c r="I41" s="67"/>
      <c r="J41" s="67" t="s">
        <v>135</v>
      </c>
      <c r="K41" s="67" t="s">
        <v>135</v>
      </c>
    </row>
    <row r="42" spans="2:11">
      <c r="B42" s="59"/>
      <c r="C42" s="43"/>
      <c r="D42" s="43"/>
      <c r="E42" s="43"/>
      <c r="F42" s="43"/>
      <c r="G42" s="43"/>
      <c r="H42" s="43"/>
      <c r="I42" s="43"/>
      <c r="J42" s="43"/>
      <c r="K42" s="58"/>
    </row>
    <row r="43" spans="2:11">
      <c r="B43" s="42" t="s">
        <v>136</v>
      </c>
      <c r="C43" s="43"/>
      <c r="D43" s="43"/>
      <c r="E43" s="43"/>
      <c r="F43" s="43"/>
      <c r="G43" s="43"/>
      <c r="H43" s="43"/>
      <c r="I43" s="43"/>
      <c r="J43" s="58"/>
      <c r="K43" s="4"/>
    </row>
    <row r="44" spans="2:11">
      <c r="B44" s="20" t="s">
        <v>137</v>
      </c>
      <c r="C44" s="68"/>
      <c r="D44" s="60" t="s">
        <v>129</v>
      </c>
      <c r="E44" s="780" t="s">
        <v>138</v>
      </c>
      <c r="F44" s="781"/>
      <c r="G44" s="782"/>
      <c r="H44" s="783" t="s">
        <v>130</v>
      </c>
      <c r="I44" s="784"/>
      <c r="J44" s="785"/>
      <c r="K44" s="60" t="s">
        <v>112</v>
      </c>
    </row>
    <row r="45" spans="2:11">
      <c r="B45" s="37"/>
      <c r="C45" s="6"/>
      <c r="D45" s="67"/>
      <c r="E45" s="24" t="s">
        <v>139</v>
      </c>
      <c r="F45" s="24" t="s">
        <v>140</v>
      </c>
      <c r="G45" s="24" t="s">
        <v>141</v>
      </c>
      <c r="H45" s="24" t="s">
        <v>139</v>
      </c>
      <c r="I45" s="24" t="s">
        <v>140</v>
      </c>
      <c r="J45" s="24" t="s">
        <v>141</v>
      </c>
      <c r="K45" s="67" t="s">
        <v>135</v>
      </c>
    </row>
    <row r="46" spans="2:11">
      <c r="B46" s="59"/>
      <c r="C46" s="43"/>
      <c r="D46" s="4"/>
      <c r="E46" s="4"/>
      <c r="F46" s="4"/>
      <c r="G46" s="4"/>
      <c r="H46" s="4"/>
      <c r="I46" s="4"/>
      <c r="J46" s="4"/>
      <c r="K46" s="46"/>
    </row>
    <row r="47" spans="2:11">
      <c r="B47" s="42" t="s">
        <v>142</v>
      </c>
      <c r="C47" s="43"/>
      <c r="D47" s="43"/>
      <c r="E47" s="43"/>
      <c r="F47" s="43"/>
      <c r="G47" s="43"/>
      <c r="H47" s="43"/>
      <c r="I47" s="43"/>
      <c r="J47" s="58"/>
      <c r="K47" s="46"/>
    </row>
    <row r="48" spans="2:11">
      <c r="B48" s="59"/>
      <c r="C48" s="43"/>
      <c r="D48" s="43"/>
      <c r="E48" s="43"/>
      <c r="F48" s="43"/>
      <c r="G48" s="43"/>
      <c r="H48" s="43"/>
      <c r="I48" s="43"/>
      <c r="J48" s="43"/>
      <c r="K48" s="45"/>
    </row>
    <row r="49" spans="2:11">
      <c r="B49" s="42" t="s">
        <v>143</v>
      </c>
      <c r="C49" s="69"/>
      <c r="D49" s="69"/>
      <c r="E49" s="69"/>
      <c r="F49" s="69"/>
      <c r="G49" s="69"/>
      <c r="H49" s="69"/>
      <c r="I49" s="69"/>
      <c r="J49" s="69"/>
      <c r="K49" s="70">
        <f>K47+K43+K39+K28</f>
        <v>154308.95327999999</v>
      </c>
    </row>
    <row r="50" spans="2:11">
      <c r="B50" s="42" t="s">
        <v>144</v>
      </c>
      <c r="C50" s="69"/>
      <c r="D50" s="69"/>
      <c r="E50" s="69"/>
      <c r="F50" s="69"/>
      <c r="G50" s="69"/>
      <c r="H50" s="69"/>
      <c r="I50" s="69"/>
      <c r="J50" s="71">
        <f ca="1">Dados!$C$10</f>
        <v>0.44790000000000002</v>
      </c>
      <c r="K50" s="70">
        <f ca="1">K49*J50</f>
        <v>69114.980174112003</v>
      </c>
    </row>
    <row r="51" spans="2:11">
      <c r="B51" s="59" t="s">
        <v>145</v>
      </c>
      <c r="C51" s="43"/>
      <c r="D51" s="43"/>
      <c r="E51" s="43"/>
      <c r="F51" s="43"/>
      <c r="G51" s="43"/>
      <c r="H51" s="43"/>
      <c r="I51" s="43"/>
      <c r="J51" s="43"/>
      <c r="K51" s="46">
        <f ca="1">K50+K49</f>
        <v>223423.93345411198</v>
      </c>
    </row>
    <row r="53" spans="2:11" ht="4.5" customHeight="1"/>
  </sheetData>
  <mergeCells count="13">
    <mergeCell ref="C12:E12"/>
    <mergeCell ref="B6:K6"/>
    <mergeCell ref="B8:H9"/>
    <mergeCell ref="F10:F11"/>
    <mergeCell ref="G10:H10"/>
    <mergeCell ref="I10:J10"/>
    <mergeCell ref="H44:J44"/>
    <mergeCell ref="C13:E13"/>
    <mergeCell ref="C18:E18"/>
    <mergeCell ref="C19:E19"/>
    <mergeCell ref="B30:G30"/>
    <mergeCell ref="E44:G44"/>
    <mergeCell ref="C20:E2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176E6DF-ABF5-4FE8-A35D-EDE98831A412}">
          <x14:formula1>
            <xm:f>Categorias!$A$4:$A$101</xm:f>
          </x14:formula1>
          <xm:sqref>C18:E20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8AB0B-749E-4B32-803B-65966BFDD580}">
  <sheetPr>
    <tabColor rgb="FF008080"/>
    <pageSetUpPr fitToPage="1"/>
  </sheetPr>
  <dimension ref="A1:O53"/>
  <sheetViews>
    <sheetView zoomScale="75" zoomScaleNormal="75" workbookViewId="0">
      <selection activeCell="G7" sqref="G7"/>
    </sheetView>
  </sheetViews>
  <sheetFormatPr defaultRowHeight="15"/>
  <cols>
    <col min="1" max="1" width="1" style="5" customWidth="1"/>
    <col min="2" max="2" width="12" style="5" customWidth="1"/>
    <col min="3" max="3" width="26.42578125" style="5" customWidth="1"/>
    <col min="4" max="4" width="11.28515625" style="5" customWidth="1"/>
    <col min="5" max="5" width="7.5703125" style="5" customWidth="1"/>
    <col min="6" max="9" width="9.5703125" style="5" customWidth="1"/>
    <col min="10" max="10" width="9.85546875" style="5" customWidth="1"/>
    <col min="11" max="11" width="13.28515625" style="5" customWidth="1"/>
    <col min="12" max="12" width="0.7109375" style="5" customWidth="1"/>
    <col min="13" max="14" width="9.140625" style="5"/>
    <col min="15" max="15" width="9.140625" style="53"/>
    <col min="16" max="16384" width="9.140625" style="5"/>
  </cols>
  <sheetData>
    <row r="1" spans="1:11" ht="4.5" customHeight="1">
      <c r="B1" s="6"/>
      <c r="C1" s="6"/>
      <c r="D1" s="6"/>
      <c r="E1" s="6"/>
      <c r="F1" s="6"/>
      <c r="G1" s="6"/>
      <c r="H1" s="6"/>
      <c r="I1" s="6"/>
      <c r="J1" s="6"/>
      <c r="K1" s="6"/>
    </row>
    <row r="2" spans="1:11">
      <c r="B2" s="672"/>
      <c r="C2" s="673"/>
      <c r="D2" s="673"/>
      <c r="E2" s="673"/>
      <c r="F2" s="673"/>
      <c r="G2" s="673"/>
      <c r="H2" s="673"/>
      <c r="I2" s="673"/>
      <c r="J2" s="673"/>
      <c r="K2" s="7"/>
    </row>
    <row r="3" spans="1:11">
      <c r="A3" s="8"/>
      <c r="B3" s="674"/>
      <c r="C3" s="9"/>
      <c r="D3" s="9"/>
      <c r="E3" s="9"/>
      <c r="F3" s="9"/>
      <c r="G3" s="9"/>
      <c r="H3" s="9"/>
      <c r="I3" s="9"/>
      <c r="J3" s="639" t="s">
        <v>99</v>
      </c>
      <c r="K3" s="11">
        <f>Dados!C9</f>
        <v>45108</v>
      </c>
    </row>
    <row r="4" spans="1:11">
      <c r="A4" s="8"/>
      <c r="B4" s="674"/>
      <c r="C4" s="9"/>
      <c r="D4" s="9"/>
      <c r="E4" s="9"/>
      <c r="F4" s="9"/>
      <c r="G4" s="9"/>
      <c r="H4" s="9"/>
      <c r="I4" s="9"/>
      <c r="J4" s="10"/>
      <c r="K4" s="12"/>
    </row>
    <row r="5" spans="1:11">
      <c r="A5" s="8"/>
      <c r="B5" s="674"/>
      <c r="C5" s="9"/>
      <c r="D5" s="9"/>
      <c r="E5" s="9"/>
      <c r="F5" s="9"/>
      <c r="G5" s="9"/>
      <c r="H5" s="9"/>
      <c r="I5" s="9"/>
      <c r="J5" s="10" t="s">
        <v>100</v>
      </c>
      <c r="K5" s="13" t="s">
        <v>101</v>
      </c>
    </row>
    <row r="6" spans="1:11">
      <c r="A6" s="8"/>
      <c r="B6" s="769" t="s">
        <v>102</v>
      </c>
      <c r="C6" s="770"/>
      <c r="D6" s="770"/>
      <c r="E6" s="770"/>
      <c r="F6" s="770"/>
      <c r="G6" s="770"/>
      <c r="H6" s="770"/>
      <c r="I6" s="770"/>
      <c r="J6" s="770"/>
      <c r="K6" s="771"/>
    </row>
    <row r="7" spans="1:11">
      <c r="B7" s="14" t="s">
        <v>103</v>
      </c>
      <c r="C7" s="15"/>
      <c r="D7" s="15"/>
      <c r="E7" s="15"/>
      <c r="F7" s="15"/>
      <c r="G7" s="15"/>
      <c r="H7" s="15"/>
      <c r="I7" s="15"/>
      <c r="J7" s="16" t="s">
        <v>104</v>
      </c>
      <c r="K7" s="94">
        <f>'Alocação MO'!D12</f>
        <v>6</v>
      </c>
    </row>
    <row r="8" spans="1:11">
      <c r="B8" s="772" t="str">
        <f>CONCATENATE("", "",'Alocação MO'!C12)</f>
        <v>Gestão de Projeto, Revisão de Estudos e Apoio às Fases</v>
      </c>
      <c r="C8" s="773"/>
      <c r="D8" s="773"/>
      <c r="E8" s="773"/>
      <c r="F8" s="773"/>
      <c r="G8" s="773"/>
      <c r="H8" s="773"/>
      <c r="I8" s="675"/>
      <c r="J8" s="675" t="s">
        <v>105</v>
      </c>
      <c r="K8" s="17" t="s">
        <v>106</v>
      </c>
    </row>
    <row r="9" spans="1:11">
      <c r="B9" s="772"/>
      <c r="C9" s="773"/>
      <c r="D9" s="773"/>
      <c r="E9" s="773"/>
      <c r="F9" s="774"/>
      <c r="G9" s="774"/>
      <c r="H9" s="774"/>
      <c r="I9" s="18"/>
      <c r="J9" s="18" t="s">
        <v>107</v>
      </c>
      <c r="K9" s="19"/>
    </row>
    <row r="10" spans="1:11">
      <c r="B10" s="20" t="s">
        <v>108</v>
      </c>
      <c r="C10" s="21"/>
      <c r="D10" s="22"/>
      <c r="E10" s="23"/>
      <c r="F10" s="775" t="s">
        <v>109</v>
      </c>
      <c r="G10" s="776" t="s">
        <v>110</v>
      </c>
      <c r="H10" s="776"/>
      <c r="I10" s="776" t="s">
        <v>111</v>
      </c>
      <c r="J10" s="776"/>
      <c r="K10" s="25" t="s">
        <v>112</v>
      </c>
    </row>
    <row r="11" spans="1:11">
      <c r="B11" s="26"/>
      <c r="C11" s="27"/>
      <c r="D11" s="28"/>
      <c r="E11" s="29"/>
      <c r="F11" s="775"/>
      <c r="G11" s="24" t="s">
        <v>113</v>
      </c>
      <c r="H11" s="24" t="s">
        <v>114</v>
      </c>
      <c r="I11" s="24" t="s">
        <v>113</v>
      </c>
      <c r="J11" s="24" t="s">
        <v>114</v>
      </c>
      <c r="K11" s="30" t="s">
        <v>115</v>
      </c>
    </row>
    <row r="12" spans="1:11" ht="32.25" customHeight="1">
      <c r="B12" s="31" t="s">
        <v>297</v>
      </c>
      <c r="C12" s="767" t="str">
        <f>VLOOKUP(B12,Equip.Info!A:L,2,FALSE)</f>
        <v>Laptop 14" com processador, placa de vídeo e memória compatíveis à função CAD/SIG</v>
      </c>
      <c r="D12" s="767"/>
      <c r="E12" s="768"/>
      <c r="F12" s="105">
        <f>SUM(I18:I22)</f>
        <v>2737.3500000000004</v>
      </c>
      <c r="G12" s="105">
        <v>1</v>
      </c>
      <c r="H12" s="105">
        <v>0</v>
      </c>
      <c r="I12" s="105">
        <f>VLOOKUP($B12,Equip.Info!$A:$L,11,FALSE)</f>
        <v>1.0773999999999999</v>
      </c>
      <c r="J12" s="105">
        <f>VLOOKUP($B12,Equip.Info!$A:$L,12,FALSE)</f>
        <v>0.70909999999999995</v>
      </c>
      <c r="K12" s="120">
        <f>F12*(G12*I12+H12*J12)</f>
        <v>2949.2208900000001</v>
      </c>
    </row>
    <row r="13" spans="1:11" ht="29.25" customHeight="1">
      <c r="B13" s="31"/>
      <c r="C13" s="767"/>
      <c r="D13" s="767"/>
      <c r="E13" s="768"/>
      <c r="F13" s="106"/>
      <c r="G13" s="106"/>
      <c r="H13" s="106"/>
      <c r="I13" s="106"/>
      <c r="J13" s="106"/>
      <c r="K13" s="121"/>
    </row>
    <row r="14" spans="1:11" ht="20.100000000000001" customHeight="1">
      <c r="B14" s="35"/>
      <c r="E14" s="8"/>
      <c r="F14" s="36"/>
      <c r="G14" s="33"/>
      <c r="H14" s="33"/>
      <c r="I14" s="33"/>
      <c r="J14" s="33"/>
      <c r="K14" s="34"/>
    </row>
    <row r="15" spans="1:11" ht="20.100000000000001" customHeight="1">
      <c r="B15" s="37"/>
      <c r="C15" s="6"/>
      <c r="D15" s="6"/>
      <c r="E15" s="38"/>
      <c r="F15" s="39"/>
      <c r="G15" s="40"/>
      <c r="H15" s="40"/>
      <c r="I15" s="40"/>
      <c r="J15" s="40"/>
      <c r="K15" s="41"/>
    </row>
    <row r="16" spans="1:11">
      <c r="B16" s="42" t="s">
        <v>116</v>
      </c>
      <c r="C16" s="43"/>
      <c r="D16" s="43"/>
      <c r="E16" s="43"/>
      <c r="F16" s="43"/>
      <c r="G16" s="44"/>
      <c r="H16" s="44"/>
      <c r="I16" s="44"/>
      <c r="J16" s="45"/>
      <c r="K16" s="46">
        <f>K12+K13</f>
        <v>2949.2208900000001</v>
      </c>
    </row>
    <row r="17" spans="2:15" s="49" customFormat="1" ht="45">
      <c r="B17" s="47" t="s">
        <v>117</v>
      </c>
      <c r="C17" s="83"/>
      <c r="D17" s="83"/>
      <c r="E17" s="83"/>
      <c r="F17" s="95" t="s">
        <v>118</v>
      </c>
      <c r="G17" s="95" t="s">
        <v>119</v>
      </c>
      <c r="H17" s="96" t="s">
        <v>120</v>
      </c>
      <c r="I17" s="84" t="s">
        <v>121</v>
      </c>
      <c r="J17" s="48" t="s">
        <v>122</v>
      </c>
      <c r="K17" s="48" t="s">
        <v>123</v>
      </c>
      <c r="O17" s="87"/>
    </row>
    <row r="18" spans="2:15" ht="15" customHeight="1">
      <c r="B18" s="35" t="str">
        <f>IF(ISBLANK(C18),0,VLOOKUP(C18,Categorias!$A$4:$B$83,2,FALSE))</f>
        <v>P8044</v>
      </c>
      <c r="C18" s="786" t="s">
        <v>24</v>
      </c>
      <c r="D18" s="786"/>
      <c r="E18" s="786"/>
      <c r="F18" s="52">
        <v>0.25</v>
      </c>
      <c r="G18" s="677">
        <f>INDEX(Resumo[],MATCH($B$8,Resumo[Descrição dos Produtos],0),MATCH(C18,Resumo[#Headers],0))</f>
        <v>1</v>
      </c>
      <c r="H18" s="50">
        <f>F18*G18*$K$7</f>
        <v>1.5</v>
      </c>
      <c r="I18" s="678">
        <f t="shared" ref="I18:I20" si="0">H18*182.49</f>
        <v>273.73500000000001</v>
      </c>
      <c r="J18" s="51">
        <f>IF(ISBLANK(B18),0,VLOOKUP(B18,'TC 07-2023'!B:Z,25,TRUE)/182.49)</f>
        <v>172.51148008110033</v>
      </c>
      <c r="K18" s="33">
        <f t="shared" ref="K18:K20" si="1">J18*I18</f>
        <v>47222.43</v>
      </c>
    </row>
    <row r="19" spans="2:15" ht="15" customHeight="1">
      <c r="B19" s="35" t="str">
        <f>IF(ISBLANK(C19),0,VLOOKUP(C19,Categorias!$A$4:$B$83,2,FALSE))</f>
        <v>P8061</v>
      </c>
      <c r="C19" s="786" t="s">
        <v>35</v>
      </c>
      <c r="D19" s="786"/>
      <c r="E19" s="786"/>
      <c r="F19" s="52">
        <v>0.25</v>
      </c>
      <c r="G19" s="677">
        <f>INDEX(Resumo[],MATCH($B$8,Resumo[Descrição dos Produtos],0),MATCH(C19,Resumo[#Headers],0))</f>
        <v>1</v>
      </c>
      <c r="H19" s="50">
        <f t="shared" ref="H19:H20" si="2">F19*G19*$K$7</f>
        <v>1.5</v>
      </c>
      <c r="I19" s="678">
        <f t="shared" si="0"/>
        <v>273.73500000000001</v>
      </c>
      <c r="J19" s="51">
        <f>IF(ISBLANK(B19),0,VLOOKUP(B19,'TC 07-2023'!B:Z,25,TRUE)/182.49)</f>
        <v>174.03671434051179</v>
      </c>
      <c r="K19" s="33">
        <f t="shared" si="1"/>
        <v>47639.939999999995</v>
      </c>
    </row>
    <row r="20" spans="2:15" ht="15" customHeight="1">
      <c r="B20" s="35" t="str">
        <f>IF(ISBLANK(C20),0,VLOOKUP(C20,Categorias!$A$4:$B$83,2,FALSE))</f>
        <v>P8003</v>
      </c>
      <c r="C20" s="786" t="s">
        <v>3</v>
      </c>
      <c r="D20" s="786"/>
      <c r="E20" s="786"/>
      <c r="F20" s="52">
        <v>0.75</v>
      </c>
      <c r="G20" s="677">
        <f>INDEX(Resumo[],MATCH($B$8,Resumo[Descrição dos Produtos],0),MATCH(C20,Resumo[#Headers],0))</f>
        <v>1</v>
      </c>
      <c r="H20" s="50">
        <f t="shared" si="2"/>
        <v>4.5</v>
      </c>
      <c r="I20" s="678">
        <f t="shared" si="0"/>
        <v>821.20500000000004</v>
      </c>
      <c r="J20" s="51">
        <f>IF(ISBLANK(B20),0,VLOOKUP(B20,'TC 07-2023'!B:Z,25,TRUE)/182.49)</f>
        <v>105.29289276124719</v>
      </c>
      <c r="K20" s="33">
        <f t="shared" si="1"/>
        <v>86467.05</v>
      </c>
    </row>
    <row r="21" spans="2:15" ht="15" customHeight="1">
      <c r="B21" s="35" t="str">
        <f>IF(ISBLANK(C21),0,VLOOKUP(C21,Categorias!$A$4:$B$83,2,FALSE))</f>
        <v>P8047</v>
      </c>
      <c r="C21" s="676" t="s">
        <v>27</v>
      </c>
      <c r="D21" s="676"/>
      <c r="E21" s="676"/>
      <c r="F21" s="52">
        <v>0.75</v>
      </c>
      <c r="G21" s="677">
        <f>INDEX(Resumo[],MATCH($B$8,Resumo[Descrição dos Produtos],0),MATCH(C21,Resumo[#Headers],0))</f>
        <v>1</v>
      </c>
      <c r="H21" s="50">
        <f t="shared" ref="H21:H22" si="3">F21*G21*$K$7</f>
        <v>4.5</v>
      </c>
      <c r="I21" s="678">
        <f t="shared" ref="I21:I22" si="4">H21*182.49</f>
        <v>821.20500000000004</v>
      </c>
      <c r="J21" s="51">
        <f>IF(ISBLANK(B21),0,VLOOKUP(B21,'TC 07-2023'!B:Z,25,TRUE)/182.49)</f>
        <v>108.82941531042796</v>
      </c>
      <c r="K21" s="33">
        <f t="shared" ref="K21:K22" si="5">J21*I21</f>
        <v>89371.26</v>
      </c>
    </row>
    <row r="22" spans="2:15">
      <c r="B22" s="35" t="str">
        <f>IF(ISBLANK(C22),0,VLOOKUP(C22,Categorias!$A$4:$B$83,2,FALSE))</f>
        <v>P8060</v>
      </c>
      <c r="C22" s="676" t="s">
        <v>34</v>
      </c>
      <c r="D22" s="676"/>
      <c r="E22" s="676"/>
      <c r="F22" s="52">
        <v>0.5</v>
      </c>
      <c r="G22" s="677">
        <f>INDEX(Resumo[],MATCH($B$8,Resumo[Descrição dos Produtos],0),MATCH(C22,Resumo[#Headers],0))</f>
        <v>1</v>
      </c>
      <c r="H22" s="50">
        <f t="shared" si="3"/>
        <v>3</v>
      </c>
      <c r="I22" s="678">
        <f t="shared" si="4"/>
        <v>547.47</v>
      </c>
      <c r="J22" s="51">
        <f>IF(ISBLANK(B22),0,VLOOKUP(B22,'TC 07-2023'!B:Z,25,TRUE)/182.49)</f>
        <v>207.71921749136939</v>
      </c>
      <c r="K22" s="33">
        <f t="shared" si="5"/>
        <v>113720.04000000001</v>
      </c>
    </row>
    <row r="23" spans="2:15">
      <c r="B23" s="35" t="str">
        <f>IF(ISBLANK(C23),0,VLOOKUP(C23,Categorias!$A$4:$B$83,2,FALSE))</f>
        <v>P8067</v>
      </c>
      <c r="C23" s="676" t="s">
        <v>41</v>
      </c>
      <c r="D23" s="676"/>
      <c r="E23" s="676"/>
      <c r="F23" s="52">
        <v>0.75</v>
      </c>
      <c r="G23" s="677">
        <f>INDEX(Resumo[],MATCH($B$8,Resumo[Descrição dos Produtos],0),MATCH(C23,Resumo[#Headers],0))</f>
        <v>3</v>
      </c>
      <c r="H23" s="50">
        <f t="shared" ref="H23" si="6">F23*G23*$K$7</f>
        <v>13.5</v>
      </c>
      <c r="I23" s="678">
        <f t="shared" ref="I23" si="7">H23*182.49</f>
        <v>2463.6150000000002</v>
      </c>
      <c r="J23" s="51">
        <f>IF(ISBLANK(B23),0,VLOOKUP(B23,'TC 07-2023'!B:Z,25,TRUE)/182.49)</f>
        <v>151.26779549564358</v>
      </c>
      <c r="K23" s="33">
        <f t="shared" ref="K23" si="8">J23*I23</f>
        <v>372665.61</v>
      </c>
    </row>
    <row r="24" spans="2:15">
      <c r="B24" s="35" t="str">
        <f>IF(ISBLANK(C24),0,VLOOKUP(C24,Categorias!$A$4:$B$83,2,FALSE))</f>
        <v>P8066</v>
      </c>
      <c r="C24" s="786" t="s">
        <v>40</v>
      </c>
      <c r="D24" s="786"/>
      <c r="E24" s="786"/>
      <c r="F24" s="52">
        <v>1</v>
      </c>
      <c r="G24" s="677">
        <f>INDEX(Resumo[],MATCH($B$8,Resumo[Descrição dos Produtos],0),MATCH(C24,Resumo[#Headers],0))</f>
        <v>1</v>
      </c>
      <c r="H24" s="50">
        <f t="shared" ref="H24" si="9">F24*G24*$K$7</f>
        <v>6</v>
      </c>
      <c r="I24" s="678">
        <f t="shared" ref="I24" si="10">H24*182.49</f>
        <v>1094.94</v>
      </c>
      <c r="J24" s="51">
        <f>IF(ISBLANK(B24),0,VLOOKUP(B24,'TC 07-2023'!B:Z,25,TRUE)/182.49)</f>
        <v>120.38555537289714</v>
      </c>
      <c r="K24" s="33">
        <f t="shared" ref="K24" si="11">J24*I24</f>
        <v>131814.96</v>
      </c>
    </row>
    <row r="25" spans="2:15" ht="15" customHeight="1">
      <c r="B25" s="35" t="s">
        <v>344</v>
      </c>
      <c r="C25" s="6"/>
      <c r="D25" s="6"/>
      <c r="E25" s="6"/>
      <c r="F25" s="55"/>
      <c r="G25" s="6"/>
      <c r="H25" s="55"/>
      <c r="I25" s="56"/>
      <c r="J25" s="51"/>
      <c r="K25" s="40"/>
    </row>
    <row r="26" spans="2:15">
      <c r="B26" s="42" t="s">
        <v>124</v>
      </c>
      <c r="C26" s="43"/>
      <c r="D26" s="43"/>
      <c r="E26" s="43"/>
      <c r="F26" s="44"/>
      <c r="G26" s="44"/>
      <c r="H26" s="44"/>
      <c r="I26" s="44"/>
      <c r="J26" s="45"/>
      <c r="K26" s="46">
        <f>SUM(K18:K25)</f>
        <v>888901.28999999992</v>
      </c>
    </row>
    <row r="27" spans="2:15">
      <c r="B27" s="42" t="s">
        <v>125</v>
      </c>
      <c r="C27" s="43"/>
      <c r="D27" s="43"/>
      <c r="E27" s="481">
        <v>1</v>
      </c>
      <c r="F27" s="42" t="s">
        <v>126</v>
      </c>
      <c r="G27" s="43"/>
      <c r="H27" s="43"/>
      <c r="I27" s="43"/>
      <c r="J27" s="58"/>
      <c r="K27" s="46">
        <f>K26+K16</f>
        <v>891850.51088999992</v>
      </c>
    </row>
    <row r="28" spans="2:15">
      <c r="B28" s="42" t="s">
        <v>127</v>
      </c>
      <c r="C28" s="43"/>
      <c r="D28" s="43"/>
      <c r="E28" s="481"/>
      <c r="F28" s="42"/>
      <c r="G28" s="43"/>
      <c r="H28" s="43"/>
      <c r="I28" s="43"/>
      <c r="J28" s="58"/>
      <c r="K28" s="46">
        <f>K27/E27</f>
        <v>891850.51088999992</v>
      </c>
    </row>
    <row r="29" spans="2:15">
      <c r="B29" s="59"/>
      <c r="C29" s="43"/>
      <c r="D29" s="43"/>
      <c r="E29" s="43"/>
      <c r="F29" s="43"/>
      <c r="G29" s="43"/>
      <c r="H29" s="43"/>
      <c r="I29" s="43"/>
      <c r="J29" s="43"/>
      <c r="K29" s="58"/>
    </row>
    <row r="30" spans="2:15" ht="30">
      <c r="B30" s="777" t="s">
        <v>128</v>
      </c>
      <c r="C30" s="778"/>
      <c r="D30" s="778"/>
      <c r="E30" s="778"/>
      <c r="F30" s="778"/>
      <c r="G30" s="779"/>
      <c r="H30" s="60" t="s">
        <v>105</v>
      </c>
      <c r="I30" s="60" t="s">
        <v>129</v>
      </c>
      <c r="J30" s="61" t="s">
        <v>130</v>
      </c>
      <c r="K30" s="61" t="s">
        <v>131</v>
      </c>
    </row>
    <row r="31" spans="2:15" ht="15" customHeight="1">
      <c r="B31" s="35" t="s">
        <v>310</v>
      </c>
      <c r="C31" s="5" t="str">
        <f>VLOOKUP(B31,Mat.Info!A1:F3,2,FALSE)</f>
        <v>Sistema operacional e pacote office</v>
      </c>
      <c r="G31" s="8"/>
      <c r="H31" s="104" t="s">
        <v>316</v>
      </c>
      <c r="I31" s="104">
        <f>SUM(F12:F15)</f>
        <v>2737.3500000000004</v>
      </c>
      <c r="J31" s="104">
        <f>VLOOKUP(B31,Mat.Info!$A:$F,6,FALSE)</f>
        <v>0.2286</v>
      </c>
      <c r="K31" s="32">
        <f>I31*J31</f>
        <v>625.75821000000008</v>
      </c>
    </row>
    <row r="32" spans="2:15">
      <c r="B32" s="35"/>
      <c r="C32" s="5" t="str">
        <f>IF(B32="","",VLOOKUP(B32,Mat.Info!A2:F6,2,FALSE))</f>
        <v/>
      </c>
      <c r="G32" s="8"/>
      <c r="H32" s="33"/>
      <c r="I32" s="33"/>
      <c r="J32" s="33" t="str">
        <f>IF(B32="","",VLOOKUP(B32,Mat.Info!$A:$F,5,FALSE))</f>
        <v/>
      </c>
      <c r="K32" s="33" t="str">
        <f>IF(B32="","",I32*J32)</f>
        <v/>
      </c>
    </row>
    <row r="33" spans="2:11">
      <c r="B33" s="35"/>
      <c r="G33" s="8"/>
      <c r="H33" s="33"/>
      <c r="I33" s="33"/>
      <c r="J33" s="33"/>
      <c r="K33" s="33"/>
    </row>
    <row r="34" spans="2:11">
      <c r="B34" s="35"/>
      <c r="G34" s="8"/>
      <c r="H34" s="33"/>
      <c r="I34" s="33"/>
      <c r="J34" s="33"/>
      <c r="K34" s="33"/>
    </row>
    <row r="35" spans="2:11">
      <c r="B35" s="35"/>
      <c r="G35" s="8"/>
      <c r="H35" s="33"/>
      <c r="I35" s="33"/>
      <c r="J35" s="33"/>
      <c r="K35" s="33"/>
    </row>
    <row r="36" spans="2:11">
      <c r="B36" s="35"/>
      <c r="G36" s="8"/>
      <c r="H36" s="33"/>
      <c r="I36" s="33"/>
      <c r="J36" s="33"/>
      <c r="K36" s="33"/>
    </row>
    <row r="37" spans="2:11">
      <c r="B37" s="35"/>
      <c r="G37" s="8"/>
      <c r="H37" s="33"/>
      <c r="I37" s="33"/>
      <c r="J37" s="33"/>
      <c r="K37" s="33"/>
    </row>
    <row r="38" spans="2:11">
      <c r="B38" s="37"/>
      <c r="C38" s="6"/>
      <c r="D38" s="6"/>
      <c r="E38" s="6"/>
      <c r="F38" s="6"/>
      <c r="G38" s="38"/>
      <c r="H38" s="40"/>
      <c r="I38" s="40"/>
      <c r="J38" s="40"/>
      <c r="K38" s="40"/>
    </row>
    <row r="39" spans="2:11">
      <c r="B39" s="42" t="s">
        <v>132</v>
      </c>
      <c r="C39" s="43"/>
      <c r="D39" s="43"/>
      <c r="E39" s="43"/>
      <c r="F39" s="43"/>
      <c r="G39" s="43"/>
      <c r="H39" s="44"/>
      <c r="I39" s="44"/>
      <c r="J39" s="45"/>
      <c r="K39" s="46">
        <f>SUM(K31:K38)</f>
        <v>625.75821000000008</v>
      </c>
    </row>
    <row r="40" spans="2:11">
      <c r="B40" s="20" t="s">
        <v>133</v>
      </c>
      <c r="C40" s="62"/>
      <c r="D40" s="62"/>
      <c r="E40" s="62"/>
      <c r="F40" s="62"/>
      <c r="G40" s="62"/>
      <c r="H40" s="63"/>
      <c r="I40" s="60" t="s">
        <v>129</v>
      </c>
      <c r="J40" s="60" t="s">
        <v>134</v>
      </c>
      <c r="K40" s="60" t="s">
        <v>112</v>
      </c>
    </row>
    <row r="41" spans="2:11">
      <c r="B41" s="64"/>
      <c r="C41" s="65"/>
      <c r="D41" s="65"/>
      <c r="E41" s="65"/>
      <c r="F41" s="65"/>
      <c r="G41" s="65"/>
      <c r="H41" s="66"/>
      <c r="I41" s="67"/>
      <c r="J41" s="67" t="s">
        <v>135</v>
      </c>
      <c r="K41" s="67" t="s">
        <v>135</v>
      </c>
    </row>
    <row r="42" spans="2:11">
      <c r="B42" s="59"/>
      <c r="C42" s="43"/>
      <c r="D42" s="43"/>
      <c r="E42" s="43"/>
      <c r="F42" s="43"/>
      <c r="G42" s="43"/>
      <c r="H42" s="43"/>
      <c r="I42" s="43"/>
      <c r="J42" s="43"/>
      <c r="K42" s="58"/>
    </row>
    <row r="43" spans="2:11">
      <c r="B43" s="42" t="s">
        <v>136</v>
      </c>
      <c r="C43" s="43"/>
      <c r="D43" s="43"/>
      <c r="E43" s="43"/>
      <c r="F43" s="43"/>
      <c r="G43" s="43"/>
      <c r="H43" s="43"/>
      <c r="I43" s="43"/>
      <c r="J43" s="58"/>
      <c r="K43" s="4"/>
    </row>
    <row r="44" spans="2:11">
      <c r="B44" s="20" t="s">
        <v>137</v>
      </c>
      <c r="C44" s="68"/>
      <c r="D44" s="60" t="s">
        <v>129</v>
      </c>
      <c r="E44" s="780" t="s">
        <v>138</v>
      </c>
      <c r="F44" s="781"/>
      <c r="G44" s="782"/>
      <c r="H44" s="783" t="s">
        <v>130</v>
      </c>
      <c r="I44" s="784"/>
      <c r="J44" s="785"/>
      <c r="K44" s="60" t="s">
        <v>112</v>
      </c>
    </row>
    <row r="45" spans="2:11">
      <c r="B45" s="37"/>
      <c r="C45" s="6"/>
      <c r="D45" s="67"/>
      <c r="E45" s="24" t="s">
        <v>139</v>
      </c>
      <c r="F45" s="24" t="s">
        <v>140</v>
      </c>
      <c r="G45" s="24" t="s">
        <v>141</v>
      </c>
      <c r="H45" s="24" t="s">
        <v>139</v>
      </c>
      <c r="I45" s="24" t="s">
        <v>140</v>
      </c>
      <c r="J45" s="24" t="s">
        <v>141</v>
      </c>
      <c r="K45" s="67" t="s">
        <v>135</v>
      </c>
    </row>
    <row r="46" spans="2:11">
      <c r="B46" s="59"/>
      <c r="C46" s="43"/>
      <c r="D46" s="4"/>
      <c r="E46" s="4"/>
      <c r="F46" s="4"/>
      <c r="G46" s="4"/>
      <c r="H46" s="4"/>
      <c r="I46" s="4"/>
      <c r="J46" s="4"/>
      <c r="K46" s="46"/>
    </row>
    <row r="47" spans="2:11">
      <c r="B47" s="42" t="s">
        <v>142</v>
      </c>
      <c r="C47" s="43"/>
      <c r="D47" s="43"/>
      <c r="E47" s="43"/>
      <c r="F47" s="43"/>
      <c r="G47" s="43"/>
      <c r="H47" s="43"/>
      <c r="I47" s="43"/>
      <c r="J47" s="58"/>
      <c r="K47" s="46"/>
    </row>
    <row r="48" spans="2:11">
      <c r="B48" s="59"/>
      <c r="C48" s="43"/>
      <c r="D48" s="43"/>
      <c r="E48" s="43"/>
      <c r="F48" s="43"/>
      <c r="G48" s="43"/>
      <c r="H48" s="43"/>
      <c r="I48" s="43"/>
      <c r="J48" s="43"/>
      <c r="K48" s="45"/>
    </row>
    <row r="49" spans="2:11">
      <c r="B49" s="42" t="s">
        <v>143</v>
      </c>
      <c r="C49" s="69"/>
      <c r="D49" s="69"/>
      <c r="E49" s="69"/>
      <c r="F49" s="69"/>
      <c r="G49" s="69"/>
      <c r="H49" s="69"/>
      <c r="I49" s="69"/>
      <c r="J49" s="69"/>
      <c r="K49" s="70">
        <f>K47+K43+K39+K28</f>
        <v>892476.26909999992</v>
      </c>
    </row>
    <row r="50" spans="2:11">
      <c r="B50" s="42" t="s">
        <v>144</v>
      </c>
      <c r="C50" s="69"/>
      <c r="D50" s="69"/>
      <c r="E50" s="69"/>
      <c r="F50" s="69"/>
      <c r="G50" s="69"/>
      <c r="H50" s="69"/>
      <c r="I50" s="69"/>
      <c r="J50" s="71">
        <f ca="1">Dados!$C$10</f>
        <v>0.44790000000000002</v>
      </c>
      <c r="K50" s="70">
        <f ca="1">K49*J50</f>
        <v>399740.12092988996</v>
      </c>
    </row>
    <row r="51" spans="2:11">
      <c r="B51" s="59" t="s">
        <v>145</v>
      </c>
      <c r="C51" s="43"/>
      <c r="D51" s="43"/>
      <c r="E51" s="43"/>
      <c r="F51" s="43"/>
      <c r="G51" s="43"/>
      <c r="H51" s="43"/>
      <c r="I51" s="43"/>
      <c r="J51" s="43"/>
      <c r="K51" s="46">
        <f ca="1">K50+K49</f>
        <v>1292216.39002989</v>
      </c>
    </row>
    <row r="53" spans="2:11" ht="4.5" customHeight="1"/>
  </sheetData>
  <mergeCells count="14">
    <mergeCell ref="C12:E12"/>
    <mergeCell ref="B6:K6"/>
    <mergeCell ref="B8:H9"/>
    <mergeCell ref="F10:F11"/>
    <mergeCell ref="G10:H10"/>
    <mergeCell ref="I10:J10"/>
    <mergeCell ref="C24:E24"/>
    <mergeCell ref="B30:G30"/>
    <mergeCell ref="E44:G44"/>
    <mergeCell ref="H44:J44"/>
    <mergeCell ref="C13:E13"/>
    <mergeCell ref="C18:E18"/>
    <mergeCell ref="C19:E19"/>
    <mergeCell ref="C20:E2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8020F1C-8871-47E3-9981-C170F7C0C1E9}">
          <x14:formula1>
            <xm:f>Categorias!$A$4:$A$101</xm:f>
          </x14:formula1>
          <xm:sqref>C18:E24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837DD-7EBC-47CE-8392-878CFCF17261}">
  <sheetPr>
    <tabColor rgb="FF008080"/>
    <pageSetUpPr fitToPage="1"/>
  </sheetPr>
  <dimension ref="B2:N16"/>
  <sheetViews>
    <sheetView showGridLines="0" zoomScale="80" zoomScaleNormal="80" workbookViewId="0">
      <selection activeCell="G7" sqref="G7"/>
    </sheetView>
  </sheetViews>
  <sheetFormatPr defaultRowHeight="15"/>
  <cols>
    <col min="1" max="1" width="3" style="123" customWidth="1"/>
    <col min="2" max="3" width="9.140625" style="123"/>
    <col min="4" max="4" width="29.85546875" style="123" customWidth="1"/>
    <col min="5" max="5" width="23.140625" style="123" bestFit="1" customWidth="1"/>
    <col min="6" max="6" width="7" style="123" customWidth="1"/>
    <col min="7" max="7" width="10.42578125" style="123" customWidth="1"/>
    <col min="8" max="8" width="10.5703125" style="123" customWidth="1"/>
    <col min="9" max="9" width="11" style="123" customWidth="1"/>
    <col min="10" max="13" width="12.42578125" style="123" customWidth="1"/>
    <col min="14" max="14" width="12.85546875" style="123" customWidth="1"/>
    <col min="15" max="16384" width="9.140625" style="123"/>
  </cols>
  <sheetData>
    <row r="2" spans="2:14" ht="30.75" customHeight="1">
      <c r="B2" s="343" t="s">
        <v>734</v>
      </c>
      <c r="C2" s="628"/>
      <c r="D2" s="344"/>
      <c r="E2" s="344"/>
      <c r="F2" s="327"/>
      <c r="G2" s="327"/>
      <c r="H2" s="327"/>
      <c r="I2" s="327"/>
      <c r="J2" s="327"/>
      <c r="K2" s="327"/>
      <c r="L2" s="327"/>
      <c r="M2" s="327"/>
      <c r="N2" s="328"/>
    </row>
    <row r="3" spans="2:14" ht="33" customHeight="1">
      <c r="B3" s="787" t="str">
        <f>'Diárias e Passagens'!B3</f>
        <v>Contratação de serviços técnicos e especializados de engenharia consultiva para a elaboração de Estudo de Viabilidade Técnica, Econômica e Ambiental (EVTEA) da FCA.</v>
      </c>
      <c r="C3" s="788"/>
      <c r="D3" s="788"/>
      <c r="E3" s="788"/>
      <c r="F3" s="788"/>
      <c r="G3" s="788"/>
      <c r="H3" s="788"/>
      <c r="I3" s="788"/>
      <c r="J3" s="788"/>
      <c r="K3" s="78"/>
      <c r="L3" s="78"/>
      <c r="M3" s="78"/>
      <c r="N3" s="398"/>
    </row>
    <row r="4" spans="2:14">
      <c r="B4" s="397" t="str">
        <f>'Diárias e Passagens'!B4</f>
        <v>Área de Atuação: Goiás, Distrito Federal, Minas Gerais, São Paulo, Rio de Janeiro - 4360 km</v>
      </c>
      <c r="C4" s="629"/>
      <c r="D4" s="340"/>
      <c r="E4" s="340"/>
      <c r="F4" s="399"/>
      <c r="G4" s="399"/>
      <c r="H4" s="399"/>
      <c r="I4" s="399"/>
      <c r="J4" s="399"/>
      <c r="K4" s="399"/>
      <c r="L4" s="399"/>
      <c r="M4" s="399"/>
      <c r="N4" s="400"/>
    </row>
    <row r="5" spans="2:14">
      <c r="B5" s="401" t="str">
        <f>'Diárias e Passagens'!B5</f>
        <v>Data Base: jul/23</v>
      </c>
      <c r="C5" s="403"/>
      <c r="D5" s="330"/>
      <c r="E5" s="330"/>
      <c r="F5" s="402"/>
      <c r="G5" s="402"/>
      <c r="H5" s="403"/>
      <c r="I5" s="403"/>
      <c r="J5" s="404"/>
      <c r="K5" s="404"/>
      <c r="L5" s="404"/>
      <c r="M5" s="404"/>
      <c r="N5" s="405"/>
    </row>
    <row r="6" spans="2:14">
      <c r="B6" s="396"/>
      <c r="C6" s="396"/>
    </row>
    <row r="7" spans="2:14" ht="15" customHeight="1">
      <c r="B7" s="790" t="s">
        <v>146</v>
      </c>
      <c r="C7" s="790" t="s">
        <v>797</v>
      </c>
      <c r="D7" s="790" t="s">
        <v>793</v>
      </c>
      <c r="E7" s="790" t="s">
        <v>736</v>
      </c>
      <c r="F7" s="789" t="s">
        <v>729</v>
      </c>
      <c r="G7" s="789" t="s">
        <v>730</v>
      </c>
      <c r="H7" s="789" t="s">
        <v>732</v>
      </c>
      <c r="I7" s="789" t="s">
        <v>733</v>
      </c>
      <c r="J7" s="789" t="s">
        <v>355</v>
      </c>
      <c r="K7" s="789"/>
      <c r="L7" s="789" t="s">
        <v>356</v>
      </c>
      <c r="M7" s="789"/>
      <c r="N7" s="789" t="s">
        <v>731</v>
      </c>
    </row>
    <row r="8" spans="2:14" ht="21" customHeight="1">
      <c r="B8" s="791"/>
      <c r="C8" s="791"/>
      <c r="D8" s="791"/>
      <c r="E8" s="791"/>
      <c r="F8" s="789"/>
      <c r="G8" s="789"/>
      <c r="H8" s="789"/>
      <c r="I8" s="789"/>
      <c r="J8" s="107" t="s">
        <v>358</v>
      </c>
      <c r="K8" s="107" t="s">
        <v>359</v>
      </c>
      <c r="L8" s="107" t="s">
        <v>307</v>
      </c>
      <c r="M8" s="107" t="s">
        <v>269</v>
      </c>
      <c r="N8" s="789"/>
    </row>
    <row r="9" spans="2:14" ht="31.5" customHeight="1">
      <c r="B9" s="394" t="s">
        <v>273</v>
      </c>
      <c r="C9" s="111" t="s">
        <v>798</v>
      </c>
      <c r="D9" s="569" t="str">
        <f>VLOOKUP(B9,'TC-CustosGerais'!$C$6:$G$8,2,FALSE)</f>
        <v>Veículo leve picape 4x4 - 147 kW (sem motorista)</v>
      </c>
      <c r="E9" s="111" t="str">
        <f>'Resumo'!C11</f>
        <v>Dimensão de Engenharia (EEN)</v>
      </c>
      <c r="F9" s="111">
        <v>1</v>
      </c>
      <c r="G9" s="391">
        <f>'Diárias e Passagens'!M49</f>
        <v>39</v>
      </c>
      <c r="H9" s="392">
        <v>0.8</v>
      </c>
      <c r="I9" s="111">
        <v>7.3330000000000002</v>
      </c>
      <c r="J9" s="111">
        <f>I9*G9*H9</f>
        <v>228.78960000000004</v>
      </c>
      <c r="K9" s="393">
        <f>I9*G9-J9</f>
        <v>57.197399999999988</v>
      </c>
      <c r="L9" s="111">
        <f>VLOOKUP($B9,'TC-CustosGerais'!$C$6:$G$8,4,FALSE)</f>
        <v>80.19</v>
      </c>
      <c r="M9" s="111">
        <f>VLOOKUP($B9,'TC-CustosGerais'!$C$6:$G$8,5,FALSE)</f>
        <v>28.61</v>
      </c>
      <c r="N9" s="390">
        <f>2*(L9*J9+K9*M9)</f>
        <v>39966.111276000003</v>
      </c>
    </row>
    <row r="10" spans="2:14" ht="31.5" customHeight="1">
      <c r="B10" s="394" t="s">
        <v>273</v>
      </c>
      <c r="C10" s="111" t="s">
        <v>798</v>
      </c>
      <c r="D10" s="569" t="str">
        <f>VLOOKUP(B10,'TC-CustosGerais'!$C$6:$G$8,2,FALSE)</f>
        <v>Veículo leve picape 4x4 - 147 kW (sem motorista)</v>
      </c>
      <c r="E10" s="111" t="str">
        <f>'Resumo'!C13</f>
        <v>Dimensão Socioambiental (EMA)</v>
      </c>
      <c r="F10" s="111">
        <v>1</v>
      </c>
      <c r="G10" s="391">
        <f>'Diárias e Passagens'!M49</f>
        <v>39</v>
      </c>
      <c r="H10" s="392">
        <v>0.8</v>
      </c>
      <c r="I10" s="111">
        <v>7.3330000000000002</v>
      </c>
      <c r="J10" s="111">
        <f>I10*G10*H10</f>
        <v>228.78960000000004</v>
      </c>
      <c r="K10" s="393">
        <f>I10*G10-J10</f>
        <v>57.197399999999988</v>
      </c>
      <c r="L10" s="111">
        <f>VLOOKUP($B10,'TC-CustosGerais'!$C$6:$G$8,4,FALSE)</f>
        <v>80.19</v>
      </c>
      <c r="M10" s="111">
        <f>VLOOKUP($B10,'TC-CustosGerais'!$C$6:$G$8,5,FALSE)</f>
        <v>28.61</v>
      </c>
      <c r="N10" s="390">
        <f>2*(L10*J10+K10*M10)</f>
        <v>39966.111276000003</v>
      </c>
    </row>
    <row r="11" spans="2:14" ht="21.75" customHeight="1">
      <c r="B11" s="409" t="s">
        <v>744</v>
      </c>
      <c r="C11" s="630"/>
      <c r="D11" s="408"/>
      <c r="E11" s="408"/>
      <c r="F11" s="408"/>
      <c r="G11" s="410"/>
      <c r="H11" s="411"/>
      <c r="I11" s="408"/>
      <c r="J11" s="408"/>
      <c r="K11" s="412"/>
      <c r="L11" s="408"/>
      <c r="M11" s="408"/>
      <c r="N11" s="414">
        <f>SUM(N9:N10)</f>
        <v>79932.222552000007</v>
      </c>
    </row>
    <row r="12" spans="2:14" ht="21.75" customHeight="1">
      <c r="B12" s="47" t="s">
        <v>144</v>
      </c>
      <c r="C12" s="83"/>
      <c r="D12" s="83"/>
      <c r="E12" s="83"/>
      <c r="F12" s="83"/>
      <c r="G12" s="83"/>
      <c r="H12" s="83"/>
      <c r="I12" s="83"/>
      <c r="J12" s="83"/>
      <c r="K12" s="413"/>
      <c r="L12" s="413"/>
      <c r="M12" s="407">
        <f ca="1">Dados!$C$10</f>
        <v>0.44790000000000002</v>
      </c>
      <c r="N12" s="415">
        <f ca="1">N11*M12</f>
        <v>35801.642481040806</v>
      </c>
    </row>
    <row r="13" spans="2:14" ht="19.5" customHeight="1">
      <c r="B13" s="416" t="s">
        <v>145</v>
      </c>
      <c r="C13" s="417"/>
      <c r="D13" s="417"/>
      <c r="E13" s="417"/>
      <c r="F13" s="417"/>
      <c r="G13" s="417"/>
      <c r="H13" s="417"/>
      <c r="I13" s="417"/>
      <c r="J13" s="417"/>
      <c r="K13" s="417"/>
      <c r="L13" s="418"/>
      <c r="M13" s="418"/>
      <c r="N13" s="419">
        <f ca="1">N12+N11</f>
        <v>115733.86503304081</v>
      </c>
    </row>
    <row r="16" spans="2:14">
      <c r="N16" s="546"/>
    </row>
  </sheetData>
  <mergeCells count="12">
    <mergeCell ref="B3:J3"/>
    <mergeCell ref="N7:N8"/>
    <mergeCell ref="H7:H8"/>
    <mergeCell ref="B7:B8"/>
    <mergeCell ref="E7:E8"/>
    <mergeCell ref="D7:D8"/>
    <mergeCell ref="F7:F8"/>
    <mergeCell ref="G7:G8"/>
    <mergeCell ref="I7:I8"/>
    <mergeCell ref="J7:K7"/>
    <mergeCell ref="L7:M7"/>
    <mergeCell ref="C7:C8"/>
  </mergeCells>
  <pageMargins left="0.51181102362204722" right="0.51181102362204722" top="0.78740157480314965" bottom="0.78740157480314965" header="0.31496062992125984" footer="0.31496062992125984"/>
  <pageSetup paperSize="9" scale="77"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E6844B4-5866-4145-B0B0-2A0BEE6B461F}">
          <x14:formula1>
            <xm:f>'TC-CustosGerais'!$C$6:$C$8</xm:f>
          </x14:formula1>
          <xm:sqref>B9:B10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5904-3390-4C99-BD34-D17A3D8F02C3}">
  <sheetPr>
    <tabColor rgb="FF002060"/>
    <pageSetUpPr fitToPage="1"/>
  </sheetPr>
  <dimension ref="A1:P21"/>
  <sheetViews>
    <sheetView showGridLines="0" zoomScale="115" zoomScaleNormal="115" workbookViewId="0">
      <selection activeCell="G7" sqref="G7"/>
    </sheetView>
  </sheetViews>
  <sheetFormatPr defaultColWidth="9.140625" defaultRowHeight="12"/>
  <cols>
    <col min="1" max="1" width="2.7109375" style="180" customWidth="1"/>
    <col min="2" max="2" width="5.140625" style="180" customWidth="1"/>
    <col min="3" max="3" width="40.85546875" style="180" customWidth="1"/>
    <col min="4" max="4" width="8" style="180" customWidth="1"/>
    <col min="5" max="7" width="11.140625" style="180" customWidth="1"/>
    <col min="8" max="9" width="11.5703125" style="180" customWidth="1"/>
    <col min="10" max="11" width="11.140625" style="180" customWidth="1"/>
    <col min="12" max="12" width="13.5703125" style="180" customWidth="1"/>
    <col min="13" max="14" width="9.140625" style="180"/>
    <col min="15" max="15" width="12.42578125" style="180" bestFit="1" customWidth="1"/>
    <col min="16" max="16384" width="9.140625" style="180"/>
  </cols>
  <sheetData>
    <row r="1" spans="1:13">
      <c r="A1" s="178"/>
      <c r="B1" s="178"/>
      <c r="C1" s="179"/>
      <c r="D1" s="179"/>
      <c r="E1" s="179"/>
      <c r="F1" s="179"/>
      <c r="G1" s="179"/>
    </row>
    <row r="2" spans="1:13" ht="36" customHeight="1">
      <c r="B2" s="685" t="str">
        <f>"Orçamento Referencial - "&amp;Dados!C4</f>
        <v>Orçamento Referencial - Contratação de serviços técnicos e especializados de engenharia consultiva para a elaboração de Estudo de Viabilidade Técnica, Econômica e Ambiental (EVTEA) da FCA.</v>
      </c>
      <c r="C2" s="685"/>
      <c r="D2" s="685"/>
      <c r="E2" s="685"/>
      <c r="F2" s="685"/>
      <c r="G2" s="685"/>
      <c r="H2" s="685"/>
      <c r="I2" s="685"/>
      <c r="J2" s="685"/>
      <c r="K2" s="685"/>
      <c r="L2" s="685"/>
    </row>
    <row r="3" spans="1:13" ht="29.25" customHeight="1">
      <c r="A3" s="297"/>
      <c r="B3" s="295"/>
      <c r="C3" s="298"/>
      <c r="D3" s="298"/>
      <c r="E3" s="297"/>
      <c r="F3" s="297"/>
      <c r="G3" s="297"/>
    </row>
    <row r="4" spans="1:13">
      <c r="A4" s="297"/>
      <c r="B4" s="296" t="s">
        <v>425</v>
      </c>
      <c r="C4" s="299">
        <f>Dados!C9</f>
        <v>45108</v>
      </c>
      <c r="D4" s="299"/>
      <c r="E4" s="297"/>
      <c r="F4" s="297"/>
      <c r="G4" s="297"/>
    </row>
    <row r="5" spans="1:13" ht="5.0999999999999996" customHeight="1"/>
    <row r="6" spans="1:13" ht="23.1" customHeight="1">
      <c r="B6" s="686" t="s">
        <v>426</v>
      </c>
      <c r="C6" s="687"/>
      <c r="D6" s="699" t="s">
        <v>785</v>
      </c>
      <c r="E6" s="692" t="s">
        <v>427</v>
      </c>
      <c r="F6" s="693"/>
      <c r="G6" s="693"/>
      <c r="H6" s="693"/>
      <c r="I6" s="693"/>
      <c r="J6" s="693"/>
      <c r="K6" s="693"/>
      <c r="L6" s="694"/>
    </row>
    <row r="7" spans="1:13">
      <c r="B7" s="688"/>
      <c r="C7" s="689"/>
      <c r="D7" s="700"/>
      <c r="E7" s="258" t="s">
        <v>428</v>
      </c>
      <c r="F7" s="258" t="s">
        <v>768</v>
      </c>
      <c r="G7" s="258" t="s">
        <v>769</v>
      </c>
      <c r="H7" s="258" t="s">
        <v>429</v>
      </c>
      <c r="I7" s="258" t="s">
        <v>430</v>
      </c>
      <c r="J7" s="258" t="s">
        <v>431</v>
      </c>
      <c r="K7" s="258" t="s">
        <v>432</v>
      </c>
      <c r="L7" s="695" t="s">
        <v>433</v>
      </c>
    </row>
    <row r="8" spans="1:13" s="181" customFormat="1" ht="36" hidden="1">
      <c r="B8" s="690"/>
      <c r="C8" s="691"/>
      <c r="D8" s="701"/>
      <c r="E8" s="259" t="s">
        <v>434</v>
      </c>
      <c r="F8" s="436" t="s">
        <v>771</v>
      </c>
      <c r="G8" s="436" t="s">
        <v>770</v>
      </c>
      <c r="H8" s="697" t="s">
        <v>435</v>
      </c>
      <c r="I8" s="698"/>
      <c r="J8" s="437" t="s">
        <v>757</v>
      </c>
      <c r="K8" s="436" t="s">
        <v>436</v>
      </c>
      <c r="L8" s="696"/>
    </row>
    <row r="9" spans="1:13" ht="25.35" customHeight="1">
      <c r="B9" s="182">
        <f>'Alocação MO'!B4</f>
        <v>1</v>
      </c>
      <c r="C9" s="183" t="str">
        <f>_xlfn.XLOOKUP(B9,Produtos!$B:$B,Produtos!C:C)</f>
        <v>Plano de Trabalho</v>
      </c>
      <c r="D9" s="570">
        <f>'Cronograma'!D4</f>
        <v>1</v>
      </c>
      <c r="E9" s="430" cm="1">
        <f t="array" aca="1" ref="E9" ca="1">SUM(IF(($B9=Produtos!$AR$6:$AR$21)*('Resumo'!E$7=Produtos!$AS$6:$AS$21),(Produtos!$G$6:$G$21)))</f>
        <v>151690.42000000001</v>
      </c>
      <c r="F9" s="430" cm="1">
        <f t="array" aca="1" ref="F9" ca="1">SUM(IF(($B9=Produtos!$AR$6:$AR$21)*('Resumo'!F$7=Produtos!$AS$6:$AS$21),(Produtos!$G$6:$G$21)))</f>
        <v>0</v>
      </c>
      <c r="G9" s="430" cm="1">
        <f t="array" aca="1" ref="G9" ca="1">SUM(IF(($B9=Produtos!$AR$6:$AR$21)*('Resumo'!G$7=Produtos!$AS$6:$AS$21),(Produtos!$G$6:$G$21)))</f>
        <v>0</v>
      </c>
      <c r="H9" s="430" cm="1">
        <f t="array" aca="1" ref="H9" ca="1">SUM(IF(($B9=Produtos!$AR$6:$AR$21)*('Resumo'!H$7=Produtos!$AS$6:$AS$21),(Produtos!$G$6:$G$21)))</f>
        <v>0</v>
      </c>
      <c r="I9" s="430" cm="1">
        <f t="array" aca="1" ref="I9" ca="1">SUM(IF(($B9=Produtos!$AR$6:$AR$21)*('Resumo'!I$7=Produtos!$AS$6:$AS$21),(Produtos!$G$6:$G$21)))</f>
        <v>0</v>
      </c>
      <c r="J9" s="430" cm="1">
        <f t="array" aca="1" ref="J9" ca="1">SUM(IF(($B9=Produtos!$AR$6:$AR$21)*('Resumo'!J$7=Produtos!$AS$6:$AS$21),(Produtos!$G$6:$G$21)))</f>
        <v>0</v>
      </c>
      <c r="K9" s="430" cm="1">
        <f t="array" aca="1" ref="K9" ca="1">SUM(IF(($B9=Produtos!$AR$6:$AR$21)*('Resumo'!K$7=Produtos!$AS$6:$AS$21),(Produtos!$G$6:$G$21)))</f>
        <v>0</v>
      </c>
      <c r="L9" s="431">
        <f t="shared" ref="L9:L18" ca="1" si="0">SUM(E9:K9)</f>
        <v>151690.42000000001</v>
      </c>
      <c r="M9" s="184"/>
    </row>
    <row r="10" spans="1:13" ht="25.35" customHeight="1">
      <c r="B10" s="182">
        <v>2</v>
      </c>
      <c r="C10" s="183" t="str">
        <f>_xlfn.XLOOKUP(B10,Produtos!$B:$B,Produtos!C:C)</f>
        <v>Dimensão de Mercado e Demanda (EMD)</v>
      </c>
      <c r="D10" s="570">
        <f>'Cronograma'!D5</f>
        <v>5</v>
      </c>
      <c r="E10" s="430" cm="1">
        <f t="array" aca="1" ref="E10" ca="1">SUM(IF(($B10=Produtos!$AR$6:$AR$21)*('Resumo'!E$7=Produtos!$AS$6:$AS$21),(Produtos!$G$6:$G$21)))</f>
        <v>0</v>
      </c>
      <c r="F10" s="430" cm="1">
        <f t="array" aca="1" ref="F10" ca="1">SUM(IF(($B10=Produtos!$AR$6:$AR$21)*('Resumo'!F$7=Produtos!$AS$6:$AS$21),(Produtos!$G$6:$G$21)))</f>
        <v>369510.04</v>
      </c>
      <c r="G10" s="430" cm="1">
        <f t="array" aca="1" ref="G10" ca="1">SUM(IF(($B10=Produtos!$AR$6:$AR$21)*('Resumo'!G$7=Produtos!$AS$6:$AS$21),(Produtos!$G$6:$G$21)))</f>
        <v>0</v>
      </c>
      <c r="H10" s="430" cm="1">
        <f t="array" aca="1" ref="H10" ca="1">SUM(IF(($B10=Produtos!$AR$6:$AR$21)*('Resumo'!H$7=Produtos!$AS$6:$AS$21),(Produtos!$G$6:$G$21)))</f>
        <v>1478040.18</v>
      </c>
      <c r="I10" s="430" cm="1">
        <f t="array" aca="1" ref="I10" ca="1">SUM(IF(($B10=Produtos!$AR$6:$AR$21)*('Resumo'!I$7=Produtos!$AS$6:$AS$21),(Produtos!$G$6:$G$21)))</f>
        <v>0</v>
      </c>
      <c r="J10" s="430" cm="1">
        <f t="array" aca="1" ref="J10" ca="1">SUM(IF(($B10=Produtos!$AR$6:$AR$21)*('Resumo'!J$7=Produtos!$AS$6:$AS$21),(Produtos!$G$6:$G$21)))</f>
        <v>0</v>
      </c>
      <c r="K10" s="430" cm="1">
        <f t="array" aca="1" ref="K10" ca="1">SUM(IF(($B10=Produtos!$AR$6:$AR$21)*('Resumo'!K$7=Produtos!$AS$6:$AS$21),(Produtos!$G$6:$G$21)))</f>
        <v>0</v>
      </c>
      <c r="L10" s="431">
        <f t="shared" ca="1" si="0"/>
        <v>1847550.22</v>
      </c>
      <c r="M10" s="184"/>
    </row>
    <row r="11" spans="1:13" ht="25.35" customHeight="1">
      <c r="B11" s="182">
        <v>3</v>
      </c>
      <c r="C11" s="183" t="str">
        <f>_xlfn.XLOOKUP(B11,Produtos!$B:$B,Produtos!C:C)</f>
        <v>Dimensão de Engenharia (EEN)</v>
      </c>
      <c r="D11" s="570">
        <f>'Cronograma'!D6</f>
        <v>7</v>
      </c>
      <c r="E11" s="430" cm="1">
        <f t="array" aca="1" ref="E11" ca="1">SUM(IF(($B11=Produtos!$AR$6:$AR$21)*('Resumo'!E$7=Produtos!$AS$6:$AS$21),(Produtos!$G$6:$G$21)))</f>
        <v>0</v>
      </c>
      <c r="F11" s="430" cm="1">
        <f t="array" aca="1" ref="F11" ca="1">SUM(IF(($B11=Produtos!$AR$6:$AR$21)*('Resumo'!F$7=Produtos!$AS$6:$AS$21),(Produtos!$G$6:$G$21)))</f>
        <v>224222.34</v>
      </c>
      <c r="G11" s="430" cm="1">
        <f t="array" aca="1" ref="G11" ca="1">SUM(IF(($B11=Produtos!$AR$6:$AR$21)*('Resumo'!G$7=Produtos!$AS$6:$AS$21),(Produtos!$G$6:$G$21)))</f>
        <v>0</v>
      </c>
      <c r="H11" s="430" cm="1">
        <f t="array" aca="1" ref="H11" ca="1">SUM(IF(($B11=Produtos!$AR$6:$AR$21)*('Resumo'!H$7=Produtos!$AS$6:$AS$21),(Produtos!$G$6:$G$21)))</f>
        <v>2018001.1</v>
      </c>
      <c r="I11" s="430" cm="1">
        <f t="array" aca="1" ref="I11" ca="1">SUM(IF(($B11=Produtos!$AR$6:$AR$21)*('Resumo'!I$7=Produtos!$AS$6:$AS$21),(Produtos!$G$6:$G$21)))</f>
        <v>0</v>
      </c>
      <c r="J11" s="430" cm="1">
        <f t="array" aca="1" ref="J11" ca="1">SUM(IF(($B11=Produtos!$AR$6:$AR$21)*('Resumo'!J$7=Produtos!$AS$6:$AS$21),(Produtos!$G$6:$G$21)))</f>
        <v>0</v>
      </c>
      <c r="K11" s="430" cm="1">
        <f t="array" aca="1" ref="K11" ca="1">SUM(IF(($B11=Produtos!$AR$6:$AR$21)*('Resumo'!K$7=Produtos!$AS$6:$AS$21),(Produtos!$G$6:$G$21)))</f>
        <v>0</v>
      </c>
      <c r="L11" s="431">
        <f ca="1">SUM(E11:K11)</f>
        <v>2242223.44</v>
      </c>
      <c r="M11" s="184"/>
    </row>
    <row r="12" spans="1:13" ht="25.35" customHeight="1">
      <c r="B12" s="182">
        <v>4</v>
      </c>
      <c r="C12" s="183" t="str">
        <f>_xlfn.XLOOKUP(B12,Produtos!$B:$B,Produtos!C:C)</f>
        <v>Dimensão Operacional (EOP)</v>
      </c>
      <c r="D12" s="570">
        <f>'Cronograma'!D8</f>
        <v>7</v>
      </c>
      <c r="E12" s="430" cm="1">
        <f t="array" aca="1" ref="E12" ca="1">SUM(IF(($B12=Produtos!$AR$6:$AR$21)*('Resumo'!E$7=Produtos!$AS$6:$AS$21),(Produtos!$G$6:$G$21)))</f>
        <v>0</v>
      </c>
      <c r="F12" s="430" cm="1">
        <f t="array" aca="1" ref="F12" ca="1">SUM(IF(($B12=Produtos!$AR$6:$AR$21)*('Resumo'!F$7=Produtos!$AS$6:$AS$21),(Produtos!$G$6:$G$21)))</f>
        <v>488944.41</v>
      </c>
      <c r="G12" s="430" cm="1">
        <f t="array" aca="1" ref="G12" ca="1">SUM(IF(($B12=Produtos!$AR$6:$AR$21)*('Resumo'!G$7=Produtos!$AS$6:$AS$21),(Produtos!$G$6:$G$21)))</f>
        <v>0</v>
      </c>
      <c r="H12" s="430" cm="1">
        <f t="array" aca="1" ref="H12" ca="1">SUM(IF(($B12=Produtos!$AR$6:$AR$21)*('Resumo'!H$7=Produtos!$AS$6:$AS$21),(Produtos!$G$6:$G$21)))</f>
        <v>1955777.65</v>
      </c>
      <c r="I12" s="430" cm="1">
        <f t="array" aca="1" ref="I12" ca="1">SUM(IF(($B12=Produtos!$AR$6:$AR$21)*('Resumo'!I$7=Produtos!$AS$6:$AS$21),(Produtos!$G$6:$G$21)))</f>
        <v>0</v>
      </c>
      <c r="J12" s="430" cm="1">
        <f t="array" aca="1" ref="J12" ca="1">SUM(IF(($B12=Produtos!$AR$6:$AR$21)*('Resumo'!J$7=Produtos!$AS$6:$AS$21),(Produtos!$G$6:$G$21)))</f>
        <v>0</v>
      </c>
      <c r="K12" s="430" cm="1">
        <f t="array" aca="1" ref="K12" ca="1">SUM(IF(($B12=Produtos!$AR$6:$AR$21)*('Resumo'!K$7=Produtos!$AS$6:$AS$21),(Produtos!$G$6:$G$21)))</f>
        <v>0</v>
      </c>
      <c r="L12" s="431">
        <f t="shared" ca="1" si="0"/>
        <v>2444722.06</v>
      </c>
      <c r="M12" s="184"/>
    </row>
    <row r="13" spans="1:13" ht="25.35" customHeight="1">
      <c r="B13" s="182">
        <v>5</v>
      </c>
      <c r="C13" s="183" t="str">
        <f>_xlfn.XLOOKUP(B13,Produtos!$B:$B,Produtos!C:C)</f>
        <v>Dimensão Socioambiental (EMA)</v>
      </c>
      <c r="D13" s="570">
        <f>'Cronograma'!D9</f>
        <v>5</v>
      </c>
      <c r="E13" s="430" cm="1">
        <f t="array" aca="1" ref="E13" ca="1">SUM(IF(($B13=Produtos!$AR$6:$AR$21)*('Resumo'!E$7=Produtos!$AS$6:$AS$21),(Produtos!$G$6:$G$21)))</f>
        <v>0</v>
      </c>
      <c r="F13" s="430" cm="1">
        <f t="array" aca="1" ref="F13" ca="1">SUM(IF(($B13=Produtos!$AR$6:$AR$21)*('Resumo'!F$7=Produtos!$AS$6:$AS$21),(Produtos!$G$6:$G$21)))</f>
        <v>125561.44</v>
      </c>
      <c r="G13" s="430" cm="1">
        <f t="array" aca="1" ref="G13" ca="1">SUM(IF(($B13=Produtos!$AR$6:$AR$21)*('Resumo'!G$7=Produtos!$AS$6:$AS$21),(Produtos!$G$6:$G$21)))</f>
        <v>0</v>
      </c>
      <c r="H13" s="430" cm="1">
        <f t="array" aca="1" ref="H13" ca="1">SUM(IF(($B13=Produtos!$AR$6:$AR$21)*('Resumo'!H$7=Produtos!$AS$6:$AS$21),(Produtos!$G$6:$G$21)))</f>
        <v>1130052.98</v>
      </c>
      <c r="I13" s="430" cm="1">
        <f t="array" aca="1" ref="I13" ca="1">SUM(IF(($B13=Produtos!$AR$6:$AR$21)*('Resumo'!I$7=Produtos!$AS$6:$AS$21),(Produtos!$G$6:$G$21)))</f>
        <v>0</v>
      </c>
      <c r="J13" s="430" cm="1">
        <f t="array" aca="1" ref="J13" ca="1">SUM(IF(($B13=Produtos!$AR$6:$AR$21)*('Resumo'!J$7=Produtos!$AS$6:$AS$21),(Produtos!$G$6:$G$21)))</f>
        <v>0</v>
      </c>
      <c r="K13" s="430" cm="1">
        <f t="array" aca="1" ref="K13" ca="1">SUM(IF(($B13=Produtos!$AR$6:$AR$21)*('Resumo'!K$7=Produtos!$AS$6:$AS$21),(Produtos!$G$6:$G$21)))</f>
        <v>0</v>
      </c>
      <c r="L13" s="431">
        <f t="shared" ca="1" si="0"/>
        <v>1255614.42</v>
      </c>
      <c r="M13" s="184"/>
    </row>
    <row r="14" spans="1:13" ht="25.35" customHeight="1">
      <c r="B14" s="182">
        <v>6</v>
      </c>
      <c r="C14" s="183" t="str">
        <f>_xlfn.XLOOKUP(B14,Produtos!$B:$B,Produtos!C:C)</f>
        <v>Dimensão Econômico-Financeira (MEF)</v>
      </c>
      <c r="D14" s="570">
        <f>'Cronograma'!D10</f>
        <v>5</v>
      </c>
      <c r="E14" s="430" cm="1">
        <f t="array" aca="1" ref="E14" ca="1">SUM(IF(($B14=Produtos!$AR$6:$AR$21)*('Resumo'!E$7=Produtos!$AS$6:$AS$21),(Produtos!$G$6:$G$21)))</f>
        <v>0</v>
      </c>
      <c r="F14" s="430" cm="1">
        <f t="array" aca="1" ref="F14" ca="1">SUM(IF(($B14=Produtos!$AR$6:$AR$21)*('Resumo'!F$7=Produtos!$AS$6:$AS$21),(Produtos!$G$6:$G$21)))</f>
        <v>0</v>
      </c>
      <c r="G14" s="430" cm="1">
        <f t="array" aca="1" ref="G14" ca="1">SUM(IF(($B14=Produtos!$AR$6:$AR$21)*('Resumo'!G$7=Produtos!$AS$6:$AS$21),(Produtos!$G$6:$G$21)))</f>
        <v>69654.080000000002</v>
      </c>
      <c r="H14" s="430" cm="1">
        <f t="array" aca="1" ref="H14" ca="1">SUM(IF(($B14=Produtos!$AR$6:$AR$21)*('Resumo'!H$7=Produtos!$AS$6:$AS$21),(Produtos!$G$6:$G$21)))</f>
        <v>394706.44</v>
      </c>
      <c r="I14" s="430" cm="1">
        <f t="array" aca="1" ref="I14" ca="1">SUM(IF(($B14=Produtos!$AR$6:$AR$21)*('Resumo'!I$7=Produtos!$AS$6:$AS$21),(Produtos!$G$6:$G$21)))</f>
        <v>0</v>
      </c>
      <c r="J14" s="430" cm="1">
        <f t="array" aca="1" ref="J14" ca="1">SUM(IF(($B14=Produtos!$AR$6:$AR$21)*('Resumo'!J$7=Produtos!$AS$6:$AS$21),(Produtos!$G$6:$G$21)))</f>
        <v>0</v>
      </c>
      <c r="K14" s="430" cm="1">
        <f t="array" aca="1" ref="K14" ca="1">SUM(IF(($B14=Produtos!$AR$6:$AR$21)*('Resumo'!K$7=Produtos!$AS$6:$AS$21),(Produtos!$G$6:$G$21)))</f>
        <v>0</v>
      </c>
      <c r="L14" s="431">
        <f t="shared" ca="1" si="0"/>
        <v>464360.52</v>
      </c>
      <c r="M14" s="184"/>
    </row>
    <row r="15" spans="1:13" ht="25.35" customHeight="1">
      <c r="B15" s="182">
        <v>7</v>
      </c>
      <c r="C15" s="183" t="str">
        <f>_xlfn.XLOOKUP(B15,Produtos!$B:$B,Produtos!C:C)</f>
        <v>Dimensão Jurídico-Regulatória (EJR)</v>
      </c>
      <c r="D15" s="570">
        <f>'Cronograma'!D11</f>
        <v>3</v>
      </c>
      <c r="E15" s="430" cm="1">
        <f t="array" aca="1" ref="E15" ca="1">SUM(IF(($B15=Produtos!$AR$6:$AR$21)*('Resumo'!E$7=Produtos!$AS$6:$AS$21),(Produtos!$G$6:$G$21)))</f>
        <v>0</v>
      </c>
      <c r="F15" s="430" cm="1">
        <f t="array" aca="1" ref="F15" ca="1">SUM(IF(($B15=Produtos!$AR$6:$AR$21)*('Resumo'!F$7=Produtos!$AS$6:$AS$21),(Produtos!$G$6:$G$21)))</f>
        <v>0</v>
      </c>
      <c r="G15" s="430" cm="1">
        <f t="array" aca="1" ref="G15" ca="1">SUM(IF(($B15=Produtos!$AR$6:$AR$21)*('Resumo'!G$7=Produtos!$AS$6:$AS$21),(Produtos!$G$6:$G$21)))</f>
        <v>0</v>
      </c>
      <c r="H15" s="430" cm="1">
        <f t="array" aca="1" ref="H15" ca="1">SUM(IF(($B15=Produtos!$AR$6:$AR$21)*('Resumo'!H$7=Produtos!$AS$6:$AS$21),(Produtos!$G$6:$G$21)))</f>
        <v>229186.74</v>
      </c>
      <c r="I15" s="430" cm="1">
        <f t="array" aca="1" ref="I15" ca="1">SUM(IF(($B15=Produtos!$AR$6:$AR$21)*('Resumo'!I$7=Produtos!$AS$6:$AS$21),(Produtos!$G$6:$G$21)))</f>
        <v>0</v>
      </c>
      <c r="J15" s="430" cm="1">
        <f t="array" aca="1" ref="J15" ca="1">SUM(IF(($B15=Produtos!$AR$6:$AR$21)*('Resumo'!J$7=Produtos!$AS$6:$AS$21),(Produtos!$G$6:$G$21)))</f>
        <v>0</v>
      </c>
      <c r="K15" s="430" cm="1">
        <f t="array" aca="1" ref="K15" ca="1">SUM(IF(($B15=Produtos!$AR$6:$AR$21)*('Resumo'!K$7=Produtos!$AS$6:$AS$21),(Produtos!$G$6:$G$21)))</f>
        <v>0</v>
      </c>
      <c r="L15" s="431">
        <f t="shared" ca="1" si="0"/>
        <v>229186.74</v>
      </c>
      <c r="M15" s="184"/>
    </row>
    <row r="16" spans="1:13" ht="25.35" customHeight="1">
      <c r="B16" s="182">
        <v>8</v>
      </c>
      <c r="C16" s="183" t="str">
        <f>_xlfn.XLOOKUP(B16,Produtos!$B:$B,Produtos!$C:$C)</f>
        <v>Gestão de Projeto, Revisão de Estudos e Apoio às Fases</v>
      </c>
      <c r="D16" s="570">
        <f>'Cronograma'!D12</f>
        <v>6</v>
      </c>
      <c r="E16" s="430" cm="1">
        <f t="array" aca="1" ref="E16" ca="1">SUM(IF(($B16=Produtos!$AR$6:$AR$21)*('Resumo'!E$7=Produtos!$AS$6:$AS$21),(Produtos!$G$6:$G$21)))</f>
        <v>0</v>
      </c>
      <c r="F16" s="430" cm="1">
        <f t="array" aca="1" ref="F16" ca="1">SUM(IF(($B16=Produtos!$AR$6:$AR$21)*('Resumo'!F$7=Produtos!$AS$6:$AS$21),(Produtos!$G$6:$G$21)))</f>
        <v>0</v>
      </c>
      <c r="G16" s="430" cm="1">
        <f t="array" aca="1" ref="G16" ca="1">SUM(IF(($B16=Produtos!$AR$6:$AR$21)*('Resumo'!G$7=Produtos!$AS$6:$AS$21),(Produtos!$G$6:$G$21)))</f>
        <v>0</v>
      </c>
      <c r="H16" s="430" cm="1">
        <f t="array" aca="1" ref="H16" ca="1">SUM(IF(($B16=Produtos!$AR$6:$AR$21)*('Resumo'!H$7=Produtos!$AS$6:$AS$21),(Produtos!$G$6:$G$21)))</f>
        <v>0</v>
      </c>
      <c r="I16" s="430" cm="1">
        <f t="array" aca="1" ref="I16" ca="1">SUM(IF(($B16=Produtos!$AR$6:$AR$21)*('Resumo'!I$7=Produtos!$AS$6:$AS$21),(Produtos!$G$6:$G$21)))</f>
        <v>798506.88</v>
      </c>
      <c r="J16" s="430" cm="1">
        <f t="array" aca="1" ref="J16" ca="1">SUM(IF(($B16=Produtos!$AR$6:$AR$21)*('Resumo'!J$7=Produtos!$AS$6:$AS$21),(Produtos!$G$6:$G$21)))</f>
        <v>332711.2</v>
      </c>
      <c r="K16" s="430" cm="1">
        <f t="array" aca="1" ref="K16" ca="1">SUM(IF(($B16=Produtos!$AR$6:$AR$21)*('Resumo'!K$7=Produtos!$AS$6:$AS$21),(Produtos!$G$6:$G$21)))</f>
        <v>199626.72</v>
      </c>
      <c r="L16" s="431">
        <f t="shared" ca="1" si="0"/>
        <v>1330844.8</v>
      </c>
      <c r="M16" s="184"/>
    </row>
    <row r="17" spans="2:16" ht="25.35" customHeight="1">
      <c r="B17" s="182">
        <v>9</v>
      </c>
      <c r="C17" s="183" t="str">
        <f>_xlfn.XLOOKUP(B17,Produtos!$B:$B,Produtos!$C:$C)</f>
        <v>EVTEA - Corinto - Campo Formoso</v>
      </c>
      <c r="D17" s="571">
        <v>4</v>
      </c>
      <c r="E17" s="430" cm="1">
        <f t="array" aca="1" ref="E17" ca="1">SUM(IF(($B17=Produtos!$AR$6:$AR$21)*('Resumo'!E$7=Produtos!$AS$6:$AS$21),(Produtos!$G$6:$G$21)))</f>
        <v>0</v>
      </c>
      <c r="F17" s="430" cm="1">
        <f t="array" aca="1" ref="F17" ca="1">SUM(IF(($B17=Produtos!$AR$6:$AR$21)*('Resumo'!F$7=Produtos!$AS$6:$AS$21),(Produtos!$G$6:$G$21)))</f>
        <v>0</v>
      </c>
      <c r="G17" s="430" cm="1">
        <f t="array" aca="1" ref="G17" ca="1">SUM(IF(($B17=Produtos!$AR$6:$AR$21)*('Resumo'!G$7=Produtos!$AS$6:$AS$21),(Produtos!$G$6:$G$21)))</f>
        <v>0</v>
      </c>
      <c r="H17" s="430" cm="1">
        <f t="array" aca="1" ref="H17" ca="1">SUM(IF(($B17=Produtos!$AR$6:$AR$21)*('Resumo'!H$7=Produtos!$AS$6:$AS$21),(Produtos!$G$6:$G$21)))</f>
        <v>0</v>
      </c>
      <c r="I17" s="430" cm="1">
        <f t="array" aca="1" ref="I17" ca="1">SUM(IF(($B17=Produtos!$AR$6:$AR$21)*('Resumo'!I$7=Produtos!$AS$6:$AS$21),(Produtos!$G$6:$G$21)))</f>
        <v>3365687.4961986789</v>
      </c>
      <c r="J17" s="430" cm="1">
        <f t="array" aca="1" ref="J17" ca="1">SUM(IF(($B17=Produtos!$AR$6:$AR$21)*('Resumo'!J$7=Produtos!$AS$6:$AS$21),(Produtos!$G$6:$G$21)))</f>
        <v>0</v>
      </c>
      <c r="K17" s="430" cm="1">
        <f t="array" aca="1" ref="K17" ca="1">SUM(IF(($B17=Produtos!$AR$6:$AR$21)*('Resumo'!K$7=Produtos!$AS$6:$AS$21),(Produtos!$G$6:$G$21)))</f>
        <v>0</v>
      </c>
      <c r="L17" s="431">
        <f t="shared" ref="L17" ca="1" si="1">SUM(E17:K17)</f>
        <v>3365687.4961986789</v>
      </c>
      <c r="M17" s="184"/>
    </row>
    <row r="18" spans="2:16" ht="21" customHeight="1">
      <c r="B18" s="682" t="s">
        <v>433</v>
      </c>
      <c r="C18" s="683"/>
      <c r="D18" s="684"/>
      <c r="E18" s="640">
        <f ca="1">SUM(E9:E17)</f>
        <v>151690.42000000001</v>
      </c>
      <c r="F18" s="640">
        <f t="shared" ref="F18:K18" ca="1" si="2">SUM(F9:F17)</f>
        <v>1208238.23</v>
      </c>
      <c r="G18" s="640">
        <f t="shared" ca="1" si="2"/>
        <v>69654.080000000002</v>
      </c>
      <c r="H18" s="640">
        <f t="shared" ca="1" si="2"/>
        <v>7205765.0900000008</v>
      </c>
      <c r="I18" s="640">
        <f t="shared" ca="1" si="2"/>
        <v>4164194.3761986787</v>
      </c>
      <c r="J18" s="640">
        <f t="shared" ca="1" si="2"/>
        <v>332711.2</v>
      </c>
      <c r="K18" s="640">
        <f t="shared" ca="1" si="2"/>
        <v>199626.72</v>
      </c>
      <c r="L18" s="641">
        <f t="shared" ca="1" si="0"/>
        <v>13331880.116198679</v>
      </c>
      <c r="M18" s="184"/>
      <c r="O18" s="186"/>
    </row>
    <row r="19" spans="2:16">
      <c r="B19" s="185"/>
      <c r="E19" s="184"/>
      <c r="F19" s="184"/>
      <c r="G19" s="184"/>
      <c r="H19" s="184"/>
      <c r="I19" s="184"/>
      <c r="J19" s="184"/>
      <c r="K19" s="184"/>
      <c r="O19" s="186"/>
      <c r="P19" s="484"/>
    </row>
    <row r="21" spans="2:16">
      <c r="L21" s="485"/>
    </row>
  </sheetData>
  <mergeCells count="7">
    <mergeCell ref="B18:D18"/>
    <mergeCell ref="B2:L2"/>
    <mergeCell ref="B6:C8"/>
    <mergeCell ref="E6:L6"/>
    <mergeCell ref="L7:L8"/>
    <mergeCell ref="H8:I8"/>
    <mergeCell ref="D6:D8"/>
  </mergeCells>
  <pageMargins left="0.51181102362204722" right="0.51181102362204722" top="0.78740157480314965" bottom="0.78740157480314965" header="0.31496062992125984" footer="0.31496062992125984"/>
  <pageSetup paperSize="9" scale="9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A5778-11CC-43F6-B601-7679744E6D36}">
  <sheetPr>
    <tabColor rgb="FF008080"/>
  </sheetPr>
  <dimension ref="A2:R83"/>
  <sheetViews>
    <sheetView showGridLines="0" topLeftCell="A10" zoomScaleNormal="100" workbookViewId="0">
      <selection activeCell="G7" sqref="G7"/>
    </sheetView>
  </sheetViews>
  <sheetFormatPr defaultRowHeight="12.75"/>
  <cols>
    <col min="1" max="1" width="5.7109375" style="340" customWidth="1"/>
    <col min="2" max="2" width="17.140625" style="339" customWidth="1"/>
    <col min="3" max="3" width="21.28515625" style="339" customWidth="1"/>
    <col min="4" max="4" width="10.140625" style="339" customWidth="1"/>
    <col min="5" max="5" width="30.140625" style="340" customWidth="1"/>
    <col min="6" max="6" width="15.7109375" style="340" customWidth="1"/>
    <col min="7" max="7" width="20.140625" style="340" customWidth="1"/>
    <col min="8" max="8" width="15.7109375" style="339" customWidth="1"/>
    <col min="9" max="10" width="10.7109375" style="339" customWidth="1"/>
    <col min="11" max="11" width="15.7109375" style="339" customWidth="1"/>
    <col min="12" max="12" width="10.7109375" style="339" customWidth="1"/>
    <col min="13" max="13" width="10.7109375" style="341" customWidth="1"/>
    <col min="14" max="14" width="10.7109375" style="342" customWidth="1"/>
    <col min="15" max="16" width="15.7109375" style="342" customWidth="1"/>
    <col min="17" max="17" width="9.140625" style="72"/>
    <col min="18" max="18" width="13.85546875" style="72" bestFit="1" customWidth="1"/>
    <col min="19" max="16384" width="9.140625" style="72"/>
  </cols>
  <sheetData>
    <row r="2" spans="1:18" s="73" customFormat="1" ht="30" customHeight="1">
      <c r="A2" s="372"/>
      <c r="B2" s="343" t="s">
        <v>650</v>
      </c>
      <c r="C2" s="344"/>
      <c r="D2" s="327"/>
      <c r="E2" s="327"/>
      <c r="F2" s="327"/>
      <c r="G2" s="327"/>
      <c r="H2" s="327"/>
      <c r="I2" s="327"/>
      <c r="J2" s="327"/>
      <c r="K2" s="327"/>
      <c r="L2" s="327"/>
      <c r="M2" s="327"/>
      <c r="N2" s="327"/>
      <c r="O2" s="327"/>
      <c r="P2" s="328"/>
    </row>
    <row r="3" spans="1:18" s="73" customFormat="1" ht="17.25" customHeight="1">
      <c r="A3" s="372"/>
      <c r="B3" s="395" t="str">
        <f>Dados!C4</f>
        <v>Contratação de serviços técnicos e especializados de engenharia consultiva para a elaboração de Estudo de Viabilidade Técnica, Econômica e Ambiental (EVTEA) da FCA.</v>
      </c>
      <c r="C3" s="339"/>
      <c r="D3" s="78"/>
      <c r="E3" s="78"/>
      <c r="F3" s="78"/>
      <c r="G3" s="78"/>
      <c r="H3" s="78"/>
      <c r="I3" s="78"/>
      <c r="J3" s="78"/>
      <c r="K3" s="78"/>
      <c r="L3" s="78"/>
      <c r="M3" s="78"/>
      <c r="N3" s="78"/>
      <c r="O3" s="78"/>
      <c r="P3" s="398"/>
    </row>
    <row r="4" spans="1:18" s="73" customFormat="1" ht="17.25" customHeight="1">
      <c r="A4" s="372"/>
      <c r="B4" s="397" t="str">
        <f>"Área de Atuação: "&amp;Dados!C6&amp;" - "&amp;Dados!C5&amp;" km"</f>
        <v>Área de Atuação: Goiás, Distrito Federal, Minas Gerais, São Paulo, Rio de Janeiro - 4360 km</v>
      </c>
      <c r="C4" s="340"/>
      <c r="D4" s="399"/>
      <c r="E4" s="399"/>
      <c r="F4" s="399"/>
      <c r="G4" s="399"/>
      <c r="H4" s="399"/>
      <c r="I4" s="399"/>
      <c r="J4" s="399"/>
      <c r="K4" s="399"/>
      <c r="L4" s="399"/>
      <c r="M4" s="399"/>
      <c r="N4" s="399"/>
      <c r="O4" s="399"/>
      <c r="P4" s="400"/>
    </row>
    <row r="5" spans="1:18" s="73" customFormat="1" ht="17.25" customHeight="1">
      <c r="A5" s="372"/>
      <c r="B5" s="406" t="str">
        <f>CONCATENATE(Dados!B9," ",TEXT(Dados!C9,"MMM/AA"))</f>
        <v>Data Base: jul/23</v>
      </c>
      <c r="C5" s="330"/>
      <c r="D5" s="402"/>
      <c r="E5" s="402"/>
      <c r="F5" s="403"/>
      <c r="G5" s="403"/>
      <c r="H5" s="404"/>
      <c r="I5" s="404"/>
      <c r="J5" s="404"/>
      <c r="K5" s="404"/>
      <c r="L5" s="402"/>
      <c r="M5" s="402"/>
      <c r="N5" s="402"/>
      <c r="O5" s="402"/>
      <c r="P5" s="405"/>
    </row>
    <row r="6" spans="1:18" s="73" customFormat="1" ht="5.0999999999999996" customHeight="1">
      <c r="A6" s="372"/>
      <c r="B6" s="802"/>
      <c r="C6" s="802"/>
      <c r="D6" s="329"/>
      <c r="E6" s="330"/>
      <c r="F6" s="330"/>
      <c r="G6" s="330"/>
      <c r="H6" s="331"/>
      <c r="I6" s="331"/>
      <c r="J6" s="331"/>
      <c r="K6" s="331"/>
      <c r="L6" s="331"/>
      <c r="M6" s="332"/>
      <c r="N6" s="333"/>
      <c r="O6" s="333"/>
      <c r="P6" s="333"/>
    </row>
    <row r="7" spans="1:18" s="73" customFormat="1" ht="15.75" customHeight="1">
      <c r="A7" s="372"/>
      <c r="B7" s="801" t="s">
        <v>624</v>
      </c>
      <c r="C7" s="801" t="s">
        <v>625</v>
      </c>
      <c r="D7" s="801" t="s">
        <v>626</v>
      </c>
      <c r="E7" s="803" t="s">
        <v>627</v>
      </c>
      <c r="F7" s="801" t="s">
        <v>628</v>
      </c>
      <c r="G7" s="801" t="s">
        <v>629</v>
      </c>
      <c r="H7" s="801" t="s">
        <v>630</v>
      </c>
      <c r="I7" s="805" t="s">
        <v>631</v>
      </c>
      <c r="J7" s="805"/>
      <c r="K7" s="805"/>
      <c r="L7" s="805" t="s">
        <v>632</v>
      </c>
      <c r="M7" s="805"/>
      <c r="N7" s="805"/>
      <c r="O7" s="805"/>
      <c r="P7" s="806" t="s">
        <v>633</v>
      </c>
    </row>
    <row r="8" spans="1:18" s="336" customFormat="1" ht="39.950000000000003" customHeight="1">
      <c r="A8" s="373"/>
      <c r="B8" s="801"/>
      <c r="C8" s="801"/>
      <c r="D8" s="801"/>
      <c r="E8" s="803"/>
      <c r="F8" s="801"/>
      <c r="G8" s="801"/>
      <c r="H8" s="801"/>
      <c r="I8" s="334" t="s">
        <v>109</v>
      </c>
      <c r="J8" s="335" t="s">
        <v>634</v>
      </c>
      <c r="K8" s="335" t="s">
        <v>721</v>
      </c>
      <c r="L8" s="334" t="s">
        <v>635</v>
      </c>
      <c r="M8" s="334" t="s">
        <v>636</v>
      </c>
      <c r="N8" s="335" t="s">
        <v>634</v>
      </c>
      <c r="O8" s="335" t="s">
        <v>720</v>
      </c>
      <c r="P8" s="806"/>
      <c r="R8" s="337"/>
    </row>
    <row r="9" spans="1:18" s="336" customFormat="1" ht="20.100000000000001" customHeight="1">
      <c r="A9" s="373"/>
      <c r="B9" s="801"/>
      <c r="C9" s="801"/>
      <c r="D9" s="801"/>
      <c r="E9" s="803"/>
      <c r="F9" s="801"/>
      <c r="G9" s="801"/>
      <c r="H9" s="801"/>
      <c r="I9" s="334" t="s">
        <v>637</v>
      </c>
      <c r="J9" s="335" t="s">
        <v>638</v>
      </c>
      <c r="K9" s="335" t="s">
        <v>639</v>
      </c>
      <c r="L9" s="334" t="s">
        <v>640</v>
      </c>
      <c r="M9" s="335" t="s">
        <v>641</v>
      </c>
      <c r="N9" s="335" t="s">
        <v>642</v>
      </c>
      <c r="O9" s="335" t="s">
        <v>643</v>
      </c>
      <c r="P9" s="335" t="s">
        <v>644</v>
      </c>
    </row>
    <row r="10" spans="1:18" s="336" customFormat="1" ht="18" customHeight="1">
      <c r="A10" s="373">
        <v>1</v>
      </c>
      <c r="B10" s="792" t="str">
        <f>Produtos!C6</f>
        <v>Plano de Trabalho</v>
      </c>
      <c r="C10" s="381" t="s">
        <v>717</v>
      </c>
      <c r="D10" s="356" t="s">
        <v>200</v>
      </c>
      <c r="E10" s="357" t="str">
        <f>VLOOKUP($D10,'TC 07-2023'!$B:$Z,2,FALSE)</f>
        <v>Engenheiro coordenador</v>
      </c>
      <c r="F10" s="358" t="s">
        <v>645</v>
      </c>
      <c r="G10" s="358" t="s">
        <v>511</v>
      </c>
      <c r="H10" s="359" t="s">
        <v>646</v>
      </c>
      <c r="I10" s="360">
        <v>1</v>
      </c>
      <c r="J10" s="360">
        <f>VLOOKUP(G10,Voos!$L$9:$M$15,2,FALSE)</f>
        <v>906.33333333333337</v>
      </c>
      <c r="K10" s="361">
        <f t="shared" ref="K10" si="0">J10*I10</f>
        <v>906.33333333333337</v>
      </c>
      <c r="L10" s="360">
        <f>I10</f>
        <v>1</v>
      </c>
      <c r="M10" s="360">
        <f>IF(C10="Reunião de Alinhamento",2+0.5,IF(C10="Inspeção de Campo",6.5*5,1.5))</f>
        <v>2.5</v>
      </c>
      <c r="N10" s="361">
        <f>VLOOKUP(G10,Diárias!$B$8:$D$35,2,FALSE)</f>
        <v>433.49</v>
      </c>
      <c r="O10" s="362">
        <f>N10*M10*L10</f>
        <v>1083.7249999999999</v>
      </c>
      <c r="P10" s="363">
        <f>O10+K10</f>
        <v>1990.0583333333334</v>
      </c>
    </row>
    <row r="11" spans="1:18" s="336" customFormat="1" ht="18" customHeight="1">
      <c r="A11" s="373">
        <f>A10</f>
        <v>1</v>
      </c>
      <c r="B11" s="793"/>
      <c r="C11" s="382" t="s">
        <v>717</v>
      </c>
      <c r="D11" s="352" t="s">
        <v>199</v>
      </c>
      <c r="E11" s="351" t="str">
        <f>VLOOKUP($D11,'TC 07-2023'!$B:$Z,2,FALSE)</f>
        <v>Engenheiro consultor especial</v>
      </c>
      <c r="F11" s="235" t="s">
        <v>645</v>
      </c>
      <c r="G11" s="235" t="s">
        <v>511</v>
      </c>
      <c r="H11" s="355" t="s">
        <v>646</v>
      </c>
      <c r="I11" s="352">
        <v>1</v>
      </c>
      <c r="J11" s="352">
        <f>VLOOKUP(G11,Voos!$L$9:$M$15,2,FALSE)</f>
        <v>906.33333333333337</v>
      </c>
      <c r="K11" s="353">
        <f t="shared" ref="K11:K61" si="1">J11*I11</f>
        <v>906.33333333333337</v>
      </c>
      <c r="L11" s="352">
        <f t="shared" ref="L11:L61" si="2">I11</f>
        <v>1</v>
      </c>
      <c r="M11" s="352">
        <f t="shared" ref="M11:M61" si="3">IF(C11="Reunião de Alinhamento",2+0.5,IF(C11="Inspeção de Campo",6.5*5,1.5))</f>
        <v>2.5</v>
      </c>
      <c r="N11" s="353">
        <f>VLOOKUP(G11,Diárias!$B$8:$D$35,2,FALSE)</f>
        <v>433.49</v>
      </c>
      <c r="O11" s="354">
        <f t="shared" ref="O11:O61" si="4">N11*M11*L11</f>
        <v>1083.7249999999999</v>
      </c>
      <c r="P11" s="364">
        <f t="shared" ref="P11:P61" si="5">O11+K11</f>
        <v>1990.0583333333334</v>
      </c>
    </row>
    <row r="12" spans="1:18" s="336" customFormat="1" ht="18" customHeight="1">
      <c r="A12" s="373">
        <f>A11</f>
        <v>1</v>
      </c>
      <c r="B12" s="804"/>
      <c r="C12" s="383" t="s">
        <v>717</v>
      </c>
      <c r="D12" s="365" t="s">
        <v>206</v>
      </c>
      <c r="E12" s="366" t="str">
        <f>VLOOKUP($D12,'TC 07-2023'!$B:$Z,2,FALSE)</f>
        <v>Engenheiro de projetos sênior</v>
      </c>
      <c r="F12" s="367" t="s">
        <v>645</v>
      </c>
      <c r="G12" s="367" t="s">
        <v>511</v>
      </c>
      <c r="H12" s="368" t="s">
        <v>646</v>
      </c>
      <c r="I12" s="365">
        <v>1</v>
      </c>
      <c r="J12" s="365">
        <f>VLOOKUP(G12,Voos!$L$9:$M$15,2,FALSE)</f>
        <v>906.33333333333337</v>
      </c>
      <c r="K12" s="369">
        <f t="shared" si="1"/>
        <v>906.33333333333337</v>
      </c>
      <c r="L12" s="365">
        <f t="shared" si="2"/>
        <v>1</v>
      </c>
      <c r="M12" s="365">
        <f t="shared" si="3"/>
        <v>2.5</v>
      </c>
      <c r="N12" s="369">
        <f>VLOOKUP(G12,Diárias!$B$8:$D$35,2,FALSE)</f>
        <v>433.49</v>
      </c>
      <c r="O12" s="370">
        <f t="shared" si="4"/>
        <v>1083.7249999999999</v>
      </c>
      <c r="P12" s="371">
        <f t="shared" si="5"/>
        <v>1990.0583333333334</v>
      </c>
    </row>
    <row r="13" spans="1:18" s="336" customFormat="1" ht="18" customHeight="1">
      <c r="A13" s="373">
        <v>2</v>
      </c>
      <c r="B13" s="794" t="str">
        <f>Produtos!C7</f>
        <v>Dimensão de Mercado e Demanda (EMD)</v>
      </c>
      <c r="C13" s="381" t="s">
        <v>717</v>
      </c>
      <c r="D13" s="356" t="s">
        <v>200</v>
      </c>
      <c r="E13" s="357" t="str">
        <f>VLOOKUP($D13,'TC 07-2023'!$B:$Z,2,FALSE)</f>
        <v>Engenheiro coordenador</v>
      </c>
      <c r="F13" s="358" t="s">
        <v>645</v>
      </c>
      <c r="G13" s="358" t="s">
        <v>511</v>
      </c>
      <c r="H13" s="359" t="s">
        <v>646</v>
      </c>
      <c r="I13" s="360">
        <v>1</v>
      </c>
      <c r="J13" s="360">
        <f>VLOOKUP(G13,Voos!$L$9:$M$15,2,FALSE)</f>
        <v>906.33333333333337</v>
      </c>
      <c r="K13" s="361">
        <f t="shared" si="1"/>
        <v>906.33333333333337</v>
      </c>
      <c r="L13" s="360">
        <f t="shared" si="2"/>
        <v>1</v>
      </c>
      <c r="M13" s="360">
        <f t="shared" si="3"/>
        <v>2.5</v>
      </c>
      <c r="N13" s="361">
        <f>VLOOKUP(G13,Diárias!$B$8:$D$35,2,FALSE)</f>
        <v>433.49</v>
      </c>
      <c r="O13" s="362">
        <f t="shared" si="4"/>
        <v>1083.7249999999999</v>
      </c>
      <c r="P13" s="363">
        <f t="shared" si="5"/>
        <v>1990.0583333333334</v>
      </c>
    </row>
    <row r="14" spans="1:18" s="336" customFormat="1" ht="18" customHeight="1">
      <c r="A14" s="373">
        <f>A13</f>
        <v>2</v>
      </c>
      <c r="B14" s="795"/>
      <c r="C14" s="382" t="s">
        <v>717</v>
      </c>
      <c r="D14" s="352" t="s">
        <v>199</v>
      </c>
      <c r="E14" s="351" t="str">
        <f>VLOOKUP($D14,'TC 07-2023'!$B:$Z,2,FALSE)</f>
        <v>Engenheiro consultor especial</v>
      </c>
      <c r="F14" s="235" t="s">
        <v>645</v>
      </c>
      <c r="G14" s="235" t="s">
        <v>511</v>
      </c>
      <c r="H14" s="355" t="s">
        <v>646</v>
      </c>
      <c r="I14" s="352">
        <v>1</v>
      </c>
      <c r="J14" s="352">
        <f>VLOOKUP(G14,Voos!$L$9:$M$15,2,FALSE)</f>
        <v>906.33333333333337</v>
      </c>
      <c r="K14" s="353">
        <f t="shared" si="1"/>
        <v>906.33333333333337</v>
      </c>
      <c r="L14" s="352">
        <f t="shared" si="2"/>
        <v>1</v>
      </c>
      <c r="M14" s="352">
        <f t="shared" si="3"/>
        <v>2.5</v>
      </c>
      <c r="N14" s="353">
        <f>VLOOKUP(G14,Diárias!$B$8:$D$35,2,FALSE)</f>
        <v>433.49</v>
      </c>
      <c r="O14" s="354">
        <f t="shared" si="4"/>
        <v>1083.7249999999999</v>
      </c>
      <c r="P14" s="364">
        <f t="shared" si="5"/>
        <v>1990.0583333333334</v>
      </c>
    </row>
    <row r="15" spans="1:18" ht="18" customHeight="1">
      <c r="A15" s="373">
        <f t="shared" ref="A15:A30" si="6">A14</f>
        <v>2</v>
      </c>
      <c r="B15" s="795"/>
      <c r="C15" s="798" t="s">
        <v>755</v>
      </c>
      <c r="D15" s="352" t="s">
        <v>199</v>
      </c>
      <c r="E15" s="351" t="str">
        <f>VLOOKUP($D15,'TC 07-2023'!$B:$Z,2,FALSE)</f>
        <v>Engenheiro consultor especial</v>
      </c>
      <c r="F15" s="235" t="s">
        <v>645</v>
      </c>
      <c r="G15" s="235" t="s">
        <v>511</v>
      </c>
      <c r="H15" s="355" t="s">
        <v>646</v>
      </c>
      <c r="I15" s="352">
        <v>1</v>
      </c>
      <c r="J15" s="352">
        <f>VLOOKUP(G15,Voos!$L$9:$M$15,2,FALSE)</f>
        <v>906.33333333333337</v>
      </c>
      <c r="K15" s="353">
        <f t="shared" si="1"/>
        <v>906.33333333333337</v>
      </c>
      <c r="L15" s="352">
        <f t="shared" si="2"/>
        <v>1</v>
      </c>
      <c r="M15" s="352">
        <f t="shared" si="3"/>
        <v>1.5</v>
      </c>
      <c r="N15" s="353">
        <f>VLOOKUP(G15,Diárias!$B$8:$D$35,2,FALSE)</f>
        <v>433.49</v>
      </c>
      <c r="O15" s="354">
        <f t="shared" si="4"/>
        <v>650.23500000000001</v>
      </c>
      <c r="P15" s="364">
        <f t="shared" si="5"/>
        <v>1556.5683333333334</v>
      </c>
    </row>
    <row r="16" spans="1:18" ht="18" customHeight="1">
      <c r="A16" s="373">
        <f t="shared" si="6"/>
        <v>2</v>
      </c>
      <c r="B16" s="795"/>
      <c r="C16" s="799"/>
      <c r="D16" s="352" t="s">
        <v>206</v>
      </c>
      <c r="E16" s="351" t="str">
        <f>VLOOKUP($D16,'TC 07-2023'!$B:$Z,2,FALSE)</f>
        <v>Engenheiro de projetos sênior</v>
      </c>
      <c r="F16" s="235" t="s">
        <v>645</v>
      </c>
      <c r="G16" s="235" t="s">
        <v>511</v>
      </c>
      <c r="H16" s="355" t="s">
        <v>646</v>
      </c>
      <c r="I16" s="352">
        <v>1</v>
      </c>
      <c r="J16" s="352">
        <f>VLOOKUP(G16,Voos!$L$9:$M$15,2,FALSE)</f>
        <v>906.33333333333337</v>
      </c>
      <c r="K16" s="353">
        <f t="shared" si="1"/>
        <v>906.33333333333337</v>
      </c>
      <c r="L16" s="352">
        <f t="shared" si="2"/>
        <v>1</v>
      </c>
      <c r="M16" s="352">
        <f t="shared" si="3"/>
        <v>1.5</v>
      </c>
      <c r="N16" s="353">
        <f>VLOOKUP(G16,Diárias!$B$8:$D$35,2,FALSE)</f>
        <v>433.49</v>
      </c>
      <c r="O16" s="354">
        <f t="shared" si="4"/>
        <v>650.23500000000001</v>
      </c>
      <c r="P16" s="364">
        <f t="shared" si="5"/>
        <v>1556.5683333333334</v>
      </c>
    </row>
    <row r="17" spans="1:16" ht="18" customHeight="1">
      <c r="A17" s="373">
        <f t="shared" si="6"/>
        <v>2</v>
      </c>
      <c r="B17" s="795"/>
      <c r="C17" s="798" t="s">
        <v>647</v>
      </c>
      <c r="D17" s="352" t="s">
        <v>199</v>
      </c>
      <c r="E17" s="351" t="str">
        <f>VLOOKUP($D17,'TC 07-2023'!$B:$Z,2,FALSE)</f>
        <v>Engenheiro consultor especial</v>
      </c>
      <c r="F17" s="235" t="s">
        <v>645</v>
      </c>
      <c r="G17" s="235" t="s">
        <v>515</v>
      </c>
      <c r="H17" s="355" t="s">
        <v>646</v>
      </c>
      <c r="I17" s="352">
        <v>1</v>
      </c>
      <c r="J17" s="352">
        <f>VLOOKUP(G17,Voos!$L$9:$M$15,2,FALSE)</f>
        <v>878.66666666666663</v>
      </c>
      <c r="K17" s="353">
        <f t="shared" si="1"/>
        <v>878.66666666666663</v>
      </c>
      <c r="L17" s="352">
        <f t="shared" si="2"/>
        <v>1</v>
      </c>
      <c r="M17" s="352">
        <f t="shared" si="3"/>
        <v>1.5</v>
      </c>
      <c r="N17" s="353">
        <f>VLOOKUP(G17,Diárias!$B$8:$D$35,2,FALSE)</f>
        <v>433.49</v>
      </c>
      <c r="O17" s="354">
        <f t="shared" si="4"/>
        <v>650.23500000000001</v>
      </c>
      <c r="P17" s="364">
        <f t="shared" si="5"/>
        <v>1528.9016666666666</v>
      </c>
    </row>
    <row r="18" spans="1:16" ht="18" customHeight="1">
      <c r="A18" s="373">
        <f t="shared" si="6"/>
        <v>2</v>
      </c>
      <c r="B18" s="795"/>
      <c r="C18" s="799"/>
      <c r="D18" s="352" t="s">
        <v>206</v>
      </c>
      <c r="E18" s="351" t="str">
        <f>VLOOKUP($D18,'TC 07-2023'!$B:$Z,2,FALSE)</f>
        <v>Engenheiro de projetos sênior</v>
      </c>
      <c r="F18" s="235" t="s">
        <v>645</v>
      </c>
      <c r="G18" s="235" t="s">
        <v>515</v>
      </c>
      <c r="H18" s="355" t="s">
        <v>646</v>
      </c>
      <c r="I18" s="352">
        <v>1</v>
      </c>
      <c r="J18" s="352">
        <f>VLOOKUP(G18,Voos!$L$9:$M$15,2,FALSE)</f>
        <v>878.66666666666663</v>
      </c>
      <c r="K18" s="353">
        <f t="shared" si="1"/>
        <v>878.66666666666663</v>
      </c>
      <c r="L18" s="352">
        <f t="shared" si="2"/>
        <v>1</v>
      </c>
      <c r="M18" s="352">
        <f t="shared" si="3"/>
        <v>1.5</v>
      </c>
      <c r="N18" s="353">
        <f>VLOOKUP(G18,Diárias!$B$8:$D$35,2,FALSE)</f>
        <v>433.49</v>
      </c>
      <c r="O18" s="354">
        <f t="shared" si="4"/>
        <v>650.23500000000001</v>
      </c>
      <c r="P18" s="364">
        <f t="shared" si="5"/>
        <v>1528.9016666666666</v>
      </c>
    </row>
    <row r="19" spans="1:16" ht="18" customHeight="1">
      <c r="A19" s="373">
        <f t="shared" si="6"/>
        <v>2</v>
      </c>
      <c r="B19" s="795"/>
      <c r="C19" s="798" t="s">
        <v>647</v>
      </c>
      <c r="D19" s="352" t="s">
        <v>199</v>
      </c>
      <c r="E19" s="351" t="str">
        <f>VLOOKUP($D19,'TC 07-2023'!$B:$Z,2,FALSE)</f>
        <v>Engenheiro consultor especial</v>
      </c>
      <c r="F19" s="235" t="s">
        <v>645</v>
      </c>
      <c r="G19" s="235" t="s">
        <v>517</v>
      </c>
      <c r="H19" s="355" t="s">
        <v>646</v>
      </c>
      <c r="I19" s="352">
        <v>1</v>
      </c>
      <c r="J19" s="352">
        <f>VLOOKUP(G19,Voos!$L$9:$M$15,2,FALSE)</f>
        <v>944</v>
      </c>
      <c r="K19" s="353">
        <f t="shared" si="1"/>
        <v>944</v>
      </c>
      <c r="L19" s="352">
        <f t="shared" si="2"/>
        <v>1</v>
      </c>
      <c r="M19" s="352">
        <f t="shared" si="3"/>
        <v>1.5</v>
      </c>
      <c r="N19" s="353">
        <f>VLOOKUP(G19,Diárias!$B$8:$D$35,2,FALSE)</f>
        <v>387.86</v>
      </c>
      <c r="O19" s="354">
        <f t="shared" si="4"/>
        <v>581.79</v>
      </c>
      <c r="P19" s="364">
        <f t="shared" si="5"/>
        <v>1525.79</v>
      </c>
    </row>
    <row r="20" spans="1:16" ht="18" customHeight="1">
      <c r="A20" s="373">
        <f t="shared" si="6"/>
        <v>2</v>
      </c>
      <c r="B20" s="795"/>
      <c r="C20" s="799"/>
      <c r="D20" s="352" t="s">
        <v>206</v>
      </c>
      <c r="E20" s="351" t="str">
        <f>VLOOKUP($D20,'TC 07-2023'!$B:$Z,2,FALSE)</f>
        <v>Engenheiro de projetos sênior</v>
      </c>
      <c r="F20" s="235" t="s">
        <v>645</v>
      </c>
      <c r="G20" s="235" t="s">
        <v>517</v>
      </c>
      <c r="H20" s="355" t="s">
        <v>646</v>
      </c>
      <c r="I20" s="352">
        <v>1</v>
      </c>
      <c r="J20" s="352">
        <f>VLOOKUP(G20,Voos!$L$9:$M$15,2,FALSE)</f>
        <v>944</v>
      </c>
      <c r="K20" s="353">
        <f t="shared" si="1"/>
        <v>944</v>
      </c>
      <c r="L20" s="352">
        <f t="shared" si="2"/>
        <v>1</v>
      </c>
      <c r="M20" s="352">
        <f t="shared" si="3"/>
        <v>1.5</v>
      </c>
      <c r="N20" s="353">
        <f>VLOOKUP(G20,Diárias!$B$8:$D$35,2,FALSE)</f>
        <v>387.86</v>
      </c>
      <c r="O20" s="354">
        <f t="shared" si="4"/>
        <v>581.79</v>
      </c>
      <c r="P20" s="364">
        <f t="shared" si="5"/>
        <v>1525.79</v>
      </c>
    </row>
    <row r="21" spans="1:16" ht="18" customHeight="1">
      <c r="A21" s="373">
        <f t="shared" si="6"/>
        <v>2</v>
      </c>
      <c r="B21" s="795"/>
      <c r="C21" s="798" t="s">
        <v>647</v>
      </c>
      <c r="D21" s="352" t="s">
        <v>199</v>
      </c>
      <c r="E21" s="351" t="str">
        <f>VLOOKUP($D21,'TC 07-2023'!$B:$Z,2,FALSE)</f>
        <v>Engenheiro consultor especial</v>
      </c>
      <c r="F21" s="235" t="s">
        <v>645</v>
      </c>
      <c r="G21" s="235" t="s">
        <v>534</v>
      </c>
      <c r="H21" s="355" t="s">
        <v>646</v>
      </c>
      <c r="I21" s="352">
        <v>1</v>
      </c>
      <c r="J21" s="352">
        <f>VLOOKUP(G21,Voos!$L$9:$M$15,2,FALSE)</f>
        <v>901</v>
      </c>
      <c r="K21" s="353">
        <f t="shared" si="1"/>
        <v>901</v>
      </c>
      <c r="L21" s="352">
        <f t="shared" si="2"/>
        <v>1</v>
      </c>
      <c r="M21" s="352">
        <f t="shared" si="3"/>
        <v>1.5</v>
      </c>
      <c r="N21" s="353">
        <f>VLOOKUP(G21,Diárias!$B$8:$D$35,2,FALSE)</f>
        <v>387.86</v>
      </c>
      <c r="O21" s="354">
        <f t="shared" si="4"/>
        <v>581.79</v>
      </c>
      <c r="P21" s="364">
        <f t="shared" si="5"/>
        <v>1482.79</v>
      </c>
    </row>
    <row r="22" spans="1:16" ht="18" customHeight="1">
      <c r="A22" s="373">
        <f t="shared" si="6"/>
        <v>2</v>
      </c>
      <c r="B22" s="795"/>
      <c r="C22" s="799"/>
      <c r="D22" s="352" t="s">
        <v>206</v>
      </c>
      <c r="E22" s="351" t="str">
        <f>VLOOKUP($D22,'TC 07-2023'!$B:$Z,2,FALSE)</f>
        <v>Engenheiro de projetos sênior</v>
      </c>
      <c r="F22" s="235" t="s">
        <v>645</v>
      </c>
      <c r="G22" s="235" t="s">
        <v>534</v>
      </c>
      <c r="H22" s="355" t="s">
        <v>646</v>
      </c>
      <c r="I22" s="352">
        <v>1</v>
      </c>
      <c r="J22" s="352">
        <f>VLOOKUP(G22,Voos!$L$9:$M$15,2,FALSE)</f>
        <v>901</v>
      </c>
      <c r="K22" s="353">
        <f t="shared" si="1"/>
        <v>901</v>
      </c>
      <c r="L22" s="352">
        <f t="shared" si="2"/>
        <v>1</v>
      </c>
      <c r="M22" s="352">
        <f t="shared" si="3"/>
        <v>1.5</v>
      </c>
      <c r="N22" s="353">
        <f>VLOOKUP(G22,Diárias!$B$8:$D$35,2,FALSE)</f>
        <v>387.86</v>
      </c>
      <c r="O22" s="354">
        <f t="shared" si="4"/>
        <v>581.79</v>
      </c>
      <c r="P22" s="364">
        <f t="shared" si="5"/>
        <v>1482.79</v>
      </c>
    </row>
    <row r="23" spans="1:16" ht="18" customHeight="1">
      <c r="A23" s="373">
        <f t="shared" si="6"/>
        <v>2</v>
      </c>
      <c r="B23" s="795"/>
      <c r="C23" s="798" t="s">
        <v>647</v>
      </c>
      <c r="D23" s="352" t="s">
        <v>199</v>
      </c>
      <c r="E23" s="351" t="str">
        <f>VLOOKUP($D23,'TC 07-2023'!$B:$Z,2,FALSE)</f>
        <v>Engenheiro consultor especial</v>
      </c>
      <c r="F23" s="235" t="s">
        <v>645</v>
      </c>
      <c r="G23" s="235" t="s">
        <v>511</v>
      </c>
      <c r="H23" s="355" t="s">
        <v>646</v>
      </c>
      <c r="I23" s="352">
        <v>1</v>
      </c>
      <c r="J23" s="352">
        <f>VLOOKUP(G23,Voos!$L$9:$M$15,2,FALSE)</f>
        <v>906.33333333333337</v>
      </c>
      <c r="K23" s="353">
        <f t="shared" si="1"/>
        <v>906.33333333333337</v>
      </c>
      <c r="L23" s="352">
        <f t="shared" si="2"/>
        <v>1</v>
      </c>
      <c r="M23" s="352">
        <f t="shared" si="3"/>
        <v>1.5</v>
      </c>
      <c r="N23" s="353">
        <f>VLOOKUP(G23,Diárias!$B$8:$D$35,2,FALSE)</f>
        <v>433.49</v>
      </c>
      <c r="O23" s="354">
        <f t="shared" si="4"/>
        <v>650.23500000000001</v>
      </c>
      <c r="P23" s="364">
        <f t="shared" si="5"/>
        <v>1556.5683333333334</v>
      </c>
    </row>
    <row r="24" spans="1:16" ht="18" customHeight="1">
      <c r="A24" s="373">
        <f t="shared" si="6"/>
        <v>2</v>
      </c>
      <c r="B24" s="795"/>
      <c r="C24" s="799"/>
      <c r="D24" s="352" t="s">
        <v>206</v>
      </c>
      <c r="E24" s="351" t="str">
        <f>VLOOKUP($D24,'TC 07-2023'!$B:$Z,2,FALSE)</f>
        <v>Engenheiro de projetos sênior</v>
      </c>
      <c r="F24" s="235" t="s">
        <v>645</v>
      </c>
      <c r="G24" s="235" t="s">
        <v>511</v>
      </c>
      <c r="H24" s="355" t="s">
        <v>646</v>
      </c>
      <c r="I24" s="352">
        <v>1</v>
      </c>
      <c r="J24" s="352">
        <f>VLOOKUP(G24,Voos!$L$9:$M$15,2,FALSE)</f>
        <v>906.33333333333337</v>
      </c>
      <c r="K24" s="353">
        <f t="shared" si="1"/>
        <v>906.33333333333337</v>
      </c>
      <c r="L24" s="352">
        <f t="shared" si="2"/>
        <v>1</v>
      </c>
      <c r="M24" s="352">
        <f t="shared" si="3"/>
        <v>1.5</v>
      </c>
      <c r="N24" s="353">
        <f>VLOOKUP(G24,Diárias!$B$8:$D$35,2,FALSE)</f>
        <v>433.49</v>
      </c>
      <c r="O24" s="354">
        <f t="shared" si="4"/>
        <v>650.23500000000001</v>
      </c>
      <c r="P24" s="364">
        <f t="shared" si="5"/>
        <v>1556.5683333333334</v>
      </c>
    </row>
    <row r="25" spans="1:16" ht="18" customHeight="1">
      <c r="A25" s="373">
        <f t="shared" si="6"/>
        <v>2</v>
      </c>
      <c r="B25" s="795"/>
      <c r="C25" s="798" t="s">
        <v>647</v>
      </c>
      <c r="D25" s="352" t="s">
        <v>199</v>
      </c>
      <c r="E25" s="351" t="str">
        <f>VLOOKUP($D25,'TC 07-2023'!$B:$Z,2,FALSE)</f>
        <v>Engenheiro consultor especial</v>
      </c>
      <c r="F25" s="235" t="s">
        <v>645</v>
      </c>
      <c r="G25" s="235" t="s">
        <v>508</v>
      </c>
      <c r="H25" s="355" t="s">
        <v>646</v>
      </c>
      <c r="I25" s="352">
        <v>1</v>
      </c>
      <c r="J25" s="352">
        <f>VLOOKUP(G25,Voos!$L$9:$M$15,2,FALSE)</f>
        <v>625</v>
      </c>
      <c r="K25" s="353">
        <f t="shared" si="1"/>
        <v>625</v>
      </c>
      <c r="L25" s="352">
        <f t="shared" si="2"/>
        <v>1</v>
      </c>
      <c r="M25" s="352">
        <f t="shared" si="3"/>
        <v>1.5</v>
      </c>
      <c r="N25" s="353">
        <f>VLOOKUP(G25,Diárias!$B$8:$D$35,2,FALSE)</f>
        <v>433.49</v>
      </c>
      <c r="O25" s="354">
        <f t="shared" si="4"/>
        <v>650.23500000000001</v>
      </c>
      <c r="P25" s="364">
        <f t="shared" si="5"/>
        <v>1275.2350000000001</v>
      </c>
    </row>
    <row r="26" spans="1:16" ht="18" customHeight="1">
      <c r="A26" s="373">
        <f t="shared" si="6"/>
        <v>2</v>
      </c>
      <c r="B26" s="795"/>
      <c r="C26" s="799"/>
      <c r="D26" s="352" t="s">
        <v>206</v>
      </c>
      <c r="E26" s="351" t="str">
        <f>VLOOKUP($D26,'TC 07-2023'!$B:$Z,2,FALSE)</f>
        <v>Engenheiro de projetos sênior</v>
      </c>
      <c r="F26" s="235" t="s">
        <v>645</v>
      </c>
      <c r="G26" s="235" t="s">
        <v>508</v>
      </c>
      <c r="H26" s="355" t="s">
        <v>646</v>
      </c>
      <c r="I26" s="352">
        <v>1</v>
      </c>
      <c r="J26" s="352">
        <f>VLOOKUP(G26,Voos!$L$9:$M$15,2,FALSE)</f>
        <v>625</v>
      </c>
      <c r="K26" s="353">
        <f t="shared" si="1"/>
        <v>625</v>
      </c>
      <c r="L26" s="352">
        <f t="shared" si="2"/>
        <v>1</v>
      </c>
      <c r="M26" s="352">
        <f t="shared" si="3"/>
        <v>1.5</v>
      </c>
      <c r="N26" s="353">
        <f>VLOOKUP(G26,Diárias!$B$8:$D$35,2,FALSE)</f>
        <v>433.49</v>
      </c>
      <c r="O26" s="354">
        <f t="shared" si="4"/>
        <v>650.23500000000001</v>
      </c>
      <c r="P26" s="364">
        <f t="shared" si="5"/>
        <v>1275.2350000000001</v>
      </c>
    </row>
    <row r="27" spans="1:16" ht="18" customHeight="1">
      <c r="A27" s="373">
        <f t="shared" si="6"/>
        <v>2</v>
      </c>
      <c r="B27" s="795"/>
      <c r="C27" s="798" t="s">
        <v>756</v>
      </c>
      <c r="D27" s="352" t="s">
        <v>199</v>
      </c>
      <c r="E27" s="351" t="str">
        <f>VLOOKUP($D27,'TC 07-2023'!$B:$Z,2,FALSE)</f>
        <v>Engenheiro consultor especial</v>
      </c>
      <c r="F27" s="235" t="s">
        <v>645</v>
      </c>
      <c r="G27" s="235" t="s">
        <v>511</v>
      </c>
      <c r="H27" s="355" t="s">
        <v>646</v>
      </c>
      <c r="I27" s="352">
        <v>1</v>
      </c>
      <c r="J27" s="352">
        <f>VLOOKUP(G27,Voos!$L$9:$M$15,2,FALSE)</f>
        <v>906.33333333333337</v>
      </c>
      <c r="K27" s="353">
        <f t="shared" si="1"/>
        <v>906.33333333333337</v>
      </c>
      <c r="L27" s="352">
        <f t="shared" si="2"/>
        <v>1</v>
      </c>
      <c r="M27" s="352">
        <f t="shared" si="3"/>
        <v>1.5</v>
      </c>
      <c r="N27" s="353">
        <f>VLOOKUP(G27,Diárias!$B$8:$D$35,2,FALSE)</f>
        <v>433.49</v>
      </c>
      <c r="O27" s="354">
        <f t="shared" si="4"/>
        <v>650.23500000000001</v>
      </c>
      <c r="P27" s="364">
        <f t="shared" si="5"/>
        <v>1556.5683333333334</v>
      </c>
    </row>
    <row r="28" spans="1:16" ht="18" customHeight="1">
      <c r="A28" s="373">
        <f t="shared" si="6"/>
        <v>2</v>
      </c>
      <c r="B28" s="795"/>
      <c r="C28" s="799"/>
      <c r="D28" s="352" t="s">
        <v>206</v>
      </c>
      <c r="E28" s="351" t="str">
        <f>VLOOKUP($D28,'TC 07-2023'!$B:$Z,2,FALSE)</f>
        <v>Engenheiro de projetos sênior</v>
      </c>
      <c r="F28" s="235" t="s">
        <v>645</v>
      </c>
      <c r="G28" s="235" t="s">
        <v>511</v>
      </c>
      <c r="H28" s="355" t="s">
        <v>646</v>
      </c>
      <c r="I28" s="352">
        <v>1</v>
      </c>
      <c r="J28" s="352">
        <f>VLOOKUP(G28,Voos!$L$9:$M$15,2,FALSE)</f>
        <v>906.33333333333337</v>
      </c>
      <c r="K28" s="353">
        <f t="shared" si="1"/>
        <v>906.33333333333337</v>
      </c>
      <c r="L28" s="352">
        <f t="shared" si="2"/>
        <v>1</v>
      </c>
      <c r="M28" s="352">
        <f t="shared" si="3"/>
        <v>1.5</v>
      </c>
      <c r="N28" s="353">
        <f>VLOOKUP(G28,Diárias!$B$8:$D$35,2,FALSE)</f>
        <v>433.49</v>
      </c>
      <c r="O28" s="354">
        <f t="shared" si="4"/>
        <v>650.23500000000001</v>
      </c>
      <c r="P28" s="364">
        <f t="shared" si="5"/>
        <v>1556.5683333333334</v>
      </c>
    </row>
    <row r="29" spans="1:16" ht="18" customHeight="1">
      <c r="A29" s="373">
        <f t="shared" si="6"/>
        <v>2</v>
      </c>
      <c r="B29" s="795"/>
      <c r="C29" s="798" t="s">
        <v>446</v>
      </c>
      <c r="D29" s="352" t="s">
        <v>199</v>
      </c>
      <c r="E29" s="351" t="str">
        <f>VLOOKUP($D29,'TC 07-2023'!$B:$Z,2,FALSE)</f>
        <v>Engenheiro consultor especial</v>
      </c>
      <c r="F29" s="235" t="s">
        <v>645</v>
      </c>
      <c r="G29" s="235" t="s">
        <v>511</v>
      </c>
      <c r="H29" s="352" t="s">
        <v>646</v>
      </c>
      <c r="I29" s="352">
        <v>1</v>
      </c>
      <c r="J29" s="352">
        <f>VLOOKUP(G29,Voos!$L$9:$M$15,2,FALSE)</f>
        <v>906.33333333333337</v>
      </c>
      <c r="K29" s="353">
        <f t="shared" si="1"/>
        <v>906.33333333333337</v>
      </c>
      <c r="L29" s="352">
        <f t="shared" si="2"/>
        <v>1</v>
      </c>
      <c r="M29" s="352">
        <f t="shared" si="3"/>
        <v>1.5</v>
      </c>
      <c r="N29" s="353">
        <f>VLOOKUP(G29,Diárias!$B$8:$D$35,2,FALSE)</f>
        <v>433.49</v>
      </c>
      <c r="O29" s="354">
        <f t="shared" si="4"/>
        <v>650.23500000000001</v>
      </c>
      <c r="P29" s="364">
        <f t="shared" si="5"/>
        <v>1556.5683333333334</v>
      </c>
    </row>
    <row r="30" spans="1:16" ht="18" customHeight="1">
      <c r="A30" s="373">
        <f t="shared" si="6"/>
        <v>2</v>
      </c>
      <c r="B30" s="797"/>
      <c r="C30" s="800"/>
      <c r="D30" s="365" t="s">
        <v>205</v>
      </c>
      <c r="E30" s="366" t="str">
        <f>VLOOKUP($D30,'TC 07-2023'!$B:$Z,2,FALSE)</f>
        <v>Engenheiro de projetos pleno</v>
      </c>
      <c r="F30" s="367" t="s">
        <v>645</v>
      </c>
      <c r="G30" s="367" t="s">
        <v>511</v>
      </c>
      <c r="H30" s="365" t="s">
        <v>646</v>
      </c>
      <c r="I30" s="365">
        <v>1</v>
      </c>
      <c r="J30" s="365">
        <f>VLOOKUP(G30,Voos!$L$9:$M$15,2,FALSE)</f>
        <v>906.33333333333337</v>
      </c>
      <c r="K30" s="369">
        <f t="shared" si="1"/>
        <v>906.33333333333337</v>
      </c>
      <c r="L30" s="365">
        <f t="shared" si="2"/>
        <v>1</v>
      </c>
      <c r="M30" s="365">
        <f t="shared" si="3"/>
        <v>1.5</v>
      </c>
      <c r="N30" s="369">
        <f>VLOOKUP(G30,Diárias!$B$8:$D$35,2,FALSE)</f>
        <v>433.49</v>
      </c>
      <c r="O30" s="370">
        <f t="shared" si="4"/>
        <v>650.23500000000001</v>
      </c>
      <c r="P30" s="371">
        <f t="shared" si="5"/>
        <v>1556.5683333333334</v>
      </c>
    </row>
    <row r="31" spans="1:16" s="336" customFormat="1" ht="18" customHeight="1">
      <c r="A31" s="373">
        <v>3</v>
      </c>
      <c r="B31" s="792" t="str">
        <f>Produtos!C9</f>
        <v>Dimensão de Engenharia (EEN)</v>
      </c>
      <c r="C31" s="381" t="s">
        <v>717</v>
      </c>
      <c r="D31" s="356" t="s">
        <v>200</v>
      </c>
      <c r="E31" s="357" t="str">
        <f>VLOOKUP($D31,'TC 07-2023'!$B:$Z,2,FALSE)</f>
        <v>Engenheiro coordenador</v>
      </c>
      <c r="F31" s="358" t="s">
        <v>645</v>
      </c>
      <c r="G31" s="358" t="s">
        <v>511</v>
      </c>
      <c r="H31" s="359" t="s">
        <v>646</v>
      </c>
      <c r="I31" s="360">
        <v>1</v>
      </c>
      <c r="J31" s="360">
        <f>VLOOKUP(G31,Voos!$L$9:$M$15,2,FALSE)</f>
        <v>906.33333333333337</v>
      </c>
      <c r="K31" s="361">
        <f t="shared" si="1"/>
        <v>906.33333333333337</v>
      </c>
      <c r="L31" s="360">
        <f t="shared" si="2"/>
        <v>1</v>
      </c>
      <c r="M31" s="360">
        <f t="shared" si="3"/>
        <v>2.5</v>
      </c>
      <c r="N31" s="361">
        <f>VLOOKUP(G31,Diárias!$B$8:$D$35,2,FALSE)</f>
        <v>433.49</v>
      </c>
      <c r="O31" s="362">
        <f t="shared" si="4"/>
        <v>1083.7249999999999</v>
      </c>
      <c r="P31" s="363">
        <f t="shared" si="5"/>
        <v>1990.0583333333334</v>
      </c>
    </row>
    <row r="32" spans="1:16" s="336" customFormat="1" ht="18" customHeight="1">
      <c r="A32" s="373">
        <f>A31</f>
        <v>3</v>
      </c>
      <c r="B32" s="793"/>
      <c r="C32" s="382" t="s">
        <v>717</v>
      </c>
      <c r="D32" s="352" t="s">
        <v>199</v>
      </c>
      <c r="E32" s="351" t="str">
        <f>VLOOKUP($D32,'TC 07-2023'!$B:$Z,2,FALSE)</f>
        <v>Engenheiro consultor especial</v>
      </c>
      <c r="F32" s="235" t="s">
        <v>645</v>
      </c>
      <c r="G32" s="235" t="s">
        <v>511</v>
      </c>
      <c r="H32" s="355" t="s">
        <v>646</v>
      </c>
      <c r="I32" s="352">
        <v>1</v>
      </c>
      <c r="J32" s="352">
        <f>VLOOKUP(G32,Voos!$L$9:$M$15,2,FALSE)</f>
        <v>906.33333333333337</v>
      </c>
      <c r="K32" s="353">
        <f t="shared" si="1"/>
        <v>906.33333333333337</v>
      </c>
      <c r="L32" s="352">
        <f t="shared" si="2"/>
        <v>1</v>
      </c>
      <c r="M32" s="352">
        <f t="shared" si="3"/>
        <v>2.5</v>
      </c>
      <c r="N32" s="353">
        <f>VLOOKUP(G32,Diárias!$B$8:$D$35,2,FALSE)</f>
        <v>433.49</v>
      </c>
      <c r="O32" s="354">
        <f t="shared" si="4"/>
        <v>1083.7249999999999</v>
      </c>
      <c r="P32" s="364">
        <f t="shared" si="5"/>
        <v>1990.0583333333334</v>
      </c>
    </row>
    <row r="33" spans="1:16" s="336" customFormat="1" ht="18" customHeight="1">
      <c r="A33" s="373" t="s">
        <v>791</v>
      </c>
      <c r="B33" s="793"/>
      <c r="C33" s="382" t="s">
        <v>723</v>
      </c>
      <c r="D33" s="352" t="s">
        <v>199</v>
      </c>
      <c r="E33" s="351" t="str">
        <f>VLOOKUP($D33,'TC 07-2023'!$B:$Z,2,FALSE)</f>
        <v>Engenheiro consultor especial</v>
      </c>
      <c r="F33" s="235" t="s">
        <v>645</v>
      </c>
      <c r="G33" s="235" t="s">
        <v>728</v>
      </c>
      <c r="H33" s="355" t="s">
        <v>646</v>
      </c>
      <c r="I33" s="352">
        <f>L33*Dados!$C$8</f>
        <v>6</v>
      </c>
      <c r="J33" s="352">
        <f>VLOOKUP(G33,Voos!$L$9:$M$15,2,FALSE)</f>
        <v>851</v>
      </c>
      <c r="K33" s="353">
        <f t="shared" si="1"/>
        <v>5106</v>
      </c>
      <c r="L33" s="352">
        <v>1</v>
      </c>
      <c r="M33" s="352">
        <f>IF(C33="Reunião de Alinhamento",2+0.5,IF(C33="Inspeção de Campo",6.5*I33,1.5))</f>
        <v>39</v>
      </c>
      <c r="N33" s="353">
        <f>VLOOKUP(G33,Diárias!$B$8:$D$35,2,FALSE)</f>
        <v>342.23</v>
      </c>
      <c r="O33" s="354">
        <f t="shared" si="4"/>
        <v>13346.970000000001</v>
      </c>
      <c r="P33" s="364">
        <f t="shared" si="5"/>
        <v>18452.97</v>
      </c>
    </row>
    <row r="34" spans="1:16" s="336" customFormat="1" ht="18" customHeight="1">
      <c r="A34" s="373" t="str">
        <f>A33</f>
        <v>3.3</v>
      </c>
      <c r="B34" s="793"/>
      <c r="C34" s="382" t="s">
        <v>723</v>
      </c>
      <c r="D34" s="352" t="s">
        <v>206</v>
      </c>
      <c r="E34" s="351" t="str">
        <f>VLOOKUP($D34,'TC 07-2023'!$B:$Z,2,FALSE)</f>
        <v>Engenheiro de projetos sênior</v>
      </c>
      <c r="F34" s="235" t="s">
        <v>645</v>
      </c>
      <c r="G34" s="235" t="s">
        <v>728</v>
      </c>
      <c r="H34" s="355" t="s">
        <v>646</v>
      </c>
      <c r="I34" s="352">
        <f>L34*Dados!$C$8</f>
        <v>6</v>
      </c>
      <c r="J34" s="352">
        <f>VLOOKUP(G34,Voos!$L$9:$M$15,2,FALSE)</f>
        <v>851</v>
      </c>
      <c r="K34" s="353">
        <f t="shared" si="1"/>
        <v>5106</v>
      </c>
      <c r="L34" s="352">
        <v>1</v>
      </c>
      <c r="M34" s="352">
        <f t="shared" ref="M34:M35" si="7">IF(C34="Reunião de Alinhamento",2+0.5,IF(C34="Inspeção de Campo",6.5*I34,1.5))</f>
        <v>39</v>
      </c>
      <c r="N34" s="353">
        <f>VLOOKUP(G34,Diárias!$B$8:$D$35,2,FALSE)</f>
        <v>342.23</v>
      </c>
      <c r="O34" s="354">
        <f t="shared" si="4"/>
        <v>13346.970000000001</v>
      </c>
      <c r="P34" s="364">
        <f t="shared" si="5"/>
        <v>18452.97</v>
      </c>
    </row>
    <row r="35" spans="1:16" s="336" customFormat="1" ht="18" customHeight="1">
      <c r="A35" s="373" t="str">
        <f>A34</f>
        <v>3.3</v>
      </c>
      <c r="B35" s="793"/>
      <c r="C35" s="382" t="s">
        <v>723</v>
      </c>
      <c r="D35" s="352" t="s">
        <v>205</v>
      </c>
      <c r="E35" s="351" t="str">
        <f>VLOOKUP($D35,'TC 07-2023'!$B:$Z,2,FALSE)</f>
        <v>Engenheiro de projetos pleno</v>
      </c>
      <c r="F35" s="235" t="s">
        <v>645</v>
      </c>
      <c r="G35" s="235" t="s">
        <v>728</v>
      </c>
      <c r="H35" s="355" t="s">
        <v>646</v>
      </c>
      <c r="I35" s="352">
        <f>L35*Dados!$C$8</f>
        <v>12</v>
      </c>
      <c r="J35" s="352">
        <f>VLOOKUP(G35,Voos!$L$9:$M$15,2,FALSE)</f>
        <v>851</v>
      </c>
      <c r="K35" s="353">
        <f t="shared" si="1"/>
        <v>10212</v>
      </c>
      <c r="L35" s="352">
        <v>2</v>
      </c>
      <c r="M35" s="352">
        <f t="shared" si="7"/>
        <v>78</v>
      </c>
      <c r="N35" s="353">
        <f>VLOOKUP(G35,Diárias!$B$8:$D$35,2,FALSE)</f>
        <v>342.23</v>
      </c>
      <c r="O35" s="354">
        <f t="shared" si="4"/>
        <v>53387.880000000005</v>
      </c>
      <c r="P35" s="364">
        <f t="shared" si="5"/>
        <v>63599.880000000005</v>
      </c>
    </row>
    <row r="36" spans="1:16" s="336" customFormat="1" ht="18" customHeight="1">
      <c r="A36" s="372">
        <v>4</v>
      </c>
      <c r="B36" s="794" t="str">
        <f>Produtos!C11</f>
        <v>Dimensão Operacional (EOP)</v>
      </c>
      <c r="C36" s="381" t="s">
        <v>717</v>
      </c>
      <c r="D36" s="356" t="s">
        <v>200</v>
      </c>
      <c r="E36" s="357" t="str">
        <f>VLOOKUP($D36,'TC 07-2023'!$B:$Z,2,FALSE)</f>
        <v>Engenheiro coordenador</v>
      </c>
      <c r="F36" s="358" t="s">
        <v>645</v>
      </c>
      <c r="G36" s="358" t="s">
        <v>511</v>
      </c>
      <c r="H36" s="359" t="s">
        <v>646</v>
      </c>
      <c r="I36" s="360">
        <v>1</v>
      </c>
      <c r="J36" s="360">
        <f>VLOOKUP(G36,Voos!$L$9:$M$15,2,FALSE)</f>
        <v>906.33333333333337</v>
      </c>
      <c r="K36" s="361">
        <f t="shared" si="1"/>
        <v>906.33333333333337</v>
      </c>
      <c r="L36" s="360">
        <f t="shared" si="2"/>
        <v>1</v>
      </c>
      <c r="M36" s="360">
        <f t="shared" si="3"/>
        <v>2.5</v>
      </c>
      <c r="N36" s="361">
        <f>VLOOKUP(G36,Diárias!$B$8:$D$35,2,FALSE)</f>
        <v>433.49</v>
      </c>
      <c r="O36" s="362">
        <f t="shared" si="4"/>
        <v>1083.7249999999999</v>
      </c>
      <c r="P36" s="363">
        <f t="shared" si="5"/>
        <v>1990.0583333333334</v>
      </c>
    </row>
    <row r="37" spans="1:16" s="336" customFormat="1" ht="18" customHeight="1">
      <c r="A37" s="372">
        <f>A36</f>
        <v>4</v>
      </c>
      <c r="B37" s="795"/>
      <c r="C37" s="382" t="s">
        <v>717</v>
      </c>
      <c r="D37" s="352" t="s">
        <v>199</v>
      </c>
      <c r="E37" s="351" t="str">
        <f>VLOOKUP($D37,'TC 07-2023'!$B:$Z,2,FALSE)</f>
        <v>Engenheiro consultor especial</v>
      </c>
      <c r="F37" s="235" t="s">
        <v>645</v>
      </c>
      <c r="G37" s="235" t="s">
        <v>511</v>
      </c>
      <c r="H37" s="355" t="s">
        <v>646</v>
      </c>
      <c r="I37" s="352">
        <v>1</v>
      </c>
      <c r="J37" s="352">
        <f>VLOOKUP(G37,Voos!$L$9:$M$15,2,FALSE)</f>
        <v>906.33333333333337</v>
      </c>
      <c r="K37" s="353">
        <f t="shared" si="1"/>
        <v>906.33333333333337</v>
      </c>
      <c r="L37" s="352">
        <f t="shared" si="2"/>
        <v>1</v>
      </c>
      <c r="M37" s="352">
        <f t="shared" si="3"/>
        <v>2.5</v>
      </c>
      <c r="N37" s="353">
        <f>VLOOKUP(G37,Diárias!$B$8:$D$35,2,FALSE)</f>
        <v>433.49</v>
      </c>
      <c r="O37" s="354">
        <f t="shared" si="4"/>
        <v>1083.7249999999999</v>
      </c>
      <c r="P37" s="364">
        <f t="shared" si="5"/>
        <v>1990.0583333333334</v>
      </c>
    </row>
    <row r="38" spans="1:16" ht="18" customHeight="1">
      <c r="A38" s="372">
        <f t="shared" ref="A38:A71" si="8">A37</f>
        <v>4</v>
      </c>
      <c r="B38" s="795"/>
      <c r="C38" s="798" t="s">
        <v>755</v>
      </c>
      <c r="D38" s="352" t="s">
        <v>199</v>
      </c>
      <c r="E38" s="351" t="str">
        <f>VLOOKUP($D38,'TC 07-2023'!$B:$Z,2,FALSE)</f>
        <v>Engenheiro consultor especial</v>
      </c>
      <c r="F38" s="235" t="s">
        <v>645</v>
      </c>
      <c r="G38" s="235" t="s">
        <v>511</v>
      </c>
      <c r="H38" s="355" t="s">
        <v>646</v>
      </c>
      <c r="I38" s="352">
        <v>1</v>
      </c>
      <c r="J38" s="352">
        <f>VLOOKUP(G38,Voos!$L$9:$M$15,2,FALSE)</f>
        <v>906.33333333333337</v>
      </c>
      <c r="K38" s="353">
        <f t="shared" si="1"/>
        <v>906.33333333333337</v>
      </c>
      <c r="L38" s="352">
        <f t="shared" si="2"/>
        <v>1</v>
      </c>
      <c r="M38" s="352">
        <f t="shared" si="3"/>
        <v>1.5</v>
      </c>
      <c r="N38" s="353">
        <f>VLOOKUP(G38,Diárias!$B$8:$D$35,2,FALSE)</f>
        <v>433.49</v>
      </c>
      <c r="O38" s="354">
        <f t="shared" si="4"/>
        <v>650.23500000000001</v>
      </c>
      <c r="P38" s="364">
        <f t="shared" si="5"/>
        <v>1556.5683333333334</v>
      </c>
    </row>
    <row r="39" spans="1:16" ht="18" customHeight="1">
      <c r="A39" s="372">
        <f t="shared" si="8"/>
        <v>4</v>
      </c>
      <c r="B39" s="795"/>
      <c r="C39" s="799"/>
      <c r="D39" s="352" t="s">
        <v>206</v>
      </c>
      <c r="E39" s="351" t="str">
        <f>VLOOKUP($D39,'TC 07-2023'!$B:$Z,2,FALSE)</f>
        <v>Engenheiro de projetos sênior</v>
      </c>
      <c r="F39" s="235" t="s">
        <v>645</v>
      </c>
      <c r="G39" s="235" t="s">
        <v>511</v>
      </c>
      <c r="H39" s="355" t="s">
        <v>646</v>
      </c>
      <c r="I39" s="352">
        <v>1</v>
      </c>
      <c r="J39" s="352">
        <f>VLOOKUP(G39,Voos!$L$9:$M$15,2,FALSE)</f>
        <v>906.33333333333337</v>
      </c>
      <c r="K39" s="353">
        <f t="shared" si="1"/>
        <v>906.33333333333337</v>
      </c>
      <c r="L39" s="352">
        <f t="shared" si="2"/>
        <v>1</v>
      </c>
      <c r="M39" s="352">
        <f t="shared" si="3"/>
        <v>1.5</v>
      </c>
      <c r="N39" s="353">
        <f>VLOOKUP(G39,Diárias!$B$8:$D$35,2,FALSE)</f>
        <v>433.49</v>
      </c>
      <c r="O39" s="354">
        <f t="shared" si="4"/>
        <v>650.23500000000001</v>
      </c>
      <c r="P39" s="364">
        <f t="shared" si="5"/>
        <v>1556.5683333333334</v>
      </c>
    </row>
    <row r="40" spans="1:16" ht="18" customHeight="1">
      <c r="A40" s="372">
        <f t="shared" si="8"/>
        <v>4</v>
      </c>
      <c r="B40" s="795"/>
      <c r="C40" s="798" t="s">
        <v>756</v>
      </c>
      <c r="D40" s="352" t="s">
        <v>199</v>
      </c>
      <c r="E40" s="351" t="str">
        <f>VLOOKUP($D40,'TC 07-2023'!$B:$Z,2,FALSE)</f>
        <v>Engenheiro consultor especial</v>
      </c>
      <c r="F40" s="235" t="s">
        <v>645</v>
      </c>
      <c r="G40" s="235" t="s">
        <v>511</v>
      </c>
      <c r="H40" s="355" t="s">
        <v>646</v>
      </c>
      <c r="I40" s="352">
        <v>1</v>
      </c>
      <c r="J40" s="352">
        <f>VLOOKUP(G40,Voos!$L$9:$M$15,2,FALSE)</f>
        <v>906.33333333333337</v>
      </c>
      <c r="K40" s="353">
        <f t="shared" si="1"/>
        <v>906.33333333333337</v>
      </c>
      <c r="L40" s="352">
        <f t="shared" si="2"/>
        <v>1</v>
      </c>
      <c r="M40" s="352">
        <f t="shared" si="3"/>
        <v>1.5</v>
      </c>
      <c r="N40" s="353">
        <f>VLOOKUP(G40,Diárias!$B$8:$D$35,2,FALSE)</f>
        <v>433.49</v>
      </c>
      <c r="O40" s="354">
        <f t="shared" si="4"/>
        <v>650.23500000000001</v>
      </c>
      <c r="P40" s="364">
        <f t="shared" si="5"/>
        <v>1556.5683333333334</v>
      </c>
    </row>
    <row r="41" spans="1:16" ht="18" customHeight="1">
      <c r="A41" s="372">
        <f t="shared" si="8"/>
        <v>4</v>
      </c>
      <c r="B41" s="795"/>
      <c r="C41" s="799"/>
      <c r="D41" s="352" t="s">
        <v>206</v>
      </c>
      <c r="E41" s="351" t="str">
        <f>VLOOKUP($D41,'TC 07-2023'!$B:$Z,2,FALSE)</f>
        <v>Engenheiro de projetos sênior</v>
      </c>
      <c r="F41" s="235" t="s">
        <v>645</v>
      </c>
      <c r="G41" s="235" t="s">
        <v>511</v>
      </c>
      <c r="H41" s="355" t="s">
        <v>646</v>
      </c>
      <c r="I41" s="352">
        <v>1</v>
      </c>
      <c r="J41" s="352">
        <f>VLOOKUP(G41,Voos!$L$9:$M$15,2,FALSE)</f>
        <v>906.33333333333337</v>
      </c>
      <c r="K41" s="353">
        <f t="shared" si="1"/>
        <v>906.33333333333337</v>
      </c>
      <c r="L41" s="352">
        <f t="shared" si="2"/>
        <v>1</v>
      </c>
      <c r="M41" s="352">
        <f t="shared" si="3"/>
        <v>1.5</v>
      </c>
      <c r="N41" s="353">
        <f>VLOOKUP(G41,Diárias!$B$8:$D$35,2,FALSE)</f>
        <v>433.49</v>
      </c>
      <c r="O41" s="354">
        <f t="shared" si="4"/>
        <v>650.23500000000001</v>
      </c>
      <c r="P41" s="364">
        <f t="shared" si="5"/>
        <v>1556.5683333333334</v>
      </c>
    </row>
    <row r="42" spans="1:16" ht="18" customHeight="1">
      <c r="A42" s="372">
        <f t="shared" si="8"/>
        <v>4</v>
      </c>
      <c r="B42" s="795"/>
      <c r="C42" s="798" t="s">
        <v>446</v>
      </c>
      <c r="D42" s="352" t="s">
        <v>199</v>
      </c>
      <c r="E42" s="351" t="str">
        <f>VLOOKUP($D42,'TC 07-2023'!$B:$Z,2,FALSE)</f>
        <v>Engenheiro consultor especial</v>
      </c>
      <c r="F42" s="235" t="s">
        <v>645</v>
      </c>
      <c r="G42" s="235" t="s">
        <v>511</v>
      </c>
      <c r="H42" s="352" t="s">
        <v>646</v>
      </c>
      <c r="I42" s="352">
        <v>1</v>
      </c>
      <c r="J42" s="352">
        <f>VLOOKUP(G42,Voos!$L$9:$M$15,2,FALSE)</f>
        <v>906.33333333333337</v>
      </c>
      <c r="K42" s="353">
        <f t="shared" si="1"/>
        <v>906.33333333333337</v>
      </c>
      <c r="L42" s="352">
        <f t="shared" si="2"/>
        <v>1</v>
      </c>
      <c r="M42" s="352">
        <f t="shared" si="3"/>
        <v>1.5</v>
      </c>
      <c r="N42" s="353">
        <f>VLOOKUP(G42,Diárias!$B$8:$D$35,2,FALSE)</f>
        <v>433.49</v>
      </c>
      <c r="O42" s="354">
        <f t="shared" si="4"/>
        <v>650.23500000000001</v>
      </c>
      <c r="P42" s="364">
        <f t="shared" si="5"/>
        <v>1556.5683333333334</v>
      </c>
    </row>
    <row r="43" spans="1:16" ht="18" customHeight="1">
      <c r="A43" s="372">
        <f t="shared" si="8"/>
        <v>4</v>
      </c>
      <c r="B43" s="795"/>
      <c r="C43" s="799"/>
      <c r="D43" s="352" t="s">
        <v>205</v>
      </c>
      <c r="E43" s="351" t="str">
        <f>VLOOKUP($D43,'TC 07-2023'!$B:$Z,2,FALSE)</f>
        <v>Engenheiro de projetos pleno</v>
      </c>
      <c r="F43" s="235" t="s">
        <v>645</v>
      </c>
      <c r="G43" s="235" t="s">
        <v>511</v>
      </c>
      <c r="H43" s="352" t="s">
        <v>646</v>
      </c>
      <c r="I43" s="352">
        <v>1</v>
      </c>
      <c r="J43" s="352">
        <f>VLOOKUP(G43,Voos!$L$9:$M$15,2,FALSE)</f>
        <v>906.33333333333337</v>
      </c>
      <c r="K43" s="353">
        <f t="shared" si="1"/>
        <v>906.33333333333337</v>
      </c>
      <c r="L43" s="352">
        <f t="shared" si="2"/>
        <v>1</v>
      </c>
      <c r="M43" s="352">
        <f t="shared" si="3"/>
        <v>1.5</v>
      </c>
      <c r="N43" s="353">
        <f>VLOOKUP(G43,Diárias!$B$8:$D$35,2,FALSE)</f>
        <v>433.49</v>
      </c>
      <c r="O43" s="354">
        <f t="shared" si="4"/>
        <v>650.23500000000001</v>
      </c>
      <c r="P43" s="364">
        <f t="shared" si="5"/>
        <v>1556.5683333333334</v>
      </c>
    </row>
    <row r="44" spans="1:16" ht="18" customHeight="1">
      <c r="A44" s="372">
        <v>5</v>
      </c>
      <c r="B44" s="794" t="str">
        <f>Produtos!C13</f>
        <v>Dimensão Socioambiental (EMA)</v>
      </c>
      <c r="C44" s="381" t="s">
        <v>717</v>
      </c>
      <c r="D44" s="356" t="s">
        <v>200</v>
      </c>
      <c r="E44" s="357" t="str">
        <f>VLOOKUP($D44,'TC 07-2023'!$B:$Z,2,FALSE)</f>
        <v>Engenheiro coordenador</v>
      </c>
      <c r="F44" s="358" t="s">
        <v>645</v>
      </c>
      <c r="G44" s="358" t="s">
        <v>511</v>
      </c>
      <c r="H44" s="359" t="s">
        <v>646</v>
      </c>
      <c r="I44" s="360">
        <v>1</v>
      </c>
      <c r="J44" s="360">
        <f>VLOOKUP(G44,Voos!$L$9:$M$15,2,FALSE)</f>
        <v>906.33333333333337</v>
      </c>
      <c r="K44" s="361">
        <f t="shared" si="1"/>
        <v>906.33333333333337</v>
      </c>
      <c r="L44" s="360">
        <f t="shared" si="2"/>
        <v>1</v>
      </c>
      <c r="M44" s="360">
        <f t="shared" si="3"/>
        <v>2.5</v>
      </c>
      <c r="N44" s="361">
        <f>VLOOKUP(G44,Diárias!$B$8:$D$35,2,FALSE)</f>
        <v>433.49</v>
      </c>
      <c r="O44" s="362">
        <f t="shared" si="4"/>
        <v>1083.7249999999999</v>
      </c>
      <c r="P44" s="363">
        <f t="shared" si="5"/>
        <v>1990.0583333333334</v>
      </c>
    </row>
    <row r="45" spans="1:16" ht="18" customHeight="1">
      <c r="A45" s="372">
        <f t="shared" si="8"/>
        <v>5</v>
      </c>
      <c r="B45" s="795"/>
      <c r="C45" s="382" t="s">
        <v>717</v>
      </c>
      <c r="D45" s="352" t="str">
        <f>'5.EMA'!B18</f>
        <v>P8044</v>
      </c>
      <c r="E45" s="351" t="str">
        <f>VLOOKUP($D45,'TC 07-2023'!$B:$Z,2,FALSE)</f>
        <v xml:space="preserve">Coordenador ambiental </v>
      </c>
      <c r="F45" s="235" t="s">
        <v>645</v>
      </c>
      <c r="G45" s="235" t="s">
        <v>511</v>
      </c>
      <c r="H45" s="355" t="s">
        <v>646</v>
      </c>
      <c r="I45" s="352">
        <v>1</v>
      </c>
      <c r="J45" s="352">
        <f>VLOOKUP(G45,Voos!$L$9:$M$15,2,FALSE)</f>
        <v>906.33333333333337</v>
      </c>
      <c r="K45" s="353">
        <f t="shared" si="1"/>
        <v>906.33333333333337</v>
      </c>
      <c r="L45" s="352">
        <f t="shared" si="2"/>
        <v>1</v>
      </c>
      <c r="M45" s="352">
        <f t="shared" si="3"/>
        <v>2.5</v>
      </c>
      <c r="N45" s="353">
        <f>VLOOKUP(G45,Diárias!$B$8:$D$35,2,FALSE)</f>
        <v>433.49</v>
      </c>
      <c r="O45" s="354">
        <f t="shared" si="4"/>
        <v>1083.7249999999999</v>
      </c>
      <c r="P45" s="364">
        <f t="shared" si="5"/>
        <v>1990.0583333333334</v>
      </c>
    </row>
    <row r="46" spans="1:16" ht="18" customHeight="1">
      <c r="A46" s="372">
        <f t="shared" si="8"/>
        <v>5</v>
      </c>
      <c r="B46" s="795"/>
      <c r="C46" s="382" t="s">
        <v>723</v>
      </c>
      <c r="D46" s="352" t="s">
        <v>198</v>
      </c>
      <c r="E46" s="351" t="str">
        <f>VLOOKUP($D46,'TC 07-2023'!$B:$Z,2,FALSE)</f>
        <v>Engenheiro ambiental sênior</v>
      </c>
      <c r="F46" s="235" t="s">
        <v>645</v>
      </c>
      <c r="G46" s="235" t="s">
        <v>728</v>
      </c>
      <c r="H46" s="355" t="s">
        <v>646</v>
      </c>
      <c r="I46" s="352">
        <f>L46*Dados!$C$8</f>
        <v>6</v>
      </c>
      <c r="J46" s="352">
        <f>VLOOKUP(G46,Voos!$L$9:$M$15,2,FALSE)</f>
        <v>851</v>
      </c>
      <c r="K46" s="353">
        <f t="shared" si="1"/>
        <v>5106</v>
      </c>
      <c r="L46" s="352">
        <v>1</v>
      </c>
      <c r="M46" s="352">
        <f t="shared" ref="M46:M49" si="9">IF(C46="Reunião de Alinhamento",2+0.5,IF(C46="Inspeção de Campo",6.5*I46,1.5))</f>
        <v>39</v>
      </c>
      <c r="N46" s="353">
        <f>VLOOKUP(G46,Diárias!$B$8:$D$35,2,FALSE)</f>
        <v>342.23</v>
      </c>
      <c r="O46" s="354">
        <f t="shared" si="4"/>
        <v>13346.970000000001</v>
      </c>
      <c r="P46" s="364">
        <f t="shared" si="5"/>
        <v>18452.97</v>
      </c>
    </row>
    <row r="47" spans="1:16" ht="18" customHeight="1">
      <c r="A47" s="372">
        <f t="shared" si="8"/>
        <v>5</v>
      </c>
      <c r="B47" s="795"/>
      <c r="C47" s="382" t="s">
        <v>723</v>
      </c>
      <c r="D47" s="352" t="s">
        <v>197</v>
      </c>
      <c r="E47" s="351" t="str">
        <f>VLOOKUP($D47,'TC 07-2023'!$B:$Z,2,FALSE)</f>
        <v>Engenheiro ambiental pleno</v>
      </c>
      <c r="F47" s="235" t="s">
        <v>645</v>
      </c>
      <c r="G47" s="235" t="s">
        <v>728</v>
      </c>
      <c r="H47" s="355" t="s">
        <v>646</v>
      </c>
      <c r="I47" s="352">
        <f>L47*Dados!$C$8</f>
        <v>6</v>
      </c>
      <c r="J47" s="352">
        <f>VLOOKUP(G47,Voos!$L$9:$M$15,2,FALSE)</f>
        <v>851</v>
      </c>
      <c r="K47" s="353">
        <f t="shared" ref="K47" si="10">J47*I47</f>
        <v>5106</v>
      </c>
      <c r="L47" s="352">
        <v>1</v>
      </c>
      <c r="M47" s="352">
        <f t="shared" si="9"/>
        <v>39</v>
      </c>
      <c r="N47" s="353">
        <f>VLOOKUP(G47,Diárias!$B$8:$D$35,2,FALSE)</f>
        <v>342.23</v>
      </c>
      <c r="O47" s="354">
        <f t="shared" ref="O47" si="11">N47*M47*L47</f>
        <v>13346.970000000001</v>
      </c>
      <c r="P47" s="364">
        <f t="shared" ref="P47" si="12">O47+K47</f>
        <v>18452.97</v>
      </c>
    </row>
    <row r="48" spans="1:16" ht="18" customHeight="1">
      <c r="A48" s="372">
        <f t="shared" si="8"/>
        <v>5</v>
      </c>
      <c r="B48" s="795"/>
      <c r="C48" s="382" t="s">
        <v>723</v>
      </c>
      <c r="D48" s="352" t="s">
        <v>177</v>
      </c>
      <c r="E48" s="351" t="str">
        <f>VLOOKUP($D48,'TC 07-2023'!$B:$Z,2,FALSE)</f>
        <v>Assistente social sênior</v>
      </c>
      <c r="F48" s="235" t="s">
        <v>645</v>
      </c>
      <c r="G48" s="235" t="s">
        <v>728</v>
      </c>
      <c r="H48" s="355" t="s">
        <v>646</v>
      </c>
      <c r="I48" s="352">
        <f>L48*Dados!$C$8</f>
        <v>6</v>
      </c>
      <c r="J48" s="352">
        <f>VLOOKUP(G48,Voos!$L$9:$M$15,2,FALSE)</f>
        <v>851</v>
      </c>
      <c r="K48" s="353">
        <f t="shared" ref="K48" si="13">J48*I48</f>
        <v>5106</v>
      </c>
      <c r="L48" s="352">
        <v>1</v>
      </c>
      <c r="M48" s="352">
        <f t="shared" si="9"/>
        <v>39</v>
      </c>
      <c r="N48" s="353">
        <f>VLOOKUP(G48,Diárias!$B$8:$D$35,2,FALSE)</f>
        <v>342.23</v>
      </c>
      <c r="O48" s="354">
        <f t="shared" ref="O48" si="14">N48*M48*L48</f>
        <v>13346.970000000001</v>
      </c>
      <c r="P48" s="364">
        <f t="shared" ref="P48" si="15">O48+K48</f>
        <v>18452.97</v>
      </c>
    </row>
    <row r="49" spans="1:16" ht="18" customHeight="1">
      <c r="A49" s="372">
        <f t="shared" si="8"/>
        <v>5</v>
      </c>
      <c r="B49" s="797"/>
      <c r="C49" s="383" t="s">
        <v>723</v>
      </c>
      <c r="D49" s="365" t="s">
        <v>176</v>
      </c>
      <c r="E49" s="366" t="str">
        <f>VLOOKUP($D49,'TC 07-2023'!$B:$Z,2,FALSE)</f>
        <v>Assistente social pleno</v>
      </c>
      <c r="F49" s="367" t="s">
        <v>645</v>
      </c>
      <c r="G49" s="367" t="s">
        <v>728</v>
      </c>
      <c r="H49" s="368" t="s">
        <v>646</v>
      </c>
      <c r="I49" s="365">
        <f>L49*Dados!$C$8</f>
        <v>6</v>
      </c>
      <c r="J49" s="365">
        <f>VLOOKUP(G49,Voos!$L$9:$M$15,2,FALSE)</f>
        <v>851</v>
      </c>
      <c r="K49" s="369">
        <f t="shared" si="1"/>
        <v>5106</v>
      </c>
      <c r="L49" s="365">
        <v>1</v>
      </c>
      <c r="M49" s="365">
        <f t="shared" si="9"/>
        <v>39</v>
      </c>
      <c r="N49" s="369">
        <f>VLOOKUP(G49,Diárias!$B$8:$D$35,2,FALSE)</f>
        <v>342.23</v>
      </c>
      <c r="O49" s="370">
        <f t="shared" si="4"/>
        <v>13346.970000000001</v>
      </c>
      <c r="P49" s="371">
        <f t="shared" si="5"/>
        <v>18452.97</v>
      </c>
    </row>
    <row r="50" spans="1:16" ht="18" customHeight="1">
      <c r="A50" s="372">
        <v>6</v>
      </c>
      <c r="B50" s="795" t="str">
        <f>Produtos!C15</f>
        <v>Dimensão Econômico-Financeira (MEF)</v>
      </c>
      <c r="C50" s="382" t="s">
        <v>717</v>
      </c>
      <c r="D50" s="480" t="s">
        <v>200</v>
      </c>
      <c r="E50" s="351" t="str">
        <f>VLOOKUP($D50,'TC 07-2023'!$B:$Z,2,FALSE)</f>
        <v>Engenheiro coordenador</v>
      </c>
      <c r="F50" s="235" t="s">
        <v>645</v>
      </c>
      <c r="G50" s="235" t="s">
        <v>511</v>
      </c>
      <c r="H50" s="355" t="s">
        <v>646</v>
      </c>
      <c r="I50" s="352">
        <v>1</v>
      </c>
      <c r="J50" s="352">
        <f>VLOOKUP(G50,Voos!$L$9:$M$15,2,FALSE)</f>
        <v>906.33333333333337</v>
      </c>
      <c r="K50" s="353">
        <f t="shared" si="1"/>
        <v>906.33333333333337</v>
      </c>
      <c r="L50" s="352">
        <f t="shared" si="2"/>
        <v>1</v>
      </c>
      <c r="M50" s="352">
        <f t="shared" si="3"/>
        <v>2.5</v>
      </c>
      <c r="N50" s="353">
        <f>VLOOKUP(G50,Diárias!$B$8:$D$35,2,FALSE)</f>
        <v>433.49</v>
      </c>
      <c r="O50" s="354">
        <f t="shared" si="4"/>
        <v>1083.7249999999999</v>
      </c>
      <c r="P50" s="364">
        <f t="shared" si="5"/>
        <v>1990.0583333333334</v>
      </c>
    </row>
    <row r="51" spans="1:16" ht="18" customHeight="1">
      <c r="A51" s="372">
        <f t="shared" si="8"/>
        <v>6</v>
      </c>
      <c r="B51" s="795"/>
      <c r="C51" s="382" t="s">
        <v>717</v>
      </c>
      <c r="D51" s="352" t="s">
        <v>199</v>
      </c>
      <c r="E51" s="351" t="str">
        <f>VLOOKUP($D51,'TC 07-2023'!$B:$Z,2,FALSE)</f>
        <v>Engenheiro consultor especial</v>
      </c>
      <c r="F51" s="235" t="s">
        <v>645</v>
      </c>
      <c r="G51" s="235" t="s">
        <v>511</v>
      </c>
      <c r="H51" s="355" t="s">
        <v>646</v>
      </c>
      <c r="I51" s="352">
        <v>1</v>
      </c>
      <c r="J51" s="352">
        <f>VLOOKUP(G51,Voos!$L$9:$M$15,2,FALSE)</f>
        <v>906.33333333333337</v>
      </c>
      <c r="K51" s="353">
        <f t="shared" si="1"/>
        <v>906.33333333333337</v>
      </c>
      <c r="L51" s="352">
        <f t="shared" si="2"/>
        <v>1</v>
      </c>
      <c r="M51" s="352">
        <f t="shared" si="3"/>
        <v>2.5</v>
      </c>
      <c r="N51" s="353">
        <f>VLOOKUP(G51,Diárias!$B$8:$D$35,2,FALSE)</f>
        <v>433.49</v>
      </c>
      <c r="O51" s="354">
        <f t="shared" si="4"/>
        <v>1083.7249999999999</v>
      </c>
      <c r="P51" s="364">
        <f t="shared" si="5"/>
        <v>1990.0583333333334</v>
      </c>
    </row>
    <row r="52" spans="1:16" ht="18" customHeight="1">
      <c r="A52" s="372">
        <f t="shared" si="8"/>
        <v>6</v>
      </c>
      <c r="B52" s="795"/>
      <c r="C52" s="798" t="s">
        <v>755</v>
      </c>
      <c r="D52" s="374" t="s">
        <v>191</v>
      </c>
      <c r="E52" s="351" t="str">
        <f>VLOOKUP($D52,'TC 07-2023'!$B:$Z,2,FALSE)</f>
        <v>Economista pleno</v>
      </c>
      <c r="F52" s="235" t="s">
        <v>645</v>
      </c>
      <c r="G52" s="235" t="s">
        <v>511</v>
      </c>
      <c r="H52" s="355" t="s">
        <v>646</v>
      </c>
      <c r="I52" s="352">
        <v>1</v>
      </c>
      <c r="J52" s="352">
        <f>VLOOKUP(G52,Voos!$L$9:$M$15,2,FALSE)</f>
        <v>906.33333333333337</v>
      </c>
      <c r="K52" s="353">
        <f t="shared" si="1"/>
        <v>906.33333333333337</v>
      </c>
      <c r="L52" s="352">
        <f t="shared" si="2"/>
        <v>1</v>
      </c>
      <c r="M52" s="352">
        <f t="shared" si="3"/>
        <v>1.5</v>
      </c>
      <c r="N52" s="353">
        <f>VLOOKUP(G52,Diárias!$B$8:$D$35,2,FALSE)</f>
        <v>433.49</v>
      </c>
      <c r="O52" s="354">
        <f t="shared" si="4"/>
        <v>650.23500000000001</v>
      </c>
      <c r="P52" s="364">
        <f t="shared" si="5"/>
        <v>1556.5683333333334</v>
      </c>
    </row>
    <row r="53" spans="1:16" ht="18" customHeight="1">
      <c r="A53" s="372">
        <f t="shared" si="8"/>
        <v>6</v>
      </c>
      <c r="B53" s="795"/>
      <c r="C53" s="799"/>
      <c r="D53" s="374" t="s">
        <v>192</v>
      </c>
      <c r="E53" s="351" t="str">
        <f>VLOOKUP($D53,'TC 07-2023'!$B:$Z,2,FALSE)</f>
        <v>Economista sênior</v>
      </c>
      <c r="F53" s="235" t="s">
        <v>645</v>
      </c>
      <c r="G53" s="235" t="s">
        <v>511</v>
      </c>
      <c r="H53" s="355" t="s">
        <v>646</v>
      </c>
      <c r="I53" s="352">
        <v>1</v>
      </c>
      <c r="J53" s="352">
        <f>VLOOKUP(G53,Voos!$L$9:$M$15,2,FALSE)</f>
        <v>906.33333333333337</v>
      </c>
      <c r="K53" s="353">
        <f t="shared" si="1"/>
        <v>906.33333333333337</v>
      </c>
      <c r="L53" s="352">
        <f t="shared" si="2"/>
        <v>1</v>
      </c>
      <c r="M53" s="352">
        <f t="shared" si="3"/>
        <v>1.5</v>
      </c>
      <c r="N53" s="353">
        <f>VLOOKUP(G53,Diárias!$B$8:$D$35,2,FALSE)</f>
        <v>433.49</v>
      </c>
      <c r="O53" s="354">
        <f t="shared" si="4"/>
        <v>650.23500000000001</v>
      </c>
      <c r="P53" s="364">
        <f t="shared" si="5"/>
        <v>1556.5683333333334</v>
      </c>
    </row>
    <row r="54" spans="1:16" ht="18" customHeight="1">
      <c r="A54" s="372">
        <f t="shared" si="8"/>
        <v>6</v>
      </c>
      <c r="B54" s="795"/>
      <c r="C54" s="798" t="s">
        <v>756</v>
      </c>
      <c r="D54" s="374" t="s">
        <v>191</v>
      </c>
      <c r="E54" s="351" t="str">
        <f>VLOOKUP($D54,'TC 07-2023'!$B:$Z,2,FALSE)</f>
        <v>Economista pleno</v>
      </c>
      <c r="F54" s="235" t="s">
        <v>645</v>
      </c>
      <c r="G54" s="235" t="s">
        <v>511</v>
      </c>
      <c r="H54" s="355" t="s">
        <v>646</v>
      </c>
      <c r="I54" s="352">
        <v>1</v>
      </c>
      <c r="J54" s="352">
        <f>VLOOKUP(G54,Voos!$L$9:$M$15,2,FALSE)</f>
        <v>906.33333333333337</v>
      </c>
      <c r="K54" s="353">
        <f t="shared" si="1"/>
        <v>906.33333333333337</v>
      </c>
      <c r="L54" s="352">
        <f t="shared" si="2"/>
        <v>1</v>
      </c>
      <c r="M54" s="352">
        <f t="shared" si="3"/>
        <v>1.5</v>
      </c>
      <c r="N54" s="353">
        <f>VLOOKUP(G54,Diárias!$B$8:$D$35,2,FALSE)</f>
        <v>433.49</v>
      </c>
      <c r="O54" s="354">
        <f t="shared" si="4"/>
        <v>650.23500000000001</v>
      </c>
      <c r="P54" s="364">
        <f t="shared" si="5"/>
        <v>1556.5683333333334</v>
      </c>
    </row>
    <row r="55" spans="1:16" ht="18" customHeight="1">
      <c r="A55" s="372">
        <f t="shared" si="8"/>
        <v>6</v>
      </c>
      <c r="B55" s="795"/>
      <c r="C55" s="799"/>
      <c r="D55" s="374" t="s">
        <v>192</v>
      </c>
      <c r="E55" s="351" t="str">
        <f>VLOOKUP($D55,'TC 07-2023'!$B:$Z,2,FALSE)</f>
        <v>Economista sênior</v>
      </c>
      <c r="F55" s="235" t="s">
        <v>645</v>
      </c>
      <c r="G55" s="235" t="s">
        <v>511</v>
      </c>
      <c r="H55" s="355" t="s">
        <v>646</v>
      </c>
      <c r="I55" s="352">
        <v>1</v>
      </c>
      <c r="J55" s="352">
        <f>VLOOKUP(G55,Voos!$L$9:$M$15,2,FALSE)</f>
        <v>906.33333333333337</v>
      </c>
      <c r="K55" s="353">
        <f t="shared" si="1"/>
        <v>906.33333333333337</v>
      </c>
      <c r="L55" s="352">
        <f t="shared" si="2"/>
        <v>1</v>
      </c>
      <c r="M55" s="352">
        <f t="shared" si="3"/>
        <v>1.5</v>
      </c>
      <c r="N55" s="353">
        <f>VLOOKUP(G55,Diárias!$B$8:$D$35,2,FALSE)</f>
        <v>433.49</v>
      </c>
      <c r="O55" s="354">
        <f t="shared" si="4"/>
        <v>650.23500000000001</v>
      </c>
      <c r="P55" s="364">
        <f t="shared" si="5"/>
        <v>1556.5683333333334</v>
      </c>
    </row>
    <row r="56" spans="1:16" ht="18" customHeight="1">
      <c r="A56" s="372">
        <f t="shared" si="8"/>
        <v>6</v>
      </c>
      <c r="B56" s="795"/>
      <c r="C56" s="798" t="s">
        <v>446</v>
      </c>
      <c r="D56" s="374" t="s">
        <v>191</v>
      </c>
      <c r="E56" s="351" t="str">
        <f>VLOOKUP($D56,'TC 07-2023'!$B:$Z,2,FALSE)</f>
        <v>Economista pleno</v>
      </c>
      <c r="F56" s="235" t="s">
        <v>645</v>
      </c>
      <c r="G56" s="235" t="s">
        <v>511</v>
      </c>
      <c r="H56" s="352" t="s">
        <v>646</v>
      </c>
      <c r="I56" s="352">
        <v>1</v>
      </c>
      <c r="J56" s="352">
        <f>VLOOKUP(G56,Voos!$L$9:$M$15,2,FALSE)</f>
        <v>906.33333333333337</v>
      </c>
      <c r="K56" s="353">
        <f t="shared" si="1"/>
        <v>906.33333333333337</v>
      </c>
      <c r="L56" s="352">
        <f t="shared" si="2"/>
        <v>1</v>
      </c>
      <c r="M56" s="352">
        <f t="shared" si="3"/>
        <v>1.5</v>
      </c>
      <c r="N56" s="353">
        <f>VLOOKUP(G56,Diárias!$B$8:$D$35,2,FALSE)</f>
        <v>433.49</v>
      </c>
      <c r="O56" s="354">
        <f t="shared" si="4"/>
        <v>650.23500000000001</v>
      </c>
      <c r="P56" s="364">
        <f t="shared" si="5"/>
        <v>1556.5683333333334</v>
      </c>
    </row>
    <row r="57" spans="1:16" ht="18" customHeight="1">
      <c r="A57" s="372">
        <f t="shared" si="8"/>
        <v>6</v>
      </c>
      <c r="B57" s="797"/>
      <c r="C57" s="800"/>
      <c r="D57" s="375" t="s">
        <v>192</v>
      </c>
      <c r="E57" s="366" t="str">
        <f>VLOOKUP($D57,'TC 07-2023'!$B:$Z,2,FALSE)</f>
        <v>Economista sênior</v>
      </c>
      <c r="F57" s="367" t="s">
        <v>645</v>
      </c>
      <c r="G57" s="367" t="s">
        <v>511</v>
      </c>
      <c r="H57" s="365" t="s">
        <v>646</v>
      </c>
      <c r="I57" s="365">
        <v>1</v>
      </c>
      <c r="J57" s="365">
        <f>VLOOKUP(G57,Voos!$L$9:$M$15,2,FALSE)</f>
        <v>906.33333333333337</v>
      </c>
      <c r="K57" s="369">
        <f t="shared" si="1"/>
        <v>906.33333333333337</v>
      </c>
      <c r="L57" s="365">
        <f t="shared" si="2"/>
        <v>1</v>
      </c>
      <c r="M57" s="365">
        <f t="shared" si="3"/>
        <v>1.5</v>
      </c>
      <c r="N57" s="369">
        <f>VLOOKUP(G57,Diárias!$B$8:$D$35,2,FALSE)</f>
        <v>433.49</v>
      </c>
      <c r="O57" s="370">
        <f t="shared" si="4"/>
        <v>650.23500000000001</v>
      </c>
      <c r="P57" s="371">
        <f t="shared" si="5"/>
        <v>1556.5683333333334</v>
      </c>
    </row>
    <row r="58" spans="1:16" ht="18" customHeight="1">
      <c r="A58" s="372">
        <v>7</v>
      </c>
      <c r="B58" s="794" t="str">
        <f>Produtos!C17</f>
        <v>Dimensão Jurídico-Regulatória (EJR)</v>
      </c>
      <c r="C58" s="381" t="s">
        <v>717</v>
      </c>
      <c r="D58" s="356" t="s">
        <v>200</v>
      </c>
      <c r="E58" s="357" t="str">
        <f>VLOOKUP($D58,'TC 07-2023'!$B:$Z,2,FALSE)</f>
        <v>Engenheiro coordenador</v>
      </c>
      <c r="F58" s="358" t="s">
        <v>645</v>
      </c>
      <c r="G58" s="358" t="s">
        <v>511</v>
      </c>
      <c r="H58" s="359" t="s">
        <v>646</v>
      </c>
      <c r="I58" s="360">
        <v>1</v>
      </c>
      <c r="J58" s="360">
        <f>VLOOKUP(G58,Voos!$L$9:$M$15,2,FALSE)</f>
        <v>906.33333333333337</v>
      </c>
      <c r="K58" s="361">
        <f t="shared" si="1"/>
        <v>906.33333333333337</v>
      </c>
      <c r="L58" s="360">
        <f t="shared" si="2"/>
        <v>1</v>
      </c>
      <c r="M58" s="360">
        <f t="shared" si="3"/>
        <v>2.5</v>
      </c>
      <c r="N58" s="361">
        <f>VLOOKUP(G58,Diárias!$B$8:$D$35,2,FALSE)</f>
        <v>433.49</v>
      </c>
      <c r="O58" s="362">
        <f t="shared" si="4"/>
        <v>1083.7249999999999</v>
      </c>
      <c r="P58" s="363">
        <f t="shared" si="5"/>
        <v>1990.0583333333334</v>
      </c>
    </row>
    <row r="59" spans="1:16" ht="18" customHeight="1">
      <c r="A59" s="372">
        <f t="shared" si="8"/>
        <v>7</v>
      </c>
      <c r="B59" s="797"/>
      <c r="C59" s="383" t="s">
        <v>717</v>
      </c>
      <c r="D59" s="365" t="str">
        <f>'7.EJR'!B18</f>
        <v>P8003</v>
      </c>
      <c r="E59" s="366" t="str">
        <f>VLOOKUP($D59,'TC 07-2023'!$B:$Z,2,FALSE)</f>
        <v>Advogado sênior</v>
      </c>
      <c r="F59" s="367" t="s">
        <v>645</v>
      </c>
      <c r="G59" s="367" t="s">
        <v>511</v>
      </c>
      <c r="H59" s="368" t="s">
        <v>646</v>
      </c>
      <c r="I59" s="365">
        <v>1</v>
      </c>
      <c r="J59" s="365">
        <f>VLOOKUP(G59,Voos!$L$9:$M$15,2,FALSE)</f>
        <v>906.33333333333337</v>
      </c>
      <c r="K59" s="369">
        <f t="shared" si="1"/>
        <v>906.33333333333337</v>
      </c>
      <c r="L59" s="365">
        <f t="shared" si="2"/>
        <v>1</v>
      </c>
      <c r="M59" s="365">
        <f t="shared" si="3"/>
        <v>2.5</v>
      </c>
      <c r="N59" s="369">
        <f>VLOOKUP(G59,Diárias!$B$8:$D$35,2,FALSE)</f>
        <v>433.49</v>
      </c>
      <c r="O59" s="370">
        <f t="shared" si="4"/>
        <v>1083.7249999999999</v>
      </c>
      <c r="P59" s="371">
        <f t="shared" si="5"/>
        <v>1990.0583333333334</v>
      </c>
    </row>
    <row r="60" spans="1:16" ht="18" customHeight="1">
      <c r="A60" s="372">
        <v>8</v>
      </c>
      <c r="B60" s="794" t="str">
        <f>Produtos!C18</f>
        <v>Gestão de Projeto, Revisão de Estudos e Apoio às Fases</v>
      </c>
      <c r="C60" s="382" t="s">
        <v>717</v>
      </c>
      <c r="D60" s="356" t="s">
        <v>200</v>
      </c>
      <c r="E60" s="351" t="str">
        <f>VLOOKUP($D60,'TC 07-2023'!$B:$Z,2,FALSE)</f>
        <v>Engenheiro coordenador</v>
      </c>
      <c r="F60" s="235" t="s">
        <v>645</v>
      </c>
      <c r="G60" s="235" t="s">
        <v>511</v>
      </c>
      <c r="H60" s="355" t="s">
        <v>646</v>
      </c>
      <c r="I60" s="352">
        <f>'Cronograma'!$D$12/2</f>
        <v>3</v>
      </c>
      <c r="J60" s="352">
        <f>VLOOKUP(G60,Voos!$L$9:$M$15,2,FALSE)</f>
        <v>906.33333333333337</v>
      </c>
      <c r="K60" s="353">
        <f t="shared" si="1"/>
        <v>2719</v>
      </c>
      <c r="L60" s="352">
        <f t="shared" si="2"/>
        <v>3</v>
      </c>
      <c r="M60" s="352">
        <f t="shared" si="3"/>
        <v>2.5</v>
      </c>
      <c r="N60" s="353">
        <f>VLOOKUP(G60,Diárias!$B$8:$D$35,2,FALSE)</f>
        <v>433.49</v>
      </c>
      <c r="O60" s="354">
        <f t="shared" si="4"/>
        <v>3251.1749999999997</v>
      </c>
      <c r="P60" s="364">
        <f t="shared" si="5"/>
        <v>5970.1749999999993</v>
      </c>
    </row>
    <row r="61" spans="1:16" ht="18" customHeight="1">
      <c r="A61" s="372">
        <f t="shared" si="8"/>
        <v>8</v>
      </c>
      <c r="B61" s="795"/>
      <c r="C61" s="382" t="s">
        <v>717</v>
      </c>
      <c r="D61" s="352" t="str">
        <f>'1.PdT'!B20</f>
        <v>P8060</v>
      </c>
      <c r="E61" s="351" t="str">
        <f>VLOOKUP($D61,'TC 07-2023'!$B:$Z,2,FALSE)</f>
        <v>Engenheiro consultor especial</v>
      </c>
      <c r="F61" s="235" t="s">
        <v>645</v>
      </c>
      <c r="G61" s="235" t="s">
        <v>511</v>
      </c>
      <c r="H61" s="355" t="s">
        <v>646</v>
      </c>
      <c r="I61" s="352">
        <f>'Cronograma'!$D$12/2</f>
        <v>3</v>
      </c>
      <c r="J61" s="352">
        <f>VLOOKUP(G61,Voos!$L$9:$M$15,2,FALSE)</f>
        <v>906.33333333333337</v>
      </c>
      <c r="K61" s="353">
        <f t="shared" si="1"/>
        <v>2719</v>
      </c>
      <c r="L61" s="352">
        <f t="shared" si="2"/>
        <v>3</v>
      </c>
      <c r="M61" s="352">
        <f t="shared" si="3"/>
        <v>2.5</v>
      </c>
      <c r="N61" s="353">
        <f>VLOOKUP(G61,Diárias!$B$8:$D$35,2,FALSE)</f>
        <v>433.49</v>
      </c>
      <c r="O61" s="354">
        <f t="shared" si="4"/>
        <v>3251.1749999999997</v>
      </c>
      <c r="P61" s="364">
        <f t="shared" si="5"/>
        <v>5970.1749999999993</v>
      </c>
    </row>
    <row r="62" spans="1:16" ht="18" customHeight="1">
      <c r="A62" s="372">
        <f t="shared" si="8"/>
        <v>8</v>
      </c>
      <c r="B62" s="795"/>
      <c r="C62" s="798" t="s">
        <v>647</v>
      </c>
      <c r="D62" s="352" t="s">
        <v>199</v>
      </c>
      <c r="E62" s="351" t="str">
        <f>VLOOKUP($D62,'TC 07-2023'!$B:$Z,2,FALSE)</f>
        <v>Engenheiro consultor especial</v>
      </c>
      <c r="F62" s="235" t="s">
        <v>645</v>
      </c>
      <c r="G62" s="235" t="s">
        <v>515</v>
      </c>
      <c r="H62" s="355" t="s">
        <v>646</v>
      </c>
      <c r="I62" s="352">
        <v>1</v>
      </c>
      <c r="J62" s="352">
        <f>VLOOKUP(G62,Voos!$L$9:$M$15,2,FALSE)</f>
        <v>878.66666666666663</v>
      </c>
      <c r="K62" s="353">
        <f t="shared" ref="K62:K71" si="16">J62*I62</f>
        <v>878.66666666666663</v>
      </c>
      <c r="L62" s="352">
        <f t="shared" ref="L62:L71" si="17">I62</f>
        <v>1</v>
      </c>
      <c r="M62" s="352">
        <f t="shared" ref="M62:M71" si="18">IF(C62="Reunião de Alinhamento",2+0.5,IF(C62="Inspeção de Campo",6.5*5,1.5))</f>
        <v>1.5</v>
      </c>
      <c r="N62" s="353">
        <f>VLOOKUP(G62,Diárias!$B$8:$D$35,2,FALSE)</f>
        <v>433.49</v>
      </c>
      <c r="O62" s="354">
        <f t="shared" ref="O62:O71" si="19">N62*M62*L62</f>
        <v>650.23500000000001</v>
      </c>
      <c r="P62" s="364">
        <f t="shared" ref="P62:P71" si="20">O62+K62</f>
        <v>1528.9016666666666</v>
      </c>
    </row>
    <row r="63" spans="1:16" ht="18" customHeight="1">
      <c r="A63" s="372">
        <f t="shared" si="8"/>
        <v>8</v>
      </c>
      <c r="B63" s="795"/>
      <c r="C63" s="799"/>
      <c r="D63" s="352" t="s">
        <v>206</v>
      </c>
      <c r="E63" s="351" t="str">
        <f>VLOOKUP($D63,'TC 07-2023'!$B:$Z,2,FALSE)</f>
        <v>Engenheiro de projetos sênior</v>
      </c>
      <c r="F63" s="235" t="s">
        <v>645</v>
      </c>
      <c r="G63" s="235" t="s">
        <v>515</v>
      </c>
      <c r="H63" s="355" t="s">
        <v>646</v>
      </c>
      <c r="I63" s="352">
        <v>1</v>
      </c>
      <c r="J63" s="352">
        <f>VLOOKUP(G63,Voos!$L$9:$M$15,2,FALSE)</f>
        <v>878.66666666666663</v>
      </c>
      <c r="K63" s="353">
        <f t="shared" si="16"/>
        <v>878.66666666666663</v>
      </c>
      <c r="L63" s="352">
        <f t="shared" si="17"/>
        <v>1</v>
      </c>
      <c r="M63" s="352">
        <f t="shared" si="18"/>
        <v>1.5</v>
      </c>
      <c r="N63" s="353">
        <f>VLOOKUP(G63,Diárias!$B$8:$D$35,2,FALSE)</f>
        <v>433.49</v>
      </c>
      <c r="O63" s="354">
        <f t="shared" si="19"/>
        <v>650.23500000000001</v>
      </c>
      <c r="P63" s="364">
        <f t="shared" si="20"/>
        <v>1528.9016666666666</v>
      </c>
    </row>
    <row r="64" spans="1:16" ht="18" customHeight="1">
      <c r="A64" s="372">
        <f t="shared" si="8"/>
        <v>8</v>
      </c>
      <c r="B64" s="795"/>
      <c r="C64" s="798" t="s">
        <v>647</v>
      </c>
      <c r="D64" s="352" t="s">
        <v>199</v>
      </c>
      <c r="E64" s="351" t="str">
        <f>VLOOKUP($D64,'TC 07-2023'!$B:$Z,2,FALSE)</f>
        <v>Engenheiro consultor especial</v>
      </c>
      <c r="F64" s="235" t="s">
        <v>645</v>
      </c>
      <c r="G64" s="235" t="s">
        <v>517</v>
      </c>
      <c r="H64" s="355" t="s">
        <v>646</v>
      </c>
      <c r="I64" s="352">
        <v>1</v>
      </c>
      <c r="J64" s="352">
        <f>VLOOKUP(G64,Voos!$L$9:$M$15,2,FALSE)</f>
        <v>944</v>
      </c>
      <c r="K64" s="353">
        <f t="shared" si="16"/>
        <v>944</v>
      </c>
      <c r="L64" s="352">
        <f t="shared" si="17"/>
        <v>1</v>
      </c>
      <c r="M64" s="352">
        <f t="shared" si="18"/>
        <v>1.5</v>
      </c>
      <c r="N64" s="353">
        <f>VLOOKUP(G64,Diárias!$B$8:$D$35,2,FALSE)</f>
        <v>387.86</v>
      </c>
      <c r="O64" s="354">
        <f t="shared" si="19"/>
        <v>581.79</v>
      </c>
      <c r="P64" s="364">
        <f t="shared" si="20"/>
        <v>1525.79</v>
      </c>
    </row>
    <row r="65" spans="1:16" ht="18" customHeight="1">
      <c r="A65" s="372">
        <f t="shared" si="8"/>
        <v>8</v>
      </c>
      <c r="B65" s="795"/>
      <c r="C65" s="799"/>
      <c r="D65" s="352" t="s">
        <v>206</v>
      </c>
      <c r="E65" s="351" t="str">
        <f>VLOOKUP($D65,'TC 07-2023'!$B:$Z,2,FALSE)</f>
        <v>Engenheiro de projetos sênior</v>
      </c>
      <c r="F65" s="235" t="s">
        <v>645</v>
      </c>
      <c r="G65" s="235" t="s">
        <v>517</v>
      </c>
      <c r="H65" s="355" t="s">
        <v>646</v>
      </c>
      <c r="I65" s="352">
        <v>1</v>
      </c>
      <c r="J65" s="352">
        <f>VLOOKUP(G65,Voos!$L$9:$M$15,2,FALSE)</f>
        <v>944</v>
      </c>
      <c r="K65" s="353">
        <f t="shared" si="16"/>
        <v>944</v>
      </c>
      <c r="L65" s="352">
        <f t="shared" si="17"/>
        <v>1</v>
      </c>
      <c r="M65" s="352">
        <f t="shared" si="18"/>
        <v>1.5</v>
      </c>
      <c r="N65" s="353">
        <f>VLOOKUP(G65,Diárias!$B$8:$D$35,2,FALSE)</f>
        <v>387.86</v>
      </c>
      <c r="O65" s="354">
        <f t="shared" si="19"/>
        <v>581.79</v>
      </c>
      <c r="P65" s="364">
        <f t="shared" si="20"/>
        <v>1525.79</v>
      </c>
    </row>
    <row r="66" spans="1:16" ht="18" customHeight="1">
      <c r="A66" s="372">
        <f t="shared" si="8"/>
        <v>8</v>
      </c>
      <c r="B66" s="795"/>
      <c r="C66" s="798" t="s">
        <v>647</v>
      </c>
      <c r="D66" s="352" t="s">
        <v>199</v>
      </c>
      <c r="E66" s="351" t="str">
        <f>VLOOKUP($D66,'TC 07-2023'!$B:$Z,2,FALSE)</f>
        <v>Engenheiro consultor especial</v>
      </c>
      <c r="F66" s="235" t="s">
        <v>645</v>
      </c>
      <c r="G66" s="235" t="s">
        <v>534</v>
      </c>
      <c r="H66" s="355" t="s">
        <v>646</v>
      </c>
      <c r="I66" s="352">
        <v>1</v>
      </c>
      <c r="J66" s="352">
        <f>VLOOKUP(G66,Voos!$L$9:$M$15,2,FALSE)</f>
        <v>901</v>
      </c>
      <c r="K66" s="353">
        <f t="shared" si="16"/>
        <v>901</v>
      </c>
      <c r="L66" s="352">
        <f t="shared" si="17"/>
        <v>1</v>
      </c>
      <c r="M66" s="352">
        <f t="shared" si="18"/>
        <v>1.5</v>
      </c>
      <c r="N66" s="353">
        <f>VLOOKUP(G66,Diárias!$B$8:$D$35,2,FALSE)</f>
        <v>387.86</v>
      </c>
      <c r="O66" s="354">
        <f t="shared" si="19"/>
        <v>581.79</v>
      </c>
      <c r="P66" s="364">
        <f t="shared" si="20"/>
        <v>1482.79</v>
      </c>
    </row>
    <row r="67" spans="1:16" ht="18" customHeight="1">
      <c r="A67" s="372">
        <f t="shared" si="8"/>
        <v>8</v>
      </c>
      <c r="B67" s="795"/>
      <c r="C67" s="799"/>
      <c r="D67" s="352" t="s">
        <v>206</v>
      </c>
      <c r="E67" s="351" t="str">
        <f>VLOOKUP($D67,'TC 07-2023'!$B:$Z,2,FALSE)</f>
        <v>Engenheiro de projetos sênior</v>
      </c>
      <c r="F67" s="235" t="s">
        <v>645</v>
      </c>
      <c r="G67" s="235" t="s">
        <v>534</v>
      </c>
      <c r="H67" s="355" t="s">
        <v>646</v>
      </c>
      <c r="I67" s="352">
        <v>1</v>
      </c>
      <c r="J67" s="352">
        <f>VLOOKUP(G67,Voos!$L$9:$M$15,2,FALSE)</f>
        <v>901</v>
      </c>
      <c r="K67" s="353">
        <f t="shared" si="16"/>
        <v>901</v>
      </c>
      <c r="L67" s="352">
        <f t="shared" si="17"/>
        <v>1</v>
      </c>
      <c r="M67" s="352">
        <f t="shared" si="18"/>
        <v>1.5</v>
      </c>
      <c r="N67" s="353">
        <f>VLOOKUP(G67,Diárias!$B$8:$D$35,2,FALSE)</f>
        <v>387.86</v>
      </c>
      <c r="O67" s="354">
        <f t="shared" si="19"/>
        <v>581.79</v>
      </c>
      <c r="P67" s="364">
        <f t="shared" si="20"/>
        <v>1482.79</v>
      </c>
    </row>
    <row r="68" spans="1:16" ht="18" customHeight="1">
      <c r="A68" s="372">
        <f t="shared" si="8"/>
        <v>8</v>
      </c>
      <c r="B68" s="795"/>
      <c r="C68" s="798" t="s">
        <v>647</v>
      </c>
      <c r="D68" s="352" t="s">
        <v>199</v>
      </c>
      <c r="E68" s="351" t="str">
        <f>VLOOKUP($D68,'TC 07-2023'!$B:$Z,2,FALSE)</f>
        <v>Engenheiro consultor especial</v>
      </c>
      <c r="F68" s="235" t="s">
        <v>645</v>
      </c>
      <c r="G68" s="235" t="s">
        <v>511</v>
      </c>
      <c r="H68" s="355" t="s">
        <v>646</v>
      </c>
      <c r="I68" s="352">
        <v>1</v>
      </c>
      <c r="J68" s="352">
        <f>VLOOKUP(G68,Voos!$L$9:$M$15,2,FALSE)</f>
        <v>906.33333333333337</v>
      </c>
      <c r="K68" s="353">
        <f t="shared" si="16"/>
        <v>906.33333333333337</v>
      </c>
      <c r="L68" s="352">
        <f t="shared" si="17"/>
        <v>1</v>
      </c>
      <c r="M68" s="352">
        <f t="shared" si="18"/>
        <v>1.5</v>
      </c>
      <c r="N68" s="353">
        <f>VLOOKUP(G68,Diárias!$B$8:$D$35,2,FALSE)</f>
        <v>433.49</v>
      </c>
      <c r="O68" s="354">
        <f t="shared" si="19"/>
        <v>650.23500000000001</v>
      </c>
      <c r="P68" s="364">
        <f t="shared" si="20"/>
        <v>1556.5683333333334</v>
      </c>
    </row>
    <row r="69" spans="1:16" ht="18" customHeight="1">
      <c r="A69" s="372">
        <f t="shared" si="8"/>
        <v>8</v>
      </c>
      <c r="B69" s="795"/>
      <c r="C69" s="799"/>
      <c r="D69" s="352" t="s">
        <v>206</v>
      </c>
      <c r="E69" s="351" t="str">
        <f>VLOOKUP($D69,'TC 07-2023'!$B:$Z,2,FALSE)</f>
        <v>Engenheiro de projetos sênior</v>
      </c>
      <c r="F69" s="235" t="s">
        <v>645</v>
      </c>
      <c r="G69" s="235" t="s">
        <v>511</v>
      </c>
      <c r="H69" s="355" t="s">
        <v>646</v>
      </c>
      <c r="I69" s="352">
        <v>1</v>
      </c>
      <c r="J69" s="352">
        <f>VLOOKUP(G69,Voos!$L$9:$M$15,2,FALSE)</f>
        <v>906.33333333333337</v>
      </c>
      <c r="K69" s="353">
        <f t="shared" si="16"/>
        <v>906.33333333333337</v>
      </c>
      <c r="L69" s="352">
        <f t="shared" si="17"/>
        <v>1</v>
      </c>
      <c r="M69" s="352">
        <f t="shared" si="18"/>
        <v>1.5</v>
      </c>
      <c r="N69" s="353">
        <f>VLOOKUP(G69,Diárias!$B$8:$D$35,2,FALSE)</f>
        <v>433.49</v>
      </c>
      <c r="O69" s="354">
        <f t="shared" si="19"/>
        <v>650.23500000000001</v>
      </c>
      <c r="P69" s="364">
        <f t="shared" si="20"/>
        <v>1556.5683333333334</v>
      </c>
    </row>
    <row r="70" spans="1:16" ht="18" customHeight="1">
      <c r="A70" s="372">
        <f t="shared" si="8"/>
        <v>8</v>
      </c>
      <c r="B70" s="795"/>
      <c r="C70" s="798" t="s">
        <v>647</v>
      </c>
      <c r="D70" s="352" t="s">
        <v>199</v>
      </c>
      <c r="E70" s="351" t="str">
        <f>VLOOKUP($D70,'TC 07-2023'!$B:$Z,2,FALSE)</f>
        <v>Engenheiro consultor especial</v>
      </c>
      <c r="F70" s="235" t="s">
        <v>645</v>
      </c>
      <c r="G70" s="235" t="s">
        <v>508</v>
      </c>
      <c r="H70" s="355" t="s">
        <v>646</v>
      </c>
      <c r="I70" s="352">
        <v>1</v>
      </c>
      <c r="J70" s="352">
        <f>VLOOKUP(G70,Voos!$L$9:$M$15,2,FALSE)</f>
        <v>625</v>
      </c>
      <c r="K70" s="353">
        <f t="shared" si="16"/>
        <v>625</v>
      </c>
      <c r="L70" s="352">
        <f t="shared" si="17"/>
        <v>1</v>
      </c>
      <c r="M70" s="352">
        <f t="shared" si="18"/>
        <v>1.5</v>
      </c>
      <c r="N70" s="353">
        <f>VLOOKUP(G70,Diárias!$B$8:$D$35,2,FALSE)</f>
        <v>433.49</v>
      </c>
      <c r="O70" s="354">
        <f t="shared" si="19"/>
        <v>650.23500000000001</v>
      </c>
      <c r="P70" s="364">
        <f t="shared" si="20"/>
        <v>1275.2350000000001</v>
      </c>
    </row>
    <row r="71" spans="1:16" ht="18" customHeight="1">
      <c r="A71" s="372">
        <f t="shared" si="8"/>
        <v>8</v>
      </c>
      <c r="B71" s="797"/>
      <c r="C71" s="799"/>
      <c r="D71" s="352" t="s">
        <v>206</v>
      </c>
      <c r="E71" s="351" t="str">
        <f>VLOOKUP($D71,'TC 07-2023'!$B:$Z,2,FALSE)</f>
        <v>Engenheiro de projetos sênior</v>
      </c>
      <c r="F71" s="235" t="s">
        <v>645</v>
      </c>
      <c r="G71" s="235" t="s">
        <v>508</v>
      </c>
      <c r="H71" s="355" t="s">
        <v>646</v>
      </c>
      <c r="I71" s="352">
        <v>1</v>
      </c>
      <c r="J71" s="352">
        <f>VLOOKUP(G71,Voos!$L$9:$M$15,2,FALSE)</f>
        <v>625</v>
      </c>
      <c r="K71" s="353">
        <f t="shared" si="16"/>
        <v>625</v>
      </c>
      <c r="L71" s="352">
        <f t="shared" si="17"/>
        <v>1</v>
      </c>
      <c r="M71" s="352">
        <f t="shared" si="18"/>
        <v>1.5</v>
      </c>
      <c r="N71" s="353">
        <f>VLOOKUP(G71,Diárias!$B$8:$D$35,2,FALSE)</f>
        <v>433.49</v>
      </c>
      <c r="O71" s="354">
        <f t="shared" si="19"/>
        <v>650.23500000000001</v>
      </c>
      <c r="P71" s="364">
        <f t="shared" si="20"/>
        <v>1275.2350000000001</v>
      </c>
    </row>
    <row r="72" spans="1:16" ht="29.25" customHeight="1">
      <c r="A72" s="372"/>
      <c r="B72" s="428" t="s">
        <v>744</v>
      </c>
      <c r="C72" s="420"/>
      <c r="D72" s="421"/>
      <c r="E72" s="422"/>
      <c r="F72" s="423"/>
      <c r="G72" s="423"/>
      <c r="H72" s="424"/>
      <c r="I72" s="421"/>
      <c r="J72" s="421"/>
      <c r="K72" s="425"/>
      <c r="L72" s="421"/>
      <c r="M72" s="421"/>
      <c r="N72" s="425"/>
      <c r="O72" s="426"/>
      <c r="P72" s="335">
        <f>SUM(P10:P71)</f>
        <v>273604.29499999981</v>
      </c>
    </row>
    <row r="73" spans="1:16" ht="29.25" customHeight="1">
      <c r="A73" s="372"/>
      <c r="B73" s="429" t="s">
        <v>144</v>
      </c>
      <c r="C73" s="420"/>
      <c r="D73" s="421"/>
      <c r="E73" s="422"/>
      <c r="F73" s="423"/>
      <c r="G73" s="423"/>
      <c r="H73" s="424"/>
      <c r="I73" s="421"/>
      <c r="J73" s="421"/>
      <c r="K73" s="425"/>
      <c r="L73" s="421"/>
      <c r="M73" s="421"/>
      <c r="N73" s="425"/>
      <c r="O73" s="407">
        <f ca="1">Dados!$C$10</f>
        <v>0.44790000000000002</v>
      </c>
      <c r="P73" s="335">
        <f ca="1">O73*P72</f>
        <v>122547.36373049991</v>
      </c>
    </row>
    <row r="74" spans="1:16" ht="30" customHeight="1">
      <c r="A74" s="372"/>
      <c r="B74" s="416" t="s">
        <v>145</v>
      </c>
      <c r="C74" s="376"/>
      <c r="D74" s="377"/>
      <c r="E74" s="378"/>
      <c r="F74" s="376"/>
      <c r="G74" s="376"/>
      <c r="H74" s="377"/>
      <c r="I74" s="377"/>
      <c r="J74" s="377"/>
      <c r="K74" s="377"/>
      <c r="L74" s="379"/>
      <c r="M74" s="379"/>
      <c r="N74" s="379"/>
      <c r="O74" s="380" t="s">
        <v>648</v>
      </c>
      <c r="P74" s="427">
        <f ca="1">P73+P72</f>
        <v>396151.65873049974</v>
      </c>
    </row>
    <row r="75" spans="1:16" ht="18" customHeight="1">
      <c r="A75" s="372"/>
      <c r="B75" s="384"/>
      <c r="C75" s="384"/>
      <c r="D75" s="385"/>
      <c r="E75" s="386"/>
      <c r="F75" s="384"/>
      <c r="G75" s="384"/>
      <c r="H75" s="385"/>
      <c r="I75" s="385"/>
      <c r="J75" s="385"/>
      <c r="K75" s="385"/>
      <c r="L75" s="387"/>
      <c r="M75" s="387"/>
      <c r="N75" s="387"/>
      <c r="O75" s="388"/>
      <c r="P75" s="389"/>
    </row>
    <row r="76" spans="1:16" ht="15" customHeight="1">
      <c r="A76" s="372"/>
      <c r="B76" s="338" t="s">
        <v>649</v>
      </c>
    </row>
    <row r="77" spans="1:16" ht="15" customHeight="1">
      <c r="A77" s="372"/>
      <c r="B77" s="796" t="s">
        <v>784</v>
      </c>
      <c r="C77" s="796"/>
      <c r="D77" s="796"/>
      <c r="E77" s="796"/>
      <c r="F77" s="796"/>
      <c r="G77" s="796"/>
      <c r="H77" s="796"/>
      <c r="I77" s="796"/>
      <c r="J77" s="796"/>
      <c r="K77" s="796"/>
      <c r="L77" s="796"/>
      <c r="M77" s="796"/>
      <c r="N77" s="796"/>
      <c r="O77" s="796"/>
      <c r="P77" s="796"/>
    </row>
    <row r="78" spans="1:16" ht="15" customHeight="1">
      <c r="A78" s="372"/>
      <c r="B78" s="796" t="str">
        <f>"(2) Previsão de inspeção de campo com duração de "&amp;Dados!C8&amp;" semanas, considerando a chegada no domingo e o retorno no sábado, considerando os 5 estados cortados pela malha ferroviária."</f>
        <v>(2) Previsão de inspeção de campo com duração de 6 semanas, considerando a chegada no domingo e o retorno no sábado, considerando os 5 estados cortados pela malha ferroviária.</v>
      </c>
      <c r="C78" s="796"/>
      <c r="D78" s="796"/>
      <c r="E78" s="796"/>
      <c r="F78" s="796"/>
      <c r="G78" s="796"/>
      <c r="H78" s="796"/>
      <c r="I78" s="796"/>
      <c r="J78" s="796"/>
      <c r="K78" s="796"/>
      <c r="L78" s="796"/>
      <c r="M78" s="796"/>
      <c r="N78" s="796"/>
      <c r="O78" s="796"/>
      <c r="P78" s="796"/>
    </row>
    <row r="79" spans="1:16" ht="15" customHeight="1">
      <c r="A79" s="372"/>
      <c r="B79" s="796" t="s">
        <v>724</v>
      </c>
      <c r="C79" s="796"/>
      <c r="D79" s="796"/>
      <c r="E79" s="796"/>
      <c r="F79" s="796"/>
      <c r="G79" s="796"/>
      <c r="H79" s="796"/>
      <c r="I79" s="796"/>
      <c r="J79" s="796"/>
      <c r="K79" s="796"/>
      <c r="L79" s="796"/>
      <c r="M79" s="796"/>
      <c r="N79" s="796"/>
      <c r="O79" s="796"/>
      <c r="P79" s="796"/>
    </row>
    <row r="80" spans="1:16" ht="15" customHeight="1">
      <c r="A80" s="372"/>
      <c r="B80" s="796" t="s">
        <v>725</v>
      </c>
      <c r="C80" s="796"/>
      <c r="D80" s="796"/>
      <c r="E80" s="796"/>
      <c r="F80" s="796"/>
      <c r="G80" s="796"/>
      <c r="H80" s="796"/>
      <c r="I80" s="796"/>
      <c r="J80" s="796"/>
      <c r="K80" s="796"/>
      <c r="L80" s="796"/>
      <c r="M80" s="796"/>
      <c r="N80" s="796"/>
      <c r="O80" s="796"/>
      <c r="P80" s="796"/>
    </row>
    <row r="81" spans="1:16" ht="15" customHeight="1">
      <c r="A81" s="372"/>
      <c r="B81" s="796" t="s">
        <v>726</v>
      </c>
      <c r="C81" s="796"/>
      <c r="D81" s="796"/>
      <c r="E81" s="796"/>
      <c r="F81" s="796"/>
      <c r="G81" s="796"/>
      <c r="H81" s="796"/>
      <c r="I81" s="796"/>
      <c r="J81" s="796"/>
      <c r="K81" s="796"/>
      <c r="L81" s="796"/>
      <c r="M81" s="796"/>
      <c r="N81" s="796"/>
      <c r="O81" s="796"/>
      <c r="P81" s="796"/>
    </row>
    <row r="82" spans="1:16" ht="27.75" customHeight="1">
      <c r="A82" s="372"/>
      <c r="B82" s="796" t="s">
        <v>727</v>
      </c>
      <c r="C82" s="796"/>
      <c r="D82" s="796"/>
      <c r="E82" s="796"/>
      <c r="F82" s="796"/>
      <c r="G82" s="796"/>
      <c r="H82" s="796"/>
      <c r="I82" s="796"/>
      <c r="J82" s="796"/>
      <c r="K82" s="796"/>
      <c r="L82" s="796"/>
      <c r="M82" s="796"/>
      <c r="N82" s="796"/>
      <c r="O82" s="796"/>
      <c r="P82" s="796"/>
    </row>
    <row r="83" spans="1:16">
      <c r="A83" s="372"/>
    </row>
  </sheetData>
  <mergeCells count="44">
    <mergeCell ref="G7:G9"/>
    <mergeCell ref="H7:H9"/>
    <mergeCell ref="I7:K7"/>
    <mergeCell ref="L7:O7"/>
    <mergeCell ref="P7:P8"/>
    <mergeCell ref="C29:C30"/>
    <mergeCell ref="F7:F9"/>
    <mergeCell ref="B6:C6"/>
    <mergeCell ref="B7:B9"/>
    <mergeCell ref="C7:C9"/>
    <mergeCell ref="D7:D9"/>
    <mergeCell ref="E7:E9"/>
    <mergeCell ref="C17:C18"/>
    <mergeCell ref="B10:B12"/>
    <mergeCell ref="B13:B30"/>
    <mergeCell ref="C15:C16"/>
    <mergeCell ref="C19:C20"/>
    <mergeCell ref="C21:C22"/>
    <mergeCell ref="C23:C24"/>
    <mergeCell ref="C25:C26"/>
    <mergeCell ref="C27:C28"/>
    <mergeCell ref="B80:P80"/>
    <mergeCell ref="B81:P81"/>
    <mergeCell ref="B82:P82"/>
    <mergeCell ref="B50:B57"/>
    <mergeCell ref="B58:B59"/>
    <mergeCell ref="B79:P79"/>
    <mergeCell ref="C52:C53"/>
    <mergeCell ref="C54:C55"/>
    <mergeCell ref="C56:C57"/>
    <mergeCell ref="B60:B71"/>
    <mergeCell ref="B78:P78"/>
    <mergeCell ref="B31:B35"/>
    <mergeCell ref="B36:B43"/>
    <mergeCell ref="B77:P77"/>
    <mergeCell ref="B44:B49"/>
    <mergeCell ref="C38:C39"/>
    <mergeCell ref="C40:C41"/>
    <mergeCell ref="C42:C43"/>
    <mergeCell ref="C62:C63"/>
    <mergeCell ref="C64:C65"/>
    <mergeCell ref="C66:C67"/>
    <mergeCell ref="C68:C69"/>
    <mergeCell ref="C70:C71"/>
  </mergeCells>
  <printOptions horizontalCentered="1"/>
  <pageMargins left="0.51181102362204722" right="0.51181102362204722" top="0.78740157480314965" bottom="0.78740157480314965" header="0.31496062992125984" footer="0.31496062992125984"/>
  <pageSetup paperSize="8" scale="81" fitToHeight="2" orientation="landscape" r:id="rId1"/>
  <rowBreaks count="1" manualBreakCount="1">
    <brk id="49" min="1" max="15"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067E6-997C-4F7F-8DAE-E4E144D0A005}">
  <sheetPr>
    <tabColor theme="1"/>
  </sheetPr>
  <dimension ref="A1:J6"/>
  <sheetViews>
    <sheetView workbookViewId="0"/>
  </sheetViews>
  <sheetFormatPr defaultRowHeight="18.75"/>
  <cols>
    <col min="1" max="9" width="9.140625" style="285"/>
    <col min="10" max="10" width="15.28515625" style="285" customWidth="1"/>
    <col min="11" max="16384" width="9.140625" style="285"/>
  </cols>
  <sheetData>
    <row r="1" spans="1:10">
      <c r="A1" s="284"/>
      <c r="B1" s="284"/>
      <c r="C1" s="284"/>
      <c r="D1" s="284"/>
      <c r="E1" s="284"/>
      <c r="F1" s="284"/>
      <c r="G1" s="284"/>
      <c r="H1" s="284"/>
      <c r="I1" s="284"/>
      <c r="J1" s="284"/>
    </row>
    <row r="2" spans="1:10">
      <c r="A2" s="284"/>
      <c r="B2" s="284" t="s">
        <v>608</v>
      </c>
      <c r="C2" s="284"/>
      <c r="D2" s="284"/>
      <c r="E2" s="284"/>
      <c r="F2" s="284"/>
      <c r="G2" s="284"/>
      <c r="H2" s="284"/>
      <c r="I2" s="284"/>
      <c r="J2" s="284"/>
    </row>
    <row r="3" spans="1:10" ht="31.5" customHeight="1">
      <c r="A3" s="284"/>
      <c r="B3" s="283" t="s">
        <v>609</v>
      </c>
      <c r="C3" s="283"/>
      <c r="D3" s="283"/>
      <c r="E3" s="283"/>
      <c r="F3" s="283"/>
      <c r="G3" s="283"/>
      <c r="H3" s="283"/>
      <c r="I3" s="283"/>
      <c r="J3" s="283"/>
    </row>
    <row r="4" spans="1:10" ht="25.5" customHeight="1">
      <c r="A4" s="284"/>
      <c r="B4" s="283" t="s">
        <v>610</v>
      </c>
      <c r="C4" s="283"/>
      <c r="D4" s="283"/>
      <c r="E4" s="283"/>
      <c r="F4" s="283"/>
      <c r="G4" s="283"/>
      <c r="H4" s="283"/>
      <c r="I4" s="283"/>
      <c r="J4" s="283"/>
    </row>
    <row r="5" spans="1:10" ht="25.5" customHeight="1">
      <c r="A5" s="284"/>
      <c r="B5" s="283" t="s">
        <v>745</v>
      </c>
      <c r="C5" s="283"/>
      <c r="D5" s="283"/>
      <c r="E5" s="283"/>
      <c r="F5" s="283"/>
      <c r="G5" s="283"/>
      <c r="H5" s="283"/>
      <c r="I5" s="283"/>
      <c r="J5" s="283"/>
    </row>
    <row r="6" spans="1:10">
      <c r="A6" s="284"/>
      <c r="B6" s="284"/>
      <c r="C6" s="284"/>
      <c r="D6" s="284"/>
      <c r="E6" s="284"/>
      <c r="F6" s="284"/>
      <c r="G6" s="284"/>
      <c r="H6" s="284"/>
      <c r="I6" s="284"/>
      <c r="J6" s="284"/>
    </row>
  </sheetData>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F1446-3243-4CCD-ABDB-02A1F3883491}">
  <sheetPr>
    <tabColor rgb="FFFFC000"/>
  </sheetPr>
  <dimension ref="A1:L44"/>
  <sheetViews>
    <sheetView workbookViewId="0">
      <selection activeCell="C6" sqref="C6:D6"/>
    </sheetView>
  </sheetViews>
  <sheetFormatPr defaultRowHeight="15" customHeight="1"/>
  <cols>
    <col min="1" max="1" width="15.42578125" style="261" customWidth="1"/>
    <col min="2" max="2" width="15.85546875" style="261" customWidth="1"/>
    <col min="3" max="6" width="15.5703125" style="261" customWidth="1"/>
    <col min="7" max="7" width="13.85546875" style="261" bestFit="1" customWidth="1"/>
    <col min="8" max="8" width="9.140625" style="261"/>
    <col min="9" max="9" width="52.28515625" style="261" customWidth="1"/>
    <col min="10" max="12" width="18" style="261" customWidth="1"/>
    <col min="13" max="16384" width="9.140625" style="261"/>
  </cols>
  <sheetData>
    <row r="1" spans="1:12" ht="21" customHeight="1">
      <c r="A1" s="277" t="s">
        <v>592</v>
      </c>
      <c r="B1" s="275" t="s">
        <v>601</v>
      </c>
      <c r="C1" s="274"/>
      <c r="D1" s="274"/>
      <c r="E1" s="274"/>
      <c r="F1" s="274"/>
      <c r="G1" s="274"/>
    </row>
    <row r="2" spans="1:12" ht="21" customHeight="1">
      <c r="A2" s="278"/>
      <c r="B2" s="276" t="s">
        <v>602</v>
      </c>
      <c r="C2" s="274"/>
      <c r="D2" s="274"/>
      <c r="E2" s="274"/>
      <c r="F2" s="274"/>
      <c r="G2" s="274"/>
    </row>
    <row r="3" spans="1:12" ht="21" customHeight="1">
      <c r="A3" s="278"/>
      <c r="B3" s="276" t="s">
        <v>606</v>
      </c>
      <c r="C3" s="274"/>
      <c r="D3" s="274"/>
      <c r="E3" s="274"/>
      <c r="F3" s="274"/>
      <c r="G3" s="274"/>
    </row>
    <row r="4" spans="1:12" ht="21" customHeight="1">
      <c r="A4" s="278"/>
      <c r="B4" s="276" t="s">
        <v>605</v>
      </c>
      <c r="C4" s="274"/>
      <c r="D4" s="274"/>
      <c r="E4" s="274"/>
      <c r="F4" s="274"/>
      <c r="G4" s="274"/>
    </row>
    <row r="5" spans="1:12" ht="17.25" customHeight="1">
      <c r="A5" s="271"/>
    </row>
    <row r="6" spans="1:12" ht="29.25" customHeight="1">
      <c r="A6" s="807" t="s">
        <v>438</v>
      </c>
      <c r="B6" s="807" t="s">
        <v>509</v>
      </c>
      <c r="C6" s="807" t="s">
        <v>607</v>
      </c>
      <c r="D6" s="807"/>
      <c r="E6" s="807" t="s">
        <v>600</v>
      </c>
      <c r="F6" s="807"/>
      <c r="I6" s="279" t="s">
        <v>718</v>
      </c>
      <c r="J6" s="180"/>
      <c r="K6" s="180"/>
      <c r="L6" s="180"/>
    </row>
    <row r="7" spans="1:12" ht="44.25" customHeight="1">
      <c r="A7" s="808"/>
      <c r="B7" s="808"/>
      <c r="C7" s="280" t="s">
        <v>603</v>
      </c>
      <c r="D7" s="280" t="s">
        <v>604</v>
      </c>
      <c r="E7" s="280" t="s">
        <v>603</v>
      </c>
      <c r="F7" s="280" t="s">
        <v>604</v>
      </c>
      <c r="I7" s="270" t="s">
        <v>561</v>
      </c>
      <c r="J7" s="270" t="s">
        <v>595</v>
      </c>
      <c r="K7" s="270" t="s">
        <v>562</v>
      </c>
      <c r="L7" s="270" t="s">
        <v>563</v>
      </c>
    </row>
    <row r="8" spans="1:12" ht="15" customHeight="1">
      <c r="A8" s="281" t="s">
        <v>510</v>
      </c>
      <c r="B8" s="433" t="s">
        <v>511</v>
      </c>
      <c r="C8" s="281">
        <f>J10</f>
        <v>433.49</v>
      </c>
      <c r="D8" s="281">
        <f t="shared" ref="D8:D34" si="0">$L$10</f>
        <v>342.23</v>
      </c>
      <c r="E8" s="281">
        <f>$J$11</f>
        <v>381.14</v>
      </c>
      <c r="F8" s="281">
        <f t="shared" ref="F8:F34" si="1">$L$11</f>
        <v>300.89999999999998</v>
      </c>
      <c r="I8" s="270" t="s">
        <v>596</v>
      </c>
      <c r="J8" s="270">
        <v>668.15</v>
      </c>
      <c r="K8" s="270">
        <v>598</v>
      </c>
      <c r="L8" s="270">
        <v>527.84</v>
      </c>
    </row>
    <row r="9" spans="1:12" ht="15" customHeight="1">
      <c r="A9" s="281" t="s">
        <v>512</v>
      </c>
      <c r="B9" s="433" t="s">
        <v>513</v>
      </c>
      <c r="C9" s="281">
        <f>J10</f>
        <v>433.49</v>
      </c>
      <c r="D9" s="281">
        <f t="shared" si="0"/>
        <v>342.23</v>
      </c>
      <c r="E9" s="281">
        <f>$J$11</f>
        <v>381.14</v>
      </c>
      <c r="F9" s="281">
        <f t="shared" si="1"/>
        <v>300.89999999999998</v>
      </c>
      <c r="I9" s="270" t="s">
        <v>597</v>
      </c>
      <c r="J9" s="270">
        <v>508.38</v>
      </c>
      <c r="K9" s="270">
        <v>455</v>
      </c>
      <c r="L9" s="270">
        <v>401.61</v>
      </c>
    </row>
    <row r="10" spans="1:12" ht="15" customHeight="1">
      <c r="A10" s="281" t="s">
        <v>514</v>
      </c>
      <c r="B10" s="433" t="s">
        <v>515</v>
      </c>
      <c r="C10" s="281">
        <f>J10</f>
        <v>433.49</v>
      </c>
      <c r="D10" s="281">
        <f t="shared" si="0"/>
        <v>342.23</v>
      </c>
      <c r="E10" s="281">
        <f>$J$11</f>
        <v>381.14</v>
      </c>
      <c r="F10" s="281">
        <f t="shared" si="1"/>
        <v>300.89999999999998</v>
      </c>
      <c r="I10" s="270" t="s">
        <v>598</v>
      </c>
      <c r="J10" s="270">
        <v>433.49</v>
      </c>
      <c r="K10" s="270">
        <v>387.86</v>
      </c>
      <c r="L10" s="270">
        <v>342.23</v>
      </c>
    </row>
    <row r="11" spans="1:12" ht="15" customHeight="1">
      <c r="A11" s="281" t="s">
        <v>516</v>
      </c>
      <c r="B11" s="433" t="s">
        <v>517</v>
      </c>
      <c r="C11" s="281">
        <f>$K$10</f>
        <v>387.86</v>
      </c>
      <c r="D11" s="281">
        <f t="shared" si="0"/>
        <v>342.23</v>
      </c>
      <c r="E11" s="281">
        <f>$K$11</f>
        <v>341.02</v>
      </c>
      <c r="F11" s="281">
        <f t="shared" si="1"/>
        <v>300.89999999999998</v>
      </c>
      <c r="I11" s="270" t="s">
        <v>599</v>
      </c>
      <c r="J11" s="270">
        <v>381.14</v>
      </c>
      <c r="K11" s="270">
        <v>341.02</v>
      </c>
      <c r="L11" s="270">
        <v>300.89999999999998</v>
      </c>
    </row>
    <row r="12" spans="1:12" ht="15" customHeight="1">
      <c r="A12" s="281" t="s">
        <v>518</v>
      </c>
      <c r="B12" s="433" t="s">
        <v>519</v>
      </c>
      <c r="C12" s="281">
        <f>$K$10</f>
        <v>387.86</v>
      </c>
      <c r="D12" s="281">
        <f t="shared" si="0"/>
        <v>342.23</v>
      </c>
      <c r="E12" s="281">
        <f>$K$11</f>
        <v>341.02</v>
      </c>
      <c r="F12" s="281">
        <f t="shared" si="1"/>
        <v>300.89999999999998</v>
      </c>
    </row>
    <row r="13" spans="1:12" ht="15" customHeight="1">
      <c r="A13" s="281" t="s">
        <v>520</v>
      </c>
      <c r="B13" s="433" t="s">
        <v>521</v>
      </c>
      <c r="C13" s="281">
        <f>$K$10</f>
        <v>387.86</v>
      </c>
      <c r="D13" s="281">
        <f t="shared" si="0"/>
        <v>342.23</v>
      </c>
      <c r="E13" s="281">
        <f>$K$11</f>
        <v>341.02</v>
      </c>
      <c r="F13" s="281">
        <f t="shared" si="1"/>
        <v>300.89999999999998</v>
      </c>
      <c r="I13" s="272" t="s">
        <v>594</v>
      </c>
      <c r="J13" s="273"/>
      <c r="K13" s="273"/>
      <c r="L13" s="273"/>
    </row>
    <row r="14" spans="1:12" ht="15" customHeight="1">
      <c r="A14" s="281" t="s">
        <v>522</v>
      </c>
      <c r="B14" s="433" t="s">
        <v>523</v>
      </c>
      <c r="C14" s="281">
        <f>$K$10</f>
        <v>387.86</v>
      </c>
      <c r="D14" s="281">
        <f t="shared" si="0"/>
        <v>342.23</v>
      </c>
      <c r="E14" s="281">
        <f>$K$11</f>
        <v>341.02</v>
      </c>
      <c r="F14" s="281">
        <f t="shared" si="1"/>
        <v>300.89999999999998</v>
      </c>
    </row>
    <row r="15" spans="1:12" ht="15" customHeight="1">
      <c r="A15" s="281" t="s">
        <v>524</v>
      </c>
      <c r="B15" s="433" t="s">
        <v>525</v>
      </c>
      <c r="C15" s="281">
        <f>$K$10</f>
        <v>387.86</v>
      </c>
      <c r="D15" s="281">
        <f t="shared" si="0"/>
        <v>342.23</v>
      </c>
      <c r="E15" s="281">
        <f>$K$11</f>
        <v>341.02</v>
      </c>
      <c r="F15" s="281">
        <f t="shared" si="1"/>
        <v>300.89999999999998</v>
      </c>
    </row>
    <row r="16" spans="1:12" ht="15" customHeight="1">
      <c r="A16" s="281" t="s">
        <v>503</v>
      </c>
      <c r="B16" s="433" t="s">
        <v>508</v>
      </c>
      <c r="C16" s="281">
        <f>J10</f>
        <v>433.49</v>
      </c>
      <c r="D16" s="281">
        <f t="shared" si="0"/>
        <v>342.23</v>
      </c>
      <c r="E16" s="281">
        <f>$J$11</f>
        <v>381.14</v>
      </c>
      <c r="F16" s="281">
        <f t="shared" si="1"/>
        <v>300.89999999999998</v>
      </c>
    </row>
    <row r="17" spans="1:6" ht="15" customHeight="1">
      <c r="A17" s="281" t="s">
        <v>526</v>
      </c>
      <c r="B17" s="433" t="s">
        <v>527</v>
      </c>
      <c r="C17" s="281">
        <f t="shared" ref="C17:C34" si="2">$K$10</f>
        <v>387.86</v>
      </c>
      <c r="D17" s="281">
        <f t="shared" si="0"/>
        <v>342.23</v>
      </c>
      <c r="E17" s="281">
        <f t="shared" ref="E17:E34" si="3">$K$11</f>
        <v>341.02</v>
      </c>
      <c r="F17" s="281">
        <f t="shared" si="1"/>
        <v>300.89999999999998</v>
      </c>
    </row>
    <row r="18" spans="1:6" ht="15" customHeight="1">
      <c r="A18" s="281" t="s">
        <v>528</v>
      </c>
      <c r="B18" s="433" t="s">
        <v>529</v>
      </c>
      <c r="C18" s="281">
        <f t="shared" si="2"/>
        <v>387.86</v>
      </c>
      <c r="D18" s="281">
        <f t="shared" si="0"/>
        <v>342.23</v>
      </c>
      <c r="E18" s="281">
        <f t="shared" si="3"/>
        <v>341.02</v>
      </c>
      <c r="F18" s="281">
        <f t="shared" si="1"/>
        <v>300.89999999999998</v>
      </c>
    </row>
    <row r="19" spans="1:6" ht="15" customHeight="1">
      <c r="A19" s="281" t="s">
        <v>530</v>
      </c>
      <c r="B19" s="433" t="s">
        <v>531</v>
      </c>
      <c r="C19" s="281">
        <f t="shared" si="2"/>
        <v>387.86</v>
      </c>
      <c r="D19" s="281">
        <f t="shared" si="0"/>
        <v>342.23</v>
      </c>
      <c r="E19" s="281">
        <f t="shared" si="3"/>
        <v>341.02</v>
      </c>
      <c r="F19" s="281">
        <f t="shared" si="1"/>
        <v>300.89999999999998</v>
      </c>
    </row>
    <row r="20" spans="1:6" ht="15" customHeight="1">
      <c r="A20" s="281" t="s">
        <v>532</v>
      </c>
      <c r="B20" s="433" t="s">
        <v>496</v>
      </c>
      <c r="C20" s="281">
        <f t="shared" si="2"/>
        <v>387.86</v>
      </c>
      <c r="D20" s="281">
        <f t="shared" si="0"/>
        <v>342.23</v>
      </c>
      <c r="E20" s="281">
        <f t="shared" si="3"/>
        <v>341.02</v>
      </c>
      <c r="F20" s="281">
        <f t="shared" si="1"/>
        <v>300.89999999999998</v>
      </c>
    </row>
    <row r="21" spans="1:6" ht="15" customHeight="1">
      <c r="A21" s="281" t="s">
        <v>533</v>
      </c>
      <c r="B21" s="433" t="s">
        <v>534</v>
      </c>
      <c r="C21" s="281">
        <f t="shared" si="2"/>
        <v>387.86</v>
      </c>
      <c r="D21" s="281">
        <f t="shared" si="0"/>
        <v>342.23</v>
      </c>
      <c r="E21" s="281">
        <f t="shared" si="3"/>
        <v>341.02</v>
      </c>
      <c r="F21" s="281">
        <f t="shared" si="1"/>
        <v>300.89999999999998</v>
      </c>
    </row>
    <row r="22" spans="1:6" ht="15" customHeight="1">
      <c r="A22" s="281" t="s">
        <v>535</v>
      </c>
      <c r="B22" s="433" t="s">
        <v>536</v>
      </c>
      <c r="C22" s="281">
        <f t="shared" si="2"/>
        <v>387.86</v>
      </c>
      <c r="D22" s="281">
        <f t="shared" si="0"/>
        <v>342.23</v>
      </c>
      <c r="E22" s="281">
        <f t="shared" si="3"/>
        <v>341.02</v>
      </c>
      <c r="F22" s="281">
        <f t="shared" si="1"/>
        <v>300.89999999999998</v>
      </c>
    </row>
    <row r="23" spans="1:6" ht="15" customHeight="1">
      <c r="A23" s="281" t="s">
        <v>537</v>
      </c>
      <c r="B23" s="433" t="s">
        <v>538</v>
      </c>
      <c r="C23" s="281">
        <f t="shared" si="2"/>
        <v>387.86</v>
      </c>
      <c r="D23" s="281">
        <f t="shared" si="0"/>
        <v>342.23</v>
      </c>
      <c r="E23" s="281">
        <f t="shared" si="3"/>
        <v>341.02</v>
      </c>
      <c r="F23" s="281">
        <f t="shared" si="1"/>
        <v>300.89999999999998</v>
      </c>
    </row>
    <row r="24" spans="1:6" ht="15" customHeight="1">
      <c r="A24" s="281" t="s">
        <v>539</v>
      </c>
      <c r="B24" s="433" t="s">
        <v>540</v>
      </c>
      <c r="C24" s="281">
        <f t="shared" si="2"/>
        <v>387.86</v>
      </c>
      <c r="D24" s="281">
        <f t="shared" si="0"/>
        <v>342.23</v>
      </c>
      <c r="E24" s="281">
        <f t="shared" si="3"/>
        <v>341.02</v>
      </c>
      <c r="F24" s="281">
        <f t="shared" si="1"/>
        <v>300.89999999999998</v>
      </c>
    </row>
    <row r="25" spans="1:6" ht="15" customHeight="1">
      <c r="A25" s="281" t="s">
        <v>541</v>
      </c>
      <c r="B25" s="433" t="s">
        <v>542</v>
      </c>
      <c r="C25" s="281">
        <f t="shared" si="2"/>
        <v>387.86</v>
      </c>
      <c r="D25" s="281">
        <f t="shared" si="0"/>
        <v>342.23</v>
      </c>
      <c r="E25" s="281">
        <f t="shared" si="3"/>
        <v>341.02</v>
      </c>
      <c r="F25" s="281">
        <f t="shared" si="1"/>
        <v>300.89999999999998</v>
      </c>
    </row>
    <row r="26" spans="1:6" ht="15" customHeight="1">
      <c r="A26" s="281" t="s">
        <v>543</v>
      </c>
      <c r="B26" s="433" t="s">
        <v>544</v>
      </c>
      <c r="C26" s="281">
        <f t="shared" si="2"/>
        <v>387.86</v>
      </c>
      <c r="D26" s="281">
        <f t="shared" si="0"/>
        <v>342.23</v>
      </c>
      <c r="E26" s="281">
        <f t="shared" si="3"/>
        <v>341.02</v>
      </c>
      <c r="F26" s="281">
        <f t="shared" si="1"/>
        <v>300.89999999999998</v>
      </c>
    </row>
    <row r="27" spans="1:6" ht="15" customHeight="1">
      <c r="A27" s="281" t="s">
        <v>545</v>
      </c>
      <c r="B27" s="433" t="s">
        <v>546</v>
      </c>
      <c r="C27" s="281">
        <f t="shared" si="2"/>
        <v>387.86</v>
      </c>
      <c r="D27" s="281">
        <f t="shared" si="0"/>
        <v>342.23</v>
      </c>
      <c r="E27" s="281">
        <f t="shared" si="3"/>
        <v>341.02</v>
      </c>
      <c r="F27" s="281">
        <f t="shared" si="1"/>
        <v>300.89999999999998</v>
      </c>
    </row>
    <row r="28" spans="1:6" ht="15" customHeight="1">
      <c r="A28" s="281" t="s">
        <v>547</v>
      </c>
      <c r="B28" s="433" t="s">
        <v>548</v>
      </c>
      <c r="C28" s="281">
        <f t="shared" si="2"/>
        <v>387.86</v>
      </c>
      <c r="D28" s="281">
        <f t="shared" si="0"/>
        <v>342.23</v>
      </c>
      <c r="E28" s="281">
        <f t="shared" si="3"/>
        <v>341.02</v>
      </c>
      <c r="F28" s="281">
        <f t="shared" si="1"/>
        <v>300.89999999999998</v>
      </c>
    </row>
    <row r="29" spans="1:6" ht="15" customHeight="1">
      <c r="A29" s="281" t="s">
        <v>549</v>
      </c>
      <c r="B29" s="433" t="s">
        <v>550</v>
      </c>
      <c r="C29" s="281">
        <f t="shared" si="2"/>
        <v>387.86</v>
      </c>
      <c r="D29" s="281">
        <f t="shared" si="0"/>
        <v>342.23</v>
      </c>
      <c r="E29" s="281">
        <f t="shared" si="3"/>
        <v>341.02</v>
      </c>
      <c r="F29" s="281">
        <f t="shared" si="1"/>
        <v>300.89999999999998</v>
      </c>
    </row>
    <row r="30" spans="1:6" ht="15" customHeight="1">
      <c r="A30" s="281" t="s">
        <v>551</v>
      </c>
      <c r="B30" s="433" t="s">
        <v>552</v>
      </c>
      <c r="C30" s="281">
        <f t="shared" si="2"/>
        <v>387.86</v>
      </c>
      <c r="D30" s="281">
        <f t="shared" si="0"/>
        <v>342.23</v>
      </c>
      <c r="E30" s="281">
        <f t="shared" si="3"/>
        <v>341.02</v>
      </c>
      <c r="F30" s="281">
        <f t="shared" si="1"/>
        <v>300.89999999999998</v>
      </c>
    </row>
    <row r="31" spans="1:6" ht="15" customHeight="1">
      <c r="A31" s="281" t="s">
        <v>553</v>
      </c>
      <c r="B31" s="433" t="s">
        <v>554</v>
      </c>
      <c r="C31" s="281">
        <f t="shared" si="2"/>
        <v>387.86</v>
      </c>
      <c r="D31" s="281">
        <f t="shared" si="0"/>
        <v>342.23</v>
      </c>
      <c r="E31" s="281">
        <f t="shared" si="3"/>
        <v>341.02</v>
      </c>
      <c r="F31" s="281">
        <f t="shared" si="1"/>
        <v>300.89999999999998</v>
      </c>
    </row>
    <row r="32" spans="1:6" ht="15" customHeight="1">
      <c r="A32" s="281" t="s">
        <v>555</v>
      </c>
      <c r="B32" s="433" t="s">
        <v>556</v>
      </c>
      <c r="C32" s="281">
        <f t="shared" si="2"/>
        <v>387.86</v>
      </c>
      <c r="D32" s="281">
        <f t="shared" si="0"/>
        <v>342.23</v>
      </c>
      <c r="E32" s="281">
        <f t="shared" si="3"/>
        <v>341.02</v>
      </c>
      <c r="F32" s="281">
        <f t="shared" si="1"/>
        <v>300.89999999999998</v>
      </c>
    </row>
    <row r="33" spans="1:6" ht="15" customHeight="1">
      <c r="A33" s="281" t="s">
        <v>557</v>
      </c>
      <c r="B33" s="433" t="s">
        <v>558</v>
      </c>
      <c r="C33" s="281">
        <f t="shared" si="2"/>
        <v>387.86</v>
      </c>
      <c r="D33" s="281">
        <f t="shared" si="0"/>
        <v>342.23</v>
      </c>
      <c r="E33" s="281">
        <f t="shared" si="3"/>
        <v>341.02</v>
      </c>
      <c r="F33" s="281">
        <f t="shared" si="1"/>
        <v>300.89999999999998</v>
      </c>
    </row>
    <row r="34" spans="1:6" ht="15" customHeight="1">
      <c r="A34" s="281" t="s">
        <v>559</v>
      </c>
      <c r="B34" s="433" t="s">
        <v>560</v>
      </c>
      <c r="C34" s="281">
        <f t="shared" si="2"/>
        <v>387.86</v>
      </c>
      <c r="D34" s="281">
        <f t="shared" si="0"/>
        <v>342.23</v>
      </c>
      <c r="E34" s="281">
        <f t="shared" si="3"/>
        <v>341.02</v>
      </c>
      <c r="F34" s="281">
        <f t="shared" si="1"/>
        <v>300.89999999999998</v>
      </c>
    </row>
    <row r="35" spans="1:6" ht="15" customHeight="1">
      <c r="A35" s="281"/>
      <c r="B35" s="434" t="s">
        <v>728</v>
      </c>
      <c r="C35" s="281">
        <f>D35</f>
        <v>342.23</v>
      </c>
      <c r="D35" s="281">
        <f>D34</f>
        <v>342.23</v>
      </c>
      <c r="E35" s="281">
        <f>F35</f>
        <v>300.89999999999998</v>
      </c>
      <c r="F35" s="281">
        <f>F34</f>
        <v>300.89999999999998</v>
      </c>
    </row>
    <row r="44" spans="1:6" ht="15" customHeight="1">
      <c r="E44" s="273"/>
    </row>
  </sheetData>
  <mergeCells count="4">
    <mergeCell ref="C6:D6"/>
    <mergeCell ref="B6:B7"/>
    <mergeCell ref="A6:A7"/>
    <mergeCell ref="E6:F6"/>
  </mergeCells>
  <hyperlinks>
    <hyperlink ref="I13" r:id="rId1" display="https://www.planalto.gov.br/ccivil_03/_Ato2019-2022/2022/Decreto/D11117.htm" xr:uid="{AA163CAB-3C82-4E47-9F02-21BF860D7CD5}"/>
  </hyperlinks>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CF635-E9C7-4E81-B570-A3C2E67C4703}">
  <sheetPr>
    <tabColor rgb="FFFFC000"/>
  </sheetPr>
  <dimension ref="B1:O64"/>
  <sheetViews>
    <sheetView workbookViewId="0">
      <selection activeCell="L19" sqref="L19"/>
    </sheetView>
  </sheetViews>
  <sheetFormatPr defaultColWidth="9.140625" defaultRowHeight="15"/>
  <cols>
    <col min="1" max="1" width="1.7109375" style="190" customWidth="1"/>
    <col min="2" max="2" width="13" style="190" customWidth="1"/>
    <col min="3" max="3" width="16.28515625" style="190" customWidth="1"/>
    <col min="4" max="4" width="11.140625" style="190" customWidth="1"/>
    <col min="5" max="5" width="6.7109375" style="190" customWidth="1"/>
    <col min="6" max="8" width="11.140625" style="190" customWidth="1"/>
    <col min="9" max="9" width="22.28515625" style="190" customWidth="1"/>
    <col min="10" max="10" width="10" style="190" customWidth="1"/>
    <col min="11" max="11" width="16" style="224" customWidth="1"/>
    <col min="12" max="12" width="13.28515625" style="190" customWidth="1"/>
    <col min="13" max="13" width="14.140625" style="190" customWidth="1"/>
    <col min="14" max="14" width="9.5703125" style="190" customWidth="1"/>
    <col min="15" max="15" width="5.5703125" style="190" customWidth="1"/>
    <col min="16" max="16384" width="9.140625" style="190"/>
  </cols>
  <sheetData>
    <row r="1" spans="2:15" ht="7.5" customHeight="1"/>
    <row r="2" spans="2:15" ht="19.5" customHeight="1">
      <c r="B2" s="262" t="s">
        <v>592</v>
      </c>
      <c r="C2" s="262" t="s">
        <v>653</v>
      </c>
      <c r="D2" s="262"/>
      <c r="E2" s="262"/>
      <c r="F2" s="262"/>
      <c r="G2" s="262"/>
      <c r="H2" s="269"/>
      <c r="I2" s="268"/>
      <c r="K2" s="190"/>
    </row>
    <row r="3" spans="2:15" ht="19.5" customHeight="1">
      <c r="B3" s="262"/>
      <c r="C3" s="262" t="s">
        <v>654</v>
      </c>
      <c r="D3" s="262"/>
      <c r="E3" s="262"/>
      <c r="F3" s="262"/>
      <c r="G3" s="262"/>
      <c r="H3" s="269"/>
      <c r="I3" s="268"/>
      <c r="K3" s="190"/>
    </row>
    <row r="4" spans="2:15" ht="19.5" customHeight="1">
      <c r="B4" s="262"/>
      <c r="C4" s="262" t="s">
        <v>593</v>
      </c>
      <c r="D4" s="262"/>
      <c r="E4" s="262"/>
      <c r="F4" s="262"/>
      <c r="G4" s="262"/>
      <c r="H4" s="269"/>
      <c r="I4" s="268"/>
      <c r="K4" s="190"/>
    </row>
    <row r="5" spans="2:15" ht="19.5" customHeight="1">
      <c r="B5" s="262"/>
      <c r="C5" s="262" t="s">
        <v>591</v>
      </c>
      <c r="D5" s="262"/>
      <c r="E5" s="262"/>
      <c r="F5" s="262"/>
      <c r="G5" s="262"/>
      <c r="H5" s="269"/>
      <c r="I5" s="268"/>
      <c r="K5" s="190"/>
    </row>
    <row r="6" spans="2:15" ht="19.5" customHeight="1">
      <c r="B6" s="262"/>
      <c r="C6" s="262" t="s">
        <v>652</v>
      </c>
      <c r="D6" s="262"/>
      <c r="E6" s="262"/>
      <c r="F6" s="262"/>
      <c r="G6" s="262"/>
      <c r="H6" s="269"/>
      <c r="I6" s="268"/>
      <c r="K6" s="190"/>
    </row>
    <row r="7" spans="2:15" ht="30" customHeight="1">
      <c r="B7" s="218"/>
      <c r="C7" s="219"/>
      <c r="D7" s="219"/>
      <c r="K7" s="190"/>
    </row>
    <row r="8" spans="2:15" ht="15.75" customHeight="1" thickBot="1">
      <c r="B8" s="263" t="s">
        <v>651</v>
      </c>
      <c r="C8" s="264"/>
      <c r="D8" s="264"/>
      <c r="E8" s="265"/>
      <c r="F8" s="265"/>
      <c r="G8" s="265"/>
      <c r="H8" s="265"/>
      <c r="K8" s="348" t="s">
        <v>722</v>
      </c>
      <c r="L8" s="349"/>
      <c r="M8" s="349"/>
    </row>
    <row r="9" spans="2:15" ht="15.75" customHeight="1" thickTop="1">
      <c r="B9" s="218"/>
      <c r="C9" s="219"/>
      <c r="D9" s="219"/>
      <c r="K9" s="350" t="s">
        <v>589</v>
      </c>
      <c r="L9" s="350" t="s">
        <v>588</v>
      </c>
      <c r="M9" s="350" t="s">
        <v>498</v>
      </c>
    </row>
    <row r="10" spans="2:15" ht="15.75" customHeight="1">
      <c r="B10" s="221" t="s">
        <v>589</v>
      </c>
      <c r="C10" s="221" t="s">
        <v>588</v>
      </c>
      <c r="D10" s="221" t="s">
        <v>498</v>
      </c>
      <c r="F10" s="221" t="s">
        <v>500</v>
      </c>
      <c r="G10" s="221" t="s">
        <v>501</v>
      </c>
      <c r="H10" s="221" t="s">
        <v>502</v>
      </c>
      <c r="K10" s="346" t="s">
        <v>645</v>
      </c>
      <c r="L10" s="345" t="str">
        <f>C11</f>
        <v>Rio de Janeiro</v>
      </c>
      <c r="M10" s="347">
        <f>D15</f>
        <v>878.66666666666663</v>
      </c>
    </row>
    <row r="11" spans="2:15" ht="15.75" customHeight="1">
      <c r="B11" s="222" t="s">
        <v>503</v>
      </c>
      <c r="C11" s="222" t="s">
        <v>515</v>
      </c>
      <c r="D11" s="223" cm="1">
        <f t="array" ref="D11">(MIN(IF(F11:H11&gt;0,F11:H11)))</f>
        <v>590</v>
      </c>
      <c r="F11" s="305">
        <v>590</v>
      </c>
      <c r="G11" s="305">
        <v>652</v>
      </c>
      <c r="H11" s="305">
        <v>728</v>
      </c>
      <c r="I11" s="306"/>
      <c r="K11" s="346" t="s">
        <v>645</v>
      </c>
      <c r="L11" s="345" t="str">
        <f>C21</f>
        <v>Belo Horizonte</v>
      </c>
      <c r="M11" s="347">
        <f>D22</f>
        <v>944</v>
      </c>
    </row>
    <row r="12" spans="2:15" ht="15.75" customHeight="1">
      <c r="B12" s="222" t="s">
        <v>506</v>
      </c>
      <c r="C12" s="222" t="s">
        <v>515</v>
      </c>
      <c r="D12" s="223" cm="1">
        <f t="array" ref="D12">(MIN(IF(F12:H12&gt;0,F12:H12)))</f>
        <v>0</v>
      </c>
      <c r="F12" s="305">
        <v>0</v>
      </c>
      <c r="G12" s="305">
        <v>0</v>
      </c>
      <c r="H12" s="305">
        <v>0</v>
      </c>
      <c r="I12" s="306"/>
      <c r="K12" s="346" t="s">
        <v>645</v>
      </c>
      <c r="L12" s="345" t="str">
        <f>C28</f>
        <v>Goiânia</v>
      </c>
      <c r="M12" s="347">
        <f>D29</f>
        <v>901</v>
      </c>
    </row>
    <row r="13" spans="2:15" ht="15.75" customHeight="1">
      <c r="B13" s="222" t="s">
        <v>504</v>
      </c>
      <c r="C13" s="222" t="s">
        <v>515</v>
      </c>
      <c r="D13" s="223" cm="1">
        <f t="array" ref="D13">(MIN(IF(F13:H13&gt;0,F13:H13)))</f>
        <v>1072</v>
      </c>
      <c r="F13" s="305">
        <v>1219</v>
      </c>
      <c r="G13" s="305">
        <v>1072</v>
      </c>
      <c r="H13" s="305">
        <v>1125</v>
      </c>
      <c r="I13" s="306"/>
      <c r="K13" s="346" t="s">
        <v>645</v>
      </c>
      <c r="L13" s="345" t="str">
        <f>C35</f>
        <v>Brasília</v>
      </c>
      <c r="M13" s="347">
        <f>D36</f>
        <v>906.33333333333337</v>
      </c>
    </row>
    <row r="14" spans="2:15" ht="15.75" customHeight="1">
      <c r="B14" s="222" t="s">
        <v>505</v>
      </c>
      <c r="C14" s="222" t="s">
        <v>515</v>
      </c>
      <c r="D14" s="223" cm="1">
        <f t="array" ref="D14">(MIN(IF(F14:H14&gt;0,F14:H14)))</f>
        <v>974</v>
      </c>
      <c r="F14" s="305">
        <v>1264</v>
      </c>
      <c r="G14" s="305">
        <v>974</v>
      </c>
      <c r="H14" s="305">
        <v>1070</v>
      </c>
      <c r="I14" s="306"/>
      <c r="K14" s="346" t="s">
        <v>645</v>
      </c>
      <c r="L14" s="345" t="str">
        <f>C42</f>
        <v>São Paulo</v>
      </c>
      <c r="M14" s="347">
        <f>D43</f>
        <v>625</v>
      </c>
    </row>
    <row r="15" spans="2:15" ht="26.25" customHeight="1">
      <c r="B15" s="813" t="s">
        <v>590</v>
      </c>
      <c r="C15" s="814"/>
      <c r="D15" s="267">
        <f>AVERAGEIF(D11:D14,"&gt;0",D11:D14)</f>
        <v>878.66666666666663</v>
      </c>
      <c r="F15" s="306"/>
      <c r="G15" s="306"/>
      <c r="H15" s="306"/>
      <c r="I15" s="306"/>
      <c r="K15" s="346" t="s">
        <v>645</v>
      </c>
      <c r="L15" s="346" t="s">
        <v>728</v>
      </c>
      <c r="M15" s="347">
        <f>D45</f>
        <v>851</v>
      </c>
    </row>
    <row r="16" spans="2:15" ht="15.75" customHeight="1">
      <c r="C16" s="220"/>
      <c r="D16" s="220"/>
      <c r="E16" s="218"/>
      <c r="F16" s="307"/>
      <c r="G16" s="307"/>
      <c r="H16" s="307"/>
      <c r="I16" s="307"/>
      <c r="J16" s="187"/>
      <c r="K16" s="187"/>
      <c r="L16" s="187"/>
      <c r="M16" s="187"/>
      <c r="N16" s="187"/>
      <c r="O16" s="187"/>
    </row>
    <row r="17" spans="2:15" ht="15.75" customHeight="1">
      <c r="B17" s="221" t="s">
        <v>497</v>
      </c>
      <c r="C17" s="221" t="s">
        <v>499</v>
      </c>
      <c r="D17" s="221" t="s">
        <v>498</v>
      </c>
      <c r="E17" s="218"/>
      <c r="F17" s="308" t="s">
        <v>500</v>
      </c>
      <c r="G17" s="308" t="s">
        <v>501</v>
      </c>
      <c r="H17" s="308" t="s">
        <v>502</v>
      </c>
      <c r="I17" s="307"/>
      <c r="J17" s="187"/>
      <c r="K17" s="187"/>
      <c r="L17" s="187"/>
      <c r="M17" s="187"/>
      <c r="N17" s="187"/>
      <c r="O17" s="187"/>
    </row>
    <row r="18" spans="2:15" ht="15.75" customHeight="1">
      <c r="B18" s="222" t="s">
        <v>503</v>
      </c>
      <c r="C18" s="222" t="s">
        <v>517</v>
      </c>
      <c r="D18" s="223" cm="1">
        <f t="array" ref="D18">(MIN(IF(F18:H18&gt;0,F18:H18)))</f>
        <v>635</v>
      </c>
      <c r="E18" s="218"/>
      <c r="F18" s="305">
        <v>635</v>
      </c>
      <c r="G18" s="305">
        <v>672</v>
      </c>
      <c r="H18" s="305">
        <v>672</v>
      </c>
      <c r="I18" s="306"/>
      <c r="K18" s="190"/>
    </row>
    <row r="19" spans="2:15" ht="15.75" customHeight="1">
      <c r="B19" s="222" t="s">
        <v>506</v>
      </c>
      <c r="C19" s="222" t="s">
        <v>517</v>
      </c>
      <c r="D19" s="223" cm="1">
        <f t="array" ref="D19">(MIN(IF(F19:H19&gt;0,F19:H19)))</f>
        <v>1072</v>
      </c>
      <c r="E19" s="236"/>
      <c r="F19" s="305">
        <v>1267</v>
      </c>
      <c r="G19" s="309">
        <v>1072</v>
      </c>
      <c r="H19" s="305">
        <v>1126</v>
      </c>
      <c r="I19" s="306"/>
      <c r="K19" s="190"/>
    </row>
    <row r="20" spans="2:15" ht="15.75" customHeight="1">
      <c r="B20" s="222" t="s">
        <v>504</v>
      </c>
      <c r="C20" s="222" t="s">
        <v>517</v>
      </c>
      <c r="D20" s="223" cm="1">
        <f t="array" ref="D20">(MIN(IF(F20:H20&gt;0,F20:H20)))</f>
        <v>0</v>
      </c>
      <c r="E20" s="236"/>
      <c r="F20" s="305">
        <v>0</v>
      </c>
      <c r="G20" s="305">
        <v>0</v>
      </c>
      <c r="H20" s="305">
        <v>0</v>
      </c>
      <c r="I20" s="306"/>
      <c r="K20" s="190"/>
    </row>
    <row r="21" spans="2:15" ht="15.75" customHeight="1">
      <c r="B21" s="222" t="s">
        <v>505</v>
      </c>
      <c r="C21" s="222" t="s">
        <v>517</v>
      </c>
      <c r="D21" s="223" cm="1">
        <f t="array" ref="D21">(MIN(IF(F21:H21&gt;0,F21:H21)))</f>
        <v>1125</v>
      </c>
      <c r="E21" s="236"/>
      <c r="F21" s="305">
        <v>1477</v>
      </c>
      <c r="G21" s="305">
        <v>1125</v>
      </c>
      <c r="H21" s="305">
        <v>1125</v>
      </c>
      <c r="I21" s="306"/>
      <c r="K21" s="190"/>
    </row>
    <row r="22" spans="2:15" ht="15.75" customHeight="1">
      <c r="B22" s="813" t="s">
        <v>590</v>
      </c>
      <c r="C22" s="814"/>
      <c r="D22" s="267">
        <f>AVERAGEIF(D18:D21,"&gt;0",D18:D21)</f>
        <v>944</v>
      </c>
      <c r="F22" s="306"/>
      <c r="G22" s="306"/>
      <c r="H22" s="306"/>
      <c r="I22" s="306"/>
      <c r="K22" s="190"/>
    </row>
    <row r="23" spans="2:15" ht="15.75" customHeight="1">
      <c r="B23" s="218"/>
      <c r="C23" s="219"/>
      <c r="D23" s="219"/>
      <c r="F23" s="306"/>
      <c r="G23" s="306"/>
      <c r="H23" s="306"/>
      <c r="I23" s="306"/>
      <c r="K23" s="190"/>
    </row>
    <row r="24" spans="2:15" ht="15.75" customHeight="1">
      <c r="B24" s="221" t="s">
        <v>497</v>
      </c>
      <c r="C24" s="221" t="s">
        <v>499</v>
      </c>
      <c r="D24" s="221" t="s">
        <v>498</v>
      </c>
      <c r="E24" s="218"/>
      <c r="F24" s="308" t="s">
        <v>500</v>
      </c>
      <c r="G24" s="308" t="s">
        <v>501</v>
      </c>
      <c r="H24" s="308" t="s">
        <v>502</v>
      </c>
      <c r="I24" s="307"/>
      <c r="J24" s="187"/>
      <c r="K24" s="187"/>
      <c r="L24" s="187"/>
      <c r="M24" s="187"/>
      <c r="N24" s="187"/>
      <c r="O24" s="187"/>
    </row>
    <row r="25" spans="2:15" ht="15.75" customHeight="1">
      <c r="B25" s="222" t="s">
        <v>503</v>
      </c>
      <c r="C25" s="222" t="s">
        <v>534</v>
      </c>
      <c r="D25" s="223" cm="1">
        <f t="array" ref="D25">(MIN(IF(F25:H25&gt;0,F25:H25)))</f>
        <v>497</v>
      </c>
      <c r="E25" s="218"/>
      <c r="F25" s="305">
        <v>664</v>
      </c>
      <c r="G25" s="305">
        <v>801</v>
      </c>
      <c r="H25" s="305">
        <v>497</v>
      </c>
      <c r="I25" s="306"/>
      <c r="K25" s="190"/>
    </row>
    <row r="26" spans="2:15" ht="15.75" customHeight="1">
      <c r="B26" s="222" t="s">
        <v>506</v>
      </c>
      <c r="C26" s="222" t="s">
        <v>534</v>
      </c>
      <c r="D26" s="223" cm="1">
        <f t="array" ref="D26">(MIN(IF(F26:H26&gt;0,F26:H26)))</f>
        <v>1202</v>
      </c>
      <c r="E26" s="236"/>
      <c r="F26" s="305">
        <v>1446</v>
      </c>
      <c r="G26" s="309">
        <v>1498</v>
      </c>
      <c r="H26" s="305">
        <v>1202</v>
      </c>
      <c r="I26" s="306"/>
      <c r="K26" s="190"/>
    </row>
    <row r="27" spans="2:15" ht="15.75" customHeight="1">
      <c r="B27" s="222" t="s">
        <v>504</v>
      </c>
      <c r="C27" s="222" t="s">
        <v>534</v>
      </c>
      <c r="D27" s="223" cm="1">
        <f t="array" ref="D27">(MIN(IF(F27:H27&gt;0,F27:H27)))</f>
        <v>1207</v>
      </c>
      <c r="E27" s="236"/>
      <c r="F27" s="305">
        <v>1431</v>
      </c>
      <c r="G27" s="305">
        <v>1226</v>
      </c>
      <c r="H27" s="305">
        <v>1207</v>
      </c>
      <c r="I27" s="306"/>
      <c r="K27" s="190"/>
    </row>
    <row r="28" spans="2:15" ht="15.75" customHeight="1">
      <c r="B28" s="222" t="s">
        <v>505</v>
      </c>
      <c r="C28" s="222" t="s">
        <v>534</v>
      </c>
      <c r="D28" s="223" cm="1">
        <f t="array" ref="D28">(MIN(IF(F28:H28&gt;0,F28:H28)))</f>
        <v>698</v>
      </c>
      <c r="E28" s="236"/>
      <c r="F28" s="305">
        <v>698</v>
      </c>
      <c r="G28" s="305">
        <v>701</v>
      </c>
      <c r="H28" s="305"/>
      <c r="I28" s="306"/>
      <c r="K28" s="190"/>
    </row>
    <row r="29" spans="2:15" ht="15.75" customHeight="1">
      <c r="B29" s="813" t="s">
        <v>590</v>
      </c>
      <c r="C29" s="814"/>
      <c r="D29" s="267">
        <f>AVERAGEIF(D25:D28,"&gt;0",D25:D28)</f>
        <v>901</v>
      </c>
      <c r="F29" s="306"/>
      <c r="G29" s="306"/>
      <c r="H29" s="306"/>
      <c r="I29" s="306"/>
      <c r="K29" s="190"/>
    </row>
    <row r="30" spans="2:15" ht="15.75" customHeight="1">
      <c r="B30" s="218"/>
      <c r="C30" s="219"/>
      <c r="D30" s="219"/>
      <c r="F30" s="306"/>
      <c r="G30" s="306"/>
      <c r="H30" s="306"/>
      <c r="I30" s="306"/>
      <c r="K30" s="190"/>
    </row>
    <row r="31" spans="2:15" ht="15.75" customHeight="1">
      <c r="B31" s="221" t="s">
        <v>497</v>
      </c>
      <c r="C31" s="221" t="s">
        <v>499</v>
      </c>
      <c r="D31" s="221" t="s">
        <v>498</v>
      </c>
      <c r="E31" s="218"/>
      <c r="F31" s="308" t="s">
        <v>500</v>
      </c>
      <c r="G31" s="308" t="s">
        <v>501</v>
      </c>
      <c r="H31" s="308" t="s">
        <v>502</v>
      </c>
      <c r="I31" s="307"/>
      <c r="J31" s="187"/>
      <c r="K31" s="187"/>
      <c r="L31" s="187"/>
      <c r="M31" s="187"/>
      <c r="N31" s="187"/>
      <c r="O31" s="187"/>
    </row>
    <row r="32" spans="2:15" ht="15.75" customHeight="1">
      <c r="B32" s="222" t="s">
        <v>503</v>
      </c>
      <c r="C32" s="222" t="s">
        <v>511</v>
      </c>
      <c r="D32" s="223" cm="1">
        <f t="array" ref="D32">(MIN(IF(F32:H32&gt;0,F32:H32)))</f>
        <v>621</v>
      </c>
      <c r="E32" s="218"/>
      <c r="F32" s="305">
        <v>621</v>
      </c>
      <c r="G32" s="305">
        <v>714</v>
      </c>
      <c r="H32" s="305">
        <v>659</v>
      </c>
      <c r="I32" s="306"/>
      <c r="K32" s="190"/>
    </row>
    <row r="33" spans="2:15" ht="15.75" customHeight="1">
      <c r="B33" s="222" t="s">
        <v>506</v>
      </c>
      <c r="C33" s="222" t="s">
        <v>511</v>
      </c>
      <c r="D33" s="223" cm="1">
        <f t="array" ref="D33">(MIN(IF(F33:H33&gt;0,F33:H33)))</f>
        <v>973</v>
      </c>
      <c r="E33" s="236"/>
      <c r="F33" s="305">
        <v>973</v>
      </c>
      <c r="G33" s="309">
        <v>1486</v>
      </c>
      <c r="H33" s="305">
        <v>1066</v>
      </c>
      <c r="I33" s="306"/>
      <c r="K33" s="190"/>
    </row>
    <row r="34" spans="2:15" ht="15.75" customHeight="1">
      <c r="B34" s="222" t="s">
        <v>504</v>
      </c>
      <c r="C34" s="222" t="s">
        <v>511</v>
      </c>
      <c r="D34" s="223" cm="1">
        <f t="array" ref="D34">(MIN(IF(F34:H34&gt;0,F34:H34)))</f>
        <v>1125</v>
      </c>
      <c r="E34" s="236"/>
      <c r="F34" s="305">
        <v>1916</v>
      </c>
      <c r="G34" s="305">
        <v>1125</v>
      </c>
      <c r="H34" s="305">
        <v>1125</v>
      </c>
      <c r="I34" s="306"/>
      <c r="K34" s="190"/>
    </row>
    <row r="35" spans="2:15" ht="15.75" customHeight="1">
      <c r="B35" s="222" t="s">
        <v>716</v>
      </c>
      <c r="C35" s="222" t="s">
        <v>511</v>
      </c>
      <c r="D35" s="223" cm="1">
        <f t="array" ref="D35">(MIN(IF(F35:H35&gt;0,F35:H35)))</f>
        <v>0</v>
      </c>
      <c r="E35" s="236"/>
      <c r="F35" s="305">
        <v>0</v>
      </c>
      <c r="G35" s="305">
        <v>0</v>
      </c>
      <c r="H35" s="305">
        <v>0</v>
      </c>
      <c r="I35" s="306"/>
      <c r="K35" s="190"/>
    </row>
    <row r="36" spans="2:15" ht="15.75" customHeight="1">
      <c r="B36" s="813" t="s">
        <v>590</v>
      </c>
      <c r="C36" s="814"/>
      <c r="D36" s="267">
        <f>AVERAGEIF(D32:D35,"&gt;0",D32:D35)</f>
        <v>906.33333333333337</v>
      </c>
      <c r="F36" s="306"/>
      <c r="G36" s="306"/>
      <c r="H36" s="306"/>
      <c r="I36" s="306"/>
      <c r="K36" s="190"/>
    </row>
    <row r="37" spans="2:15" ht="15.75" customHeight="1">
      <c r="B37" s="218"/>
      <c r="C37" s="219"/>
      <c r="D37" s="219"/>
      <c r="F37" s="306"/>
      <c r="G37" s="306"/>
      <c r="H37" s="306"/>
      <c r="I37" s="306"/>
      <c r="K37" s="190"/>
    </row>
    <row r="38" spans="2:15" ht="15.75" customHeight="1">
      <c r="B38" s="221" t="s">
        <v>497</v>
      </c>
      <c r="C38" s="221" t="s">
        <v>499</v>
      </c>
      <c r="D38" s="221" t="s">
        <v>498</v>
      </c>
      <c r="E38" s="218"/>
      <c r="F38" s="308" t="s">
        <v>500</v>
      </c>
      <c r="G38" s="308" t="s">
        <v>501</v>
      </c>
      <c r="H38" s="308" t="s">
        <v>502</v>
      </c>
      <c r="I38" s="307"/>
      <c r="J38" s="187"/>
      <c r="K38" s="187"/>
      <c r="L38" s="187"/>
      <c r="M38" s="187"/>
      <c r="N38" s="187"/>
      <c r="O38" s="187"/>
    </row>
    <row r="39" spans="2:15" ht="15.75" customHeight="1">
      <c r="B39" s="222" t="s">
        <v>689</v>
      </c>
      <c r="C39" s="222" t="s">
        <v>508</v>
      </c>
      <c r="D39" s="223" cm="1">
        <f t="array" ref="D39">(MIN(IF(F39:H39&gt;0,F39:H39)))</f>
        <v>0</v>
      </c>
      <c r="E39" s="218"/>
      <c r="F39" s="305">
        <v>0</v>
      </c>
      <c r="G39" s="305">
        <v>0</v>
      </c>
      <c r="H39" s="305">
        <v>0</v>
      </c>
      <c r="I39" s="306"/>
      <c r="K39" s="190"/>
    </row>
    <row r="40" spans="2:15" ht="15.75" customHeight="1">
      <c r="B40" s="222" t="s">
        <v>506</v>
      </c>
      <c r="C40" s="222" t="s">
        <v>508</v>
      </c>
      <c r="D40" s="223" cm="1">
        <f t="array" ref="D40">(MIN(IF(F40:H40&gt;0,F40:H40)))</f>
        <v>590</v>
      </c>
      <c r="E40" s="236"/>
      <c r="F40" s="305">
        <v>590</v>
      </c>
      <c r="G40" s="309">
        <v>738</v>
      </c>
      <c r="H40" s="305">
        <v>728</v>
      </c>
      <c r="I40" s="306"/>
      <c r="K40" s="190"/>
    </row>
    <row r="41" spans="2:15" ht="15.75" customHeight="1">
      <c r="B41" s="222" t="s">
        <v>504</v>
      </c>
      <c r="C41" s="222" t="s">
        <v>508</v>
      </c>
      <c r="D41" s="223" cm="1">
        <f t="array" ref="D41">(MIN(IF(F41:H41&gt;0,F41:H41)))</f>
        <v>664</v>
      </c>
      <c r="E41" s="236"/>
      <c r="F41" s="305">
        <v>795</v>
      </c>
      <c r="G41" s="305">
        <v>923</v>
      </c>
      <c r="H41" s="305">
        <v>664</v>
      </c>
      <c r="I41" s="306"/>
      <c r="K41" s="190"/>
    </row>
    <row r="42" spans="2:15" ht="15.75" customHeight="1">
      <c r="B42" s="222" t="s">
        <v>505</v>
      </c>
      <c r="C42" s="222" t="s">
        <v>508</v>
      </c>
      <c r="D42" s="223" cm="1">
        <f t="array" ref="D42">(MIN(IF(F42:H42&gt;0,F42:H42)))</f>
        <v>621</v>
      </c>
      <c r="E42" s="236"/>
      <c r="F42" s="305">
        <v>621</v>
      </c>
      <c r="G42" s="305">
        <v>797</v>
      </c>
      <c r="H42" s="305">
        <v>622</v>
      </c>
      <c r="I42" s="306"/>
      <c r="K42" s="190"/>
    </row>
    <row r="43" spans="2:15" ht="15.75" customHeight="1">
      <c r="B43" s="813" t="s">
        <v>590</v>
      </c>
      <c r="C43" s="814"/>
      <c r="D43" s="267">
        <f>AVERAGEIF(D39:D42,"&gt;0",D39:D42)</f>
        <v>625</v>
      </c>
      <c r="F43" s="306"/>
      <c r="G43" s="306"/>
      <c r="H43" s="306"/>
      <c r="I43" s="306"/>
      <c r="K43" s="190"/>
    </row>
    <row r="44" spans="2:15" ht="15.75" customHeight="1">
      <c r="B44" s="218"/>
      <c r="C44" s="219"/>
      <c r="D44" s="219"/>
      <c r="K44" s="190"/>
    </row>
    <row r="45" spans="2:15" ht="15.75" customHeight="1">
      <c r="B45" s="815" t="s">
        <v>590</v>
      </c>
      <c r="C45" s="815"/>
      <c r="D45" s="304">
        <f>AVERAGE(D15,D22,D29,D36,D43)</f>
        <v>851</v>
      </c>
      <c r="K45" s="190"/>
    </row>
    <row r="46" spans="2:15" ht="15.75" customHeight="1">
      <c r="B46" s="218"/>
      <c r="C46" s="219"/>
      <c r="D46" s="219"/>
      <c r="K46" s="190"/>
    </row>
    <row r="47" spans="2:15" ht="15.75" customHeight="1" thickBot="1">
      <c r="B47" s="266" t="s">
        <v>715</v>
      </c>
      <c r="C47" s="265"/>
      <c r="D47" s="265"/>
      <c r="E47" s="265"/>
      <c r="F47" s="265"/>
      <c r="G47" s="265"/>
      <c r="H47" s="265"/>
      <c r="K47" s="190"/>
    </row>
    <row r="48" spans="2:15" ht="15.75" customHeight="1" thickTop="1">
      <c r="K48" s="190"/>
    </row>
    <row r="49" spans="2:11" ht="15.75" customHeight="1">
      <c r="B49" s="221" t="s">
        <v>497</v>
      </c>
      <c r="C49" s="221" t="s">
        <v>499</v>
      </c>
      <c r="D49" s="221" t="s">
        <v>498</v>
      </c>
    </row>
    <row r="50" spans="2:11" ht="15.75" customHeight="1">
      <c r="B50" s="222" t="str">
        <f>B32</f>
        <v xml:space="preserve">SP </v>
      </c>
      <c r="C50" s="222" t="str">
        <f t="shared" ref="C50:D50" si="0">C32</f>
        <v>Brasília</v>
      </c>
      <c r="D50" s="222">
        <f t="shared" si="0"/>
        <v>621</v>
      </c>
    </row>
    <row r="51" spans="2:11" ht="15.75" customHeight="1">
      <c r="B51" s="222" t="str">
        <f t="shared" ref="B51:D51" si="1">B33</f>
        <v>RJ</v>
      </c>
      <c r="C51" s="222" t="str">
        <f t="shared" si="1"/>
        <v>Brasília</v>
      </c>
      <c r="D51" s="222">
        <f t="shared" si="1"/>
        <v>973</v>
      </c>
    </row>
    <row r="52" spans="2:11" ht="15.75" customHeight="1">
      <c r="B52" s="222" t="str">
        <f t="shared" ref="B52:D52" si="2">B34</f>
        <v>MG</v>
      </c>
      <c r="C52" s="222" t="str">
        <f t="shared" si="2"/>
        <v>Brasília</v>
      </c>
      <c r="D52" s="222">
        <f t="shared" si="2"/>
        <v>1125</v>
      </c>
    </row>
    <row r="53" spans="2:11" ht="15.75" customHeight="1">
      <c r="B53" s="222" t="str">
        <f t="shared" ref="B53:D53" si="3">B35</f>
        <v>BSB</v>
      </c>
      <c r="C53" s="222" t="str">
        <f t="shared" si="3"/>
        <v>Brasília</v>
      </c>
      <c r="D53" s="222">
        <f t="shared" si="3"/>
        <v>0</v>
      </c>
    </row>
    <row r="54" spans="2:11" ht="15.75" customHeight="1">
      <c r="B54" s="809" t="s">
        <v>590</v>
      </c>
      <c r="C54" s="810"/>
      <c r="D54" s="303">
        <f>AVERAGEIF(D50:D53,"&gt;0",D50:D53)</f>
        <v>906.33333333333337</v>
      </c>
    </row>
    <row r="55" spans="2:11" ht="15.75" customHeight="1">
      <c r="B55" s="300"/>
      <c r="C55" s="300"/>
      <c r="D55" s="301"/>
    </row>
    <row r="56" spans="2:11" ht="15.75" customHeight="1" thickBot="1">
      <c r="B56" s="319" t="s">
        <v>623</v>
      </c>
      <c r="C56" s="320"/>
      <c r="D56" s="320"/>
      <c r="E56" s="320"/>
      <c r="F56" s="320"/>
      <c r="G56" s="320"/>
      <c r="H56" s="320"/>
      <c r="K56" s="190"/>
    </row>
    <row r="57" spans="2:11" ht="15.75" customHeight="1" thickTop="1">
      <c r="B57" s="302"/>
      <c r="C57" s="302"/>
      <c r="D57" s="302"/>
      <c r="E57" s="302"/>
      <c r="F57" s="302"/>
      <c r="G57" s="302"/>
      <c r="H57" s="302"/>
      <c r="K57" s="190"/>
    </row>
    <row r="58" spans="2:11" ht="15.75" customHeight="1">
      <c r="B58" s="321" t="s">
        <v>497</v>
      </c>
      <c r="C58" s="321" t="s">
        <v>499</v>
      </c>
      <c r="D58" s="321" t="s">
        <v>498</v>
      </c>
      <c r="E58" s="302"/>
      <c r="F58" s="321" t="s">
        <v>500</v>
      </c>
      <c r="G58" s="321" t="s">
        <v>501</v>
      </c>
      <c r="H58" s="321" t="s">
        <v>502</v>
      </c>
    </row>
    <row r="59" spans="2:11" ht="15.75" customHeight="1">
      <c r="B59" s="322" t="str">
        <f t="shared" ref="B59:B62" si="4">B50</f>
        <v xml:space="preserve">SP </v>
      </c>
      <c r="C59" s="322" t="s">
        <v>507</v>
      </c>
      <c r="D59" s="323" cm="1">
        <f t="array" ref="D59">(MIN(IF(F59:H59&gt;0,F59:H59)))</f>
        <v>6841</v>
      </c>
      <c r="E59" s="302"/>
      <c r="F59" s="324">
        <v>6841</v>
      </c>
      <c r="G59" s="324">
        <v>9462</v>
      </c>
      <c r="H59" s="324">
        <v>6857</v>
      </c>
    </row>
    <row r="60" spans="2:11" ht="15.75" customHeight="1">
      <c r="B60" s="322" t="str">
        <f t="shared" si="4"/>
        <v>RJ</v>
      </c>
      <c r="C60" s="322" t="s">
        <v>507</v>
      </c>
      <c r="D60" s="323" cm="1">
        <f t="array" ref="D60">(MIN(IF(F60:H60&gt;0,F60:H60)))</f>
        <v>8085</v>
      </c>
      <c r="E60" s="302"/>
      <c r="F60" s="324">
        <v>8085</v>
      </c>
      <c r="G60" s="325">
        <v>8863</v>
      </c>
      <c r="H60" s="324">
        <v>8085</v>
      </c>
    </row>
    <row r="61" spans="2:11" ht="15.75" customHeight="1">
      <c r="B61" s="322" t="str">
        <f t="shared" si="4"/>
        <v>MG</v>
      </c>
      <c r="C61" s="322" t="s">
        <v>507</v>
      </c>
      <c r="D61" s="323" cm="1">
        <f t="array" ref="D61">(MIN(IF(F61:H61&gt;0,F61:H61)))</f>
        <v>8324</v>
      </c>
      <c r="E61" s="302"/>
      <c r="F61" s="324">
        <v>8324</v>
      </c>
      <c r="G61" s="324">
        <v>8324</v>
      </c>
      <c r="H61" s="324">
        <v>8906</v>
      </c>
    </row>
    <row r="62" spans="2:11" ht="15.75" customHeight="1">
      <c r="B62" s="322" t="str">
        <f t="shared" si="4"/>
        <v>BSB</v>
      </c>
      <c r="C62" s="322" t="s">
        <v>507</v>
      </c>
      <c r="D62" s="323" cm="1">
        <f t="array" ref="D62">(MIN(IF(F62:H62&gt;0,F62:H62)))</f>
        <v>8224</v>
      </c>
      <c r="E62" s="302"/>
      <c r="F62" s="324">
        <v>8224</v>
      </c>
      <c r="G62" s="324">
        <v>8224</v>
      </c>
      <c r="H62" s="324">
        <v>8753</v>
      </c>
    </row>
    <row r="63" spans="2:11" ht="15.75" customHeight="1">
      <c r="B63" s="811" t="s">
        <v>590</v>
      </c>
      <c r="C63" s="812"/>
      <c r="D63" s="326">
        <f>AVERAGEIF(D59:D62,"&gt;0",D59:D62)</f>
        <v>7868.5</v>
      </c>
      <c r="E63" s="302"/>
      <c r="F63" s="302"/>
      <c r="G63" s="302"/>
      <c r="H63" s="302"/>
    </row>
    <row r="64" spans="2:11">
      <c r="B64" s="302"/>
      <c r="C64" s="302"/>
      <c r="D64" s="302"/>
      <c r="E64" s="302"/>
      <c r="F64" s="302"/>
      <c r="G64" s="302"/>
      <c r="H64" s="302"/>
    </row>
  </sheetData>
  <mergeCells count="8">
    <mergeCell ref="B54:C54"/>
    <mergeCell ref="B63:C63"/>
    <mergeCell ref="B15:C15"/>
    <mergeCell ref="B22:C22"/>
    <mergeCell ref="B29:C29"/>
    <mergeCell ref="B36:C36"/>
    <mergeCell ref="B43:C43"/>
    <mergeCell ref="B45:C45"/>
  </mergeCells>
  <pageMargins left="0.511811024" right="0.511811024" top="0.78740157499999996" bottom="0.78740157499999996" header="0.31496062000000002" footer="0.31496062000000002"/>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297B1-D34E-4F1D-B26F-D7C1C94C0BE9}">
  <sheetPr>
    <tabColor rgb="FFFFC000"/>
  </sheetPr>
  <dimension ref="B2:X390"/>
  <sheetViews>
    <sheetView view="pageBreakPreview" zoomScale="70" zoomScaleNormal="100" zoomScaleSheetLayoutView="70" workbookViewId="0">
      <selection activeCell="L19" sqref="L19"/>
    </sheetView>
  </sheetViews>
  <sheetFormatPr defaultRowHeight="15"/>
  <cols>
    <col min="1" max="1" width="1.5703125" style="49" customWidth="1"/>
    <col min="2" max="16384" width="9.140625" style="49"/>
  </cols>
  <sheetData>
    <row r="2" spans="2:24" s="317" customFormat="1" ht="21">
      <c r="B2" s="316" t="s">
        <v>690</v>
      </c>
      <c r="C2" s="316"/>
      <c r="D2" s="316"/>
      <c r="E2" s="316"/>
      <c r="F2" s="316"/>
      <c r="G2" s="316"/>
      <c r="H2" s="316"/>
      <c r="I2" s="316"/>
      <c r="J2" s="316"/>
      <c r="K2" s="316"/>
      <c r="L2" s="316"/>
      <c r="M2" s="316"/>
      <c r="N2" s="316"/>
      <c r="O2" s="316"/>
      <c r="P2" s="316"/>
      <c r="Q2" s="316"/>
      <c r="R2" s="316"/>
      <c r="S2" s="316"/>
      <c r="T2" s="316"/>
      <c r="U2" s="316"/>
      <c r="V2" s="316"/>
      <c r="W2" s="316"/>
      <c r="X2" s="316"/>
    </row>
    <row r="3" spans="2:24" ht="22.5" customHeight="1">
      <c r="B3" s="318" t="s">
        <v>691</v>
      </c>
      <c r="C3" s="318"/>
      <c r="D3" s="318"/>
      <c r="E3" s="318"/>
      <c r="F3" s="318"/>
      <c r="G3" s="318"/>
      <c r="H3" s="318"/>
      <c r="I3" s="318"/>
      <c r="J3" s="318"/>
      <c r="K3" s="318"/>
      <c r="L3" s="318"/>
      <c r="M3" s="318"/>
      <c r="N3" s="318"/>
      <c r="O3" s="318"/>
      <c r="P3" s="318"/>
      <c r="Q3" s="318"/>
      <c r="R3" s="318"/>
      <c r="S3" s="318"/>
      <c r="T3" s="318"/>
      <c r="U3" s="318"/>
      <c r="V3" s="318"/>
      <c r="W3" s="318"/>
      <c r="X3" s="318"/>
    </row>
    <row r="21" spans="2:24">
      <c r="B21" s="318"/>
      <c r="C21" s="318"/>
      <c r="D21" s="318"/>
      <c r="E21" s="318"/>
      <c r="F21" s="318"/>
      <c r="G21" s="318"/>
      <c r="H21" s="318"/>
      <c r="I21" s="318"/>
      <c r="J21" s="318"/>
      <c r="K21" s="318"/>
      <c r="L21" s="318"/>
      <c r="M21" s="318"/>
      <c r="N21" s="318"/>
      <c r="O21" s="318"/>
      <c r="P21" s="318"/>
      <c r="Q21" s="318"/>
      <c r="R21" s="318"/>
      <c r="S21" s="318"/>
      <c r="T21" s="318"/>
      <c r="U21" s="318"/>
      <c r="V21" s="318"/>
      <c r="W21" s="318"/>
      <c r="X21" s="318"/>
    </row>
    <row r="22" spans="2:24" ht="22.5" customHeight="1">
      <c r="B22" s="318" t="s">
        <v>692</v>
      </c>
      <c r="C22" s="318"/>
      <c r="D22" s="318"/>
      <c r="E22" s="318"/>
      <c r="F22" s="318"/>
      <c r="G22" s="318"/>
      <c r="H22" s="318"/>
      <c r="I22" s="318"/>
      <c r="J22" s="318"/>
      <c r="K22" s="318"/>
      <c r="L22" s="318"/>
      <c r="M22" s="318"/>
      <c r="N22" s="318"/>
      <c r="O22" s="318"/>
      <c r="P22" s="318"/>
      <c r="Q22" s="318"/>
      <c r="R22" s="318"/>
      <c r="S22" s="318"/>
      <c r="T22" s="318"/>
      <c r="U22" s="318"/>
      <c r="V22" s="318"/>
      <c r="W22" s="318"/>
      <c r="X22" s="318"/>
    </row>
    <row r="45" spans="2:24" ht="22.5" customHeight="1">
      <c r="B45" s="88" t="s">
        <v>693</v>
      </c>
      <c r="C45" s="88"/>
      <c r="D45" s="88"/>
      <c r="E45" s="88"/>
      <c r="F45" s="88"/>
      <c r="G45" s="88"/>
      <c r="H45" s="88"/>
      <c r="I45" s="88"/>
      <c r="J45" s="88"/>
      <c r="K45" s="88"/>
      <c r="L45" s="88"/>
      <c r="M45" s="88"/>
      <c r="N45" s="88"/>
      <c r="O45" s="88"/>
      <c r="P45" s="88"/>
      <c r="Q45" s="88"/>
      <c r="R45" s="88"/>
      <c r="S45" s="88"/>
      <c r="T45" s="88"/>
      <c r="U45" s="88"/>
      <c r="V45" s="88"/>
      <c r="W45" s="88"/>
      <c r="X45" s="88"/>
    </row>
    <row r="73" spans="2:24" ht="22.5" customHeight="1">
      <c r="B73" s="88" t="s">
        <v>694</v>
      </c>
      <c r="C73" s="88"/>
      <c r="D73" s="88"/>
      <c r="E73" s="88"/>
      <c r="F73" s="88"/>
      <c r="G73" s="88"/>
      <c r="H73" s="88"/>
      <c r="I73" s="88"/>
      <c r="J73" s="88"/>
      <c r="K73" s="88"/>
      <c r="L73" s="88"/>
      <c r="M73" s="88"/>
      <c r="N73" s="88"/>
      <c r="O73" s="88"/>
      <c r="P73" s="88"/>
      <c r="Q73" s="88"/>
      <c r="R73" s="88"/>
      <c r="S73" s="88"/>
      <c r="T73" s="88"/>
      <c r="U73" s="88"/>
      <c r="V73" s="88"/>
      <c r="W73" s="88"/>
      <c r="X73" s="88"/>
    </row>
    <row r="89" spans="2:24" s="317" customFormat="1" ht="21">
      <c r="B89" s="316" t="s">
        <v>695</v>
      </c>
      <c r="C89" s="316"/>
      <c r="D89" s="316"/>
      <c r="E89" s="316"/>
      <c r="F89" s="316"/>
      <c r="G89" s="316"/>
      <c r="H89" s="316"/>
      <c r="I89" s="316"/>
      <c r="J89" s="316"/>
      <c r="K89" s="316"/>
      <c r="L89" s="316"/>
      <c r="M89" s="316"/>
      <c r="N89" s="316"/>
      <c r="O89" s="316"/>
      <c r="P89" s="316"/>
      <c r="Q89" s="316"/>
      <c r="R89" s="316"/>
      <c r="S89" s="316"/>
      <c r="T89" s="316"/>
      <c r="U89" s="316"/>
      <c r="V89" s="316"/>
      <c r="W89" s="316"/>
      <c r="X89" s="316"/>
    </row>
    <row r="90" spans="2:24" ht="22.5" customHeight="1">
      <c r="B90" s="318" t="s">
        <v>696</v>
      </c>
      <c r="C90" s="318"/>
      <c r="D90" s="318"/>
      <c r="E90" s="318"/>
      <c r="F90" s="318"/>
      <c r="G90" s="318"/>
      <c r="H90" s="318"/>
      <c r="I90" s="318"/>
      <c r="J90" s="318"/>
      <c r="K90" s="318"/>
      <c r="L90" s="318"/>
      <c r="M90" s="318"/>
      <c r="N90" s="318"/>
      <c r="O90" s="318"/>
      <c r="P90" s="318"/>
      <c r="Q90" s="318"/>
      <c r="R90" s="318"/>
      <c r="S90" s="318"/>
      <c r="T90" s="318"/>
      <c r="U90" s="318"/>
      <c r="V90" s="318"/>
      <c r="W90" s="318"/>
      <c r="X90" s="318"/>
    </row>
    <row r="114" spans="2:24" ht="22.5" customHeight="1">
      <c r="B114" s="88" t="s">
        <v>697</v>
      </c>
      <c r="C114" s="88"/>
      <c r="D114" s="88"/>
      <c r="E114" s="88"/>
      <c r="F114" s="88"/>
      <c r="G114" s="88"/>
      <c r="H114" s="88"/>
      <c r="I114" s="88"/>
      <c r="J114" s="88"/>
      <c r="K114" s="88"/>
      <c r="L114" s="88"/>
      <c r="M114" s="88"/>
      <c r="N114" s="88"/>
      <c r="O114" s="88"/>
      <c r="P114" s="88"/>
      <c r="Q114" s="88"/>
      <c r="R114" s="88"/>
      <c r="S114" s="88"/>
      <c r="T114" s="88"/>
      <c r="U114" s="88"/>
      <c r="V114" s="88"/>
      <c r="W114" s="88"/>
      <c r="X114" s="88"/>
    </row>
    <row r="142" spans="2:24" ht="22.5" customHeight="1">
      <c r="B142" s="88" t="s">
        <v>698</v>
      </c>
      <c r="C142" s="88"/>
      <c r="D142" s="88"/>
      <c r="E142" s="88"/>
      <c r="F142" s="88"/>
      <c r="G142" s="88"/>
      <c r="H142" s="88"/>
      <c r="I142" s="88"/>
      <c r="J142" s="88"/>
      <c r="K142" s="88"/>
      <c r="L142" s="88"/>
      <c r="M142" s="88"/>
      <c r="N142" s="88"/>
      <c r="O142" s="88"/>
      <c r="P142" s="88"/>
      <c r="Q142" s="88"/>
      <c r="R142" s="88"/>
      <c r="S142" s="88"/>
      <c r="T142" s="88"/>
      <c r="U142" s="88"/>
      <c r="V142" s="88"/>
      <c r="W142" s="88"/>
      <c r="X142" s="88"/>
    </row>
    <row r="164" spans="2:24" ht="22.5" customHeight="1">
      <c r="B164" s="88" t="s">
        <v>699</v>
      </c>
      <c r="C164" s="88"/>
      <c r="D164" s="88"/>
      <c r="E164" s="88"/>
      <c r="F164" s="88"/>
      <c r="G164" s="88"/>
      <c r="H164" s="88"/>
      <c r="I164" s="88"/>
      <c r="J164" s="88"/>
      <c r="K164" s="88"/>
      <c r="L164" s="88"/>
      <c r="M164" s="88"/>
      <c r="N164" s="88"/>
      <c r="O164" s="88"/>
      <c r="P164" s="88"/>
      <c r="Q164" s="88"/>
      <c r="R164" s="88"/>
      <c r="S164" s="88"/>
      <c r="T164" s="88"/>
      <c r="U164" s="88"/>
      <c r="V164" s="88"/>
      <c r="W164" s="88"/>
      <c r="X164" s="88"/>
    </row>
    <row r="179" spans="2:24" s="317" customFormat="1" ht="21">
      <c r="B179" s="316" t="s">
        <v>700</v>
      </c>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row>
    <row r="180" spans="2:24" ht="22.5" customHeight="1">
      <c r="B180" s="318" t="s">
        <v>701</v>
      </c>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row>
    <row r="200" spans="2:24" ht="22.5" customHeight="1">
      <c r="B200" s="88" t="s">
        <v>702</v>
      </c>
      <c r="C200" s="88"/>
      <c r="D200" s="88"/>
      <c r="E200" s="88"/>
      <c r="F200" s="88"/>
      <c r="G200" s="88"/>
      <c r="H200" s="88"/>
      <c r="I200" s="88"/>
      <c r="J200" s="88"/>
      <c r="K200" s="88"/>
      <c r="L200" s="88"/>
      <c r="M200" s="88"/>
      <c r="N200" s="88"/>
      <c r="O200" s="88"/>
      <c r="P200" s="88"/>
      <c r="Q200" s="88"/>
      <c r="R200" s="88"/>
      <c r="S200" s="88"/>
      <c r="T200" s="88"/>
      <c r="U200" s="88"/>
      <c r="V200" s="88"/>
      <c r="W200" s="88"/>
      <c r="X200" s="88"/>
    </row>
    <row r="221" spans="2:24" ht="22.5" customHeight="1">
      <c r="B221" s="88" t="s">
        <v>703</v>
      </c>
      <c r="C221" s="88"/>
      <c r="D221" s="88"/>
      <c r="E221" s="88"/>
      <c r="F221" s="88"/>
      <c r="G221" s="88"/>
      <c r="H221" s="88"/>
      <c r="I221" s="88"/>
      <c r="J221" s="88"/>
      <c r="K221" s="88"/>
      <c r="L221" s="88"/>
      <c r="M221" s="88"/>
      <c r="N221" s="88"/>
      <c r="O221" s="88"/>
      <c r="P221" s="88"/>
      <c r="Q221" s="88"/>
      <c r="R221" s="88"/>
      <c r="S221" s="88"/>
      <c r="T221" s="88"/>
      <c r="U221" s="88"/>
      <c r="V221" s="88"/>
      <c r="W221" s="88"/>
      <c r="X221" s="88"/>
    </row>
    <row r="237" spans="2:24" ht="22.5" customHeight="1">
      <c r="B237" s="88" t="s">
        <v>704</v>
      </c>
      <c r="C237" s="88"/>
      <c r="D237" s="88"/>
      <c r="E237" s="88"/>
      <c r="F237" s="88"/>
      <c r="G237" s="88"/>
      <c r="H237" s="88"/>
      <c r="I237" s="88"/>
      <c r="J237" s="88"/>
      <c r="K237" s="88"/>
      <c r="L237" s="88"/>
      <c r="M237" s="88"/>
      <c r="N237" s="88"/>
      <c r="O237" s="88"/>
      <c r="P237" s="88"/>
      <c r="Q237" s="88"/>
      <c r="R237" s="88"/>
      <c r="S237" s="88"/>
      <c r="T237" s="88"/>
      <c r="U237" s="88"/>
      <c r="V237" s="88"/>
      <c r="W237" s="88"/>
      <c r="X237" s="88"/>
    </row>
    <row r="260" spans="2:24" s="317" customFormat="1" ht="21">
      <c r="B260" s="316" t="s">
        <v>705</v>
      </c>
      <c r="C260" s="316"/>
      <c r="D260" s="316"/>
      <c r="E260" s="316"/>
      <c r="F260" s="316"/>
      <c r="G260" s="316"/>
      <c r="H260" s="316"/>
      <c r="I260" s="316"/>
      <c r="J260" s="316"/>
      <c r="K260" s="316"/>
      <c r="L260" s="316"/>
      <c r="M260" s="316"/>
      <c r="N260" s="316"/>
      <c r="O260" s="316"/>
      <c r="P260" s="316"/>
      <c r="Q260" s="316"/>
      <c r="R260" s="316"/>
      <c r="S260" s="316"/>
      <c r="T260" s="316"/>
      <c r="U260" s="316"/>
      <c r="V260" s="316"/>
      <c r="W260" s="316"/>
      <c r="X260" s="316"/>
    </row>
    <row r="261" spans="2:24" ht="22.5" customHeight="1">
      <c r="B261" s="88" t="s">
        <v>706</v>
      </c>
      <c r="C261" s="88"/>
      <c r="D261" s="88"/>
      <c r="E261" s="88"/>
      <c r="F261" s="88"/>
      <c r="G261" s="88"/>
      <c r="H261" s="88"/>
      <c r="I261" s="88"/>
      <c r="J261" s="88"/>
      <c r="K261" s="88"/>
      <c r="L261" s="88"/>
      <c r="M261" s="88"/>
      <c r="N261" s="88"/>
      <c r="O261" s="88"/>
      <c r="P261" s="88"/>
      <c r="Q261" s="88"/>
      <c r="R261" s="88"/>
      <c r="S261" s="88"/>
      <c r="T261" s="88"/>
      <c r="U261" s="88"/>
      <c r="V261" s="88"/>
      <c r="W261" s="88"/>
      <c r="X261" s="88"/>
    </row>
    <row r="277" spans="2:24" ht="22.5" customHeight="1">
      <c r="B277" s="88" t="s">
        <v>707</v>
      </c>
      <c r="C277" s="88"/>
      <c r="D277" s="88"/>
      <c r="E277" s="88"/>
      <c r="F277" s="88"/>
      <c r="G277" s="88"/>
      <c r="H277" s="88"/>
      <c r="I277" s="88"/>
      <c r="J277" s="88"/>
      <c r="K277" s="88"/>
      <c r="L277" s="88"/>
      <c r="M277" s="88"/>
      <c r="N277" s="88"/>
      <c r="O277" s="88"/>
      <c r="P277" s="88"/>
      <c r="Q277" s="88"/>
      <c r="R277" s="88"/>
      <c r="S277" s="88"/>
      <c r="T277" s="88"/>
      <c r="U277" s="88"/>
      <c r="V277" s="88"/>
      <c r="W277" s="88"/>
      <c r="X277" s="88"/>
    </row>
    <row r="295" spans="2:24" ht="22.5" customHeight="1">
      <c r="B295" s="88" t="s">
        <v>708</v>
      </c>
      <c r="C295" s="88"/>
      <c r="D295" s="88"/>
      <c r="E295" s="88"/>
      <c r="F295" s="88"/>
      <c r="G295" s="88"/>
      <c r="H295" s="88"/>
      <c r="I295" s="88"/>
      <c r="J295" s="88"/>
      <c r="K295" s="88"/>
      <c r="L295" s="88"/>
      <c r="M295" s="88"/>
      <c r="N295" s="88"/>
      <c r="O295" s="88"/>
      <c r="P295" s="88"/>
      <c r="Q295" s="88"/>
      <c r="R295" s="88"/>
      <c r="S295" s="88"/>
      <c r="T295" s="88"/>
      <c r="U295" s="88"/>
      <c r="V295" s="88"/>
      <c r="W295" s="88"/>
      <c r="X295" s="88"/>
    </row>
    <row r="309" spans="2:24" ht="22.5" customHeight="1">
      <c r="B309" s="88" t="s">
        <v>709</v>
      </c>
      <c r="C309" s="88"/>
      <c r="D309" s="88"/>
      <c r="E309" s="88"/>
      <c r="F309" s="88"/>
      <c r="G309" s="88"/>
      <c r="H309" s="88"/>
      <c r="I309" s="88"/>
      <c r="J309" s="88"/>
      <c r="K309" s="88"/>
      <c r="L309" s="88"/>
      <c r="M309" s="88"/>
      <c r="N309" s="88"/>
      <c r="O309" s="88"/>
      <c r="P309" s="88"/>
      <c r="Q309" s="88"/>
      <c r="R309" s="88"/>
      <c r="S309" s="88"/>
      <c r="T309" s="88"/>
      <c r="U309" s="88"/>
      <c r="V309" s="88"/>
      <c r="W309" s="88"/>
      <c r="X309" s="88"/>
    </row>
    <row r="334" spans="2:24" s="317" customFormat="1" ht="21">
      <c r="B334" s="316" t="s">
        <v>710</v>
      </c>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row>
    <row r="335" spans="2:24" ht="22.5" customHeight="1">
      <c r="B335" s="88" t="s">
        <v>711</v>
      </c>
      <c r="C335" s="88"/>
      <c r="D335" s="88"/>
      <c r="E335" s="88"/>
      <c r="F335" s="88"/>
      <c r="G335" s="88"/>
      <c r="H335" s="88"/>
      <c r="I335" s="88"/>
      <c r="J335" s="88"/>
      <c r="K335" s="88"/>
      <c r="L335" s="88"/>
      <c r="M335" s="88"/>
      <c r="N335" s="88"/>
      <c r="O335" s="88"/>
      <c r="P335" s="88"/>
      <c r="Q335" s="88"/>
      <c r="R335" s="88"/>
      <c r="S335" s="88"/>
      <c r="T335" s="88"/>
      <c r="U335" s="88"/>
      <c r="V335" s="88"/>
      <c r="W335" s="88"/>
      <c r="X335" s="88"/>
    </row>
    <row r="354" spans="2:24" ht="22.5" customHeight="1">
      <c r="B354" s="88" t="s">
        <v>712</v>
      </c>
      <c r="C354" s="88"/>
      <c r="D354" s="88"/>
      <c r="E354" s="88"/>
      <c r="F354" s="88"/>
      <c r="G354" s="88"/>
      <c r="H354" s="88"/>
      <c r="I354" s="88"/>
      <c r="J354" s="88"/>
      <c r="K354" s="88"/>
      <c r="L354" s="88"/>
      <c r="M354" s="88"/>
      <c r="N354" s="88"/>
      <c r="O354" s="88"/>
      <c r="P354" s="88"/>
      <c r="Q354" s="88"/>
      <c r="R354" s="88"/>
      <c r="S354" s="88"/>
      <c r="T354" s="88"/>
      <c r="U354" s="88"/>
      <c r="V354" s="88"/>
      <c r="W354" s="88"/>
      <c r="X354" s="88"/>
    </row>
    <row r="373" spans="2:24" ht="22.5" customHeight="1">
      <c r="B373" s="88" t="s">
        <v>713</v>
      </c>
      <c r="C373" s="88"/>
      <c r="D373" s="88"/>
      <c r="E373" s="88"/>
      <c r="F373" s="88"/>
      <c r="G373" s="88"/>
      <c r="H373" s="88"/>
      <c r="I373" s="88"/>
      <c r="J373" s="88"/>
      <c r="K373" s="88"/>
      <c r="L373" s="88"/>
      <c r="M373" s="88"/>
      <c r="N373" s="88"/>
      <c r="O373" s="88"/>
      <c r="P373" s="88"/>
      <c r="Q373" s="88"/>
      <c r="R373" s="88"/>
      <c r="S373" s="88"/>
      <c r="T373" s="88"/>
      <c r="U373" s="88"/>
      <c r="V373" s="88"/>
      <c r="W373" s="88"/>
      <c r="X373" s="88"/>
    </row>
    <row r="390" spans="2:24" ht="22.5" customHeight="1">
      <c r="B390" s="88" t="s">
        <v>714</v>
      </c>
      <c r="C390" s="88"/>
      <c r="D390" s="88"/>
      <c r="E390" s="88"/>
      <c r="F390" s="88"/>
      <c r="G390" s="88"/>
      <c r="H390" s="88"/>
      <c r="I390" s="88"/>
      <c r="J390" s="88"/>
      <c r="K390" s="88"/>
      <c r="L390" s="88"/>
      <c r="M390" s="88"/>
      <c r="N390" s="88"/>
      <c r="O390" s="88"/>
      <c r="P390" s="88"/>
      <c r="Q390" s="88"/>
      <c r="R390" s="88"/>
      <c r="S390" s="88"/>
      <c r="T390" s="88"/>
      <c r="U390" s="88"/>
      <c r="V390" s="88"/>
      <c r="W390" s="88"/>
      <c r="X390" s="88"/>
    </row>
  </sheetData>
  <pageMargins left="0.51181102362204722" right="0.51181102362204722" top="0.78740157480314965" bottom="0.78740157480314965" header="0.31496062992125984" footer="0.31496062992125984"/>
  <pageSetup paperSize="9" scale="55" fitToHeight="7" orientation="landscape" r:id="rId1"/>
  <rowBreaks count="8" manualBreakCount="8">
    <brk id="44" max="16383" man="1"/>
    <brk id="88" max="16383" man="1"/>
    <brk id="141" max="16383" man="1"/>
    <brk id="178" max="16383" man="1"/>
    <brk id="220" max="16383" man="1"/>
    <brk id="259" max="16383" man="1"/>
    <brk id="308" max="16383" man="1"/>
    <brk id="353"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49756-34B7-498E-BF2D-2A0450F5DB66}">
  <sheetPr>
    <tabColor rgb="FF00B050"/>
  </sheetPr>
  <dimension ref="A1:N165"/>
  <sheetViews>
    <sheetView workbookViewId="0"/>
  </sheetViews>
  <sheetFormatPr defaultRowHeight="15"/>
  <cols>
    <col min="2" max="2" width="8.7109375" customWidth="1"/>
    <col min="3" max="3" width="50.7109375" customWidth="1"/>
    <col min="4" max="4" width="11.7109375" customWidth="1"/>
    <col min="5" max="6" width="12.7109375" customWidth="1"/>
    <col min="7" max="7" width="13.7109375" customWidth="1"/>
    <col min="8" max="8" width="11.7109375" customWidth="1"/>
    <col min="9" max="9" width="12.7109375" customWidth="1"/>
    <col min="10" max="10" width="14.7109375" customWidth="1"/>
  </cols>
  <sheetData>
    <row r="1" spans="1:14" ht="15.75" thickBot="1">
      <c r="A1" s="123"/>
      <c r="B1" t="s">
        <v>342</v>
      </c>
      <c r="E1" t="s">
        <v>343</v>
      </c>
      <c r="G1" t="s">
        <v>344</v>
      </c>
      <c r="H1" t="s">
        <v>344</v>
      </c>
      <c r="J1" t="s">
        <v>345</v>
      </c>
      <c r="L1">
        <f>Dados!C5</f>
        <v>4360</v>
      </c>
      <c r="M1" t="s">
        <v>422</v>
      </c>
    </row>
    <row r="2" spans="1:14" ht="16.5" thickTop="1">
      <c r="A2" s="123"/>
      <c r="B2" s="133" t="s">
        <v>346</v>
      </c>
      <c r="C2" s="134"/>
      <c r="D2" s="134"/>
      <c r="E2" s="135" t="s">
        <v>347</v>
      </c>
      <c r="F2" s="134" t="s">
        <v>348</v>
      </c>
      <c r="G2" s="136"/>
      <c r="H2" s="137"/>
      <c r="I2" s="134"/>
      <c r="J2" s="134"/>
      <c r="L2">
        <v>182.49</v>
      </c>
      <c r="M2" t="s">
        <v>424</v>
      </c>
    </row>
    <row r="3" spans="1:14">
      <c r="A3" s="123"/>
      <c r="B3" s="138" t="s">
        <v>349</v>
      </c>
      <c r="C3" s="139"/>
      <c r="D3" s="139"/>
      <c r="E3" s="138" t="s">
        <v>350</v>
      </c>
      <c r="F3" s="138"/>
      <c r="G3" s="139"/>
      <c r="H3" s="139"/>
      <c r="I3" s="139"/>
      <c r="J3" s="139"/>
    </row>
    <row r="4" spans="1:14">
      <c r="A4" s="123"/>
      <c r="B4" s="138" t="s">
        <v>351</v>
      </c>
      <c r="C4" s="139" t="s">
        <v>352</v>
      </c>
      <c r="D4" s="139"/>
      <c r="E4" s="138"/>
      <c r="F4" s="140"/>
      <c r="G4" s="139"/>
      <c r="H4" s="139"/>
      <c r="I4" s="139"/>
      <c r="J4" s="139"/>
    </row>
    <row r="5" spans="1:14" ht="15" customHeight="1">
      <c r="A5" s="123"/>
      <c r="B5" s="138" t="s">
        <v>353</v>
      </c>
      <c r="C5" s="816"/>
      <c r="D5" s="816" t="s">
        <v>354</v>
      </c>
      <c r="E5" s="816" t="s">
        <v>355</v>
      </c>
      <c r="F5" s="816"/>
      <c r="G5" s="816" t="s">
        <v>356</v>
      </c>
      <c r="H5" s="139"/>
      <c r="I5" s="139"/>
      <c r="J5" s="139" t="s">
        <v>357</v>
      </c>
      <c r="K5" s="166"/>
    </row>
    <row r="6" spans="1:14">
      <c r="A6" s="123"/>
      <c r="B6" s="817"/>
      <c r="C6" s="818"/>
      <c r="D6" s="821"/>
      <c r="E6" s="822" t="s">
        <v>358</v>
      </c>
      <c r="F6" s="818" t="s">
        <v>359</v>
      </c>
      <c r="G6" s="822" t="s">
        <v>307</v>
      </c>
      <c r="H6" s="818" t="s">
        <v>269</v>
      </c>
      <c r="I6" s="141"/>
      <c r="J6" s="142" t="s">
        <v>360</v>
      </c>
      <c r="K6" s="166"/>
    </row>
    <row r="7" spans="1:14">
      <c r="A7" s="123"/>
      <c r="B7" s="819" t="s">
        <v>295</v>
      </c>
      <c r="C7" s="820" t="s">
        <v>296</v>
      </c>
      <c r="D7" s="820">
        <v>11</v>
      </c>
      <c r="E7" s="144">
        <v>1</v>
      </c>
      <c r="F7" s="144">
        <v>0</v>
      </c>
      <c r="G7" s="144">
        <v>1.4102999999999999</v>
      </c>
      <c r="H7" s="144">
        <v>0.92820000000000003</v>
      </c>
      <c r="I7" s="143"/>
      <c r="J7" s="145">
        <v>15.513299999999999</v>
      </c>
      <c r="K7" s="166"/>
    </row>
    <row r="8" spans="1:14" ht="25.5">
      <c r="A8" s="123"/>
      <c r="B8" s="146" t="s">
        <v>297</v>
      </c>
      <c r="C8" s="147" t="s">
        <v>298</v>
      </c>
      <c r="D8" s="148">
        <v>3.5</v>
      </c>
      <c r="E8" s="149">
        <v>1</v>
      </c>
      <c r="F8" s="149">
        <v>0</v>
      </c>
      <c r="G8" s="150">
        <v>0.94610000000000005</v>
      </c>
      <c r="H8" s="150">
        <v>0.62270000000000003</v>
      </c>
      <c r="I8" s="139"/>
      <c r="J8" s="150">
        <v>3.3113999999999999</v>
      </c>
      <c r="K8" s="166"/>
    </row>
    <row r="9" spans="1:14">
      <c r="A9" s="123"/>
      <c r="B9" s="146" t="s">
        <v>361</v>
      </c>
      <c r="C9" s="147" t="s">
        <v>362</v>
      </c>
      <c r="D9" s="148">
        <v>7</v>
      </c>
      <c r="E9" s="149">
        <v>1</v>
      </c>
      <c r="F9" s="149">
        <v>0</v>
      </c>
      <c r="G9" s="150">
        <v>0.37390000000000001</v>
      </c>
      <c r="H9" s="150">
        <v>0.24609999999999999</v>
      </c>
      <c r="I9" s="139"/>
      <c r="J9" s="150">
        <v>2.6173000000000002</v>
      </c>
      <c r="K9" s="166"/>
    </row>
    <row r="10" spans="1:14">
      <c r="A10" s="123"/>
      <c r="B10" s="139"/>
      <c r="C10" s="139"/>
      <c r="D10" s="148"/>
      <c r="E10" s="139"/>
      <c r="F10" s="139"/>
      <c r="G10" s="139"/>
      <c r="H10" s="139"/>
      <c r="I10" s="151" t="s">
        <v>363</v>
      </c>
      <c r="J10" s="150">
        <v>21.442</v>
      </c>
      <c r="K10" s="166"/>
    </row>
    <row r="11" spans="1:14">
      <c r="A11" s="123"/>
      <c r="B11" s="152" t="s">
        <v>364</v>
      </c>
      <c r="C11" s="153"/>
      <c r="D11" s="144" t="s">
        <v>354</v>
      </c>
      <c r="E11" s="144" t="s">
        <v>365</v>
      </c>
      <c r="F11" s="153"/>
      <c r="G11" s="144" t="s">
        <v>356</v>
      </c>
      <c r="H11" s="153"/>
      <c r="I11" s="153"/>
      <c r="J11" s="154" t="s">
        <v>366</v>
      </c>
      <c r="K11" s="166"/>
    </row>
    <row r="12" spans="1:14">
      <c r="A12" s="123"/>
      <c r="B12" s="155" t="s">
        <v>367</v>
      </c>
      <c r="C12" s="147" t="s">
        <v>368</v>
      </c>
      <c r="D12" s="156">
        <v>1.5</v>
      </c>
      <c r="E12" s="146" t="s">
        <v>316</v>
      </c>
      <c r="F12" s="139"/>
      <c r="G12" s="150">
        <v>164.6233</v>
      </c>
      <c r="H12" s="139"/>
      <c r="I12" s="139"/>
      <c r="J12" s="150">
        <v>246.935</v>
      </c>
      <c r="K12" s="166"/>
    </row>
    <row r="13" spans="1:14">
      <c r="A13" s="123"/>
      <c r="B13" s="226" t="s">
        <v>369</v>
      </c>
      <c r="C13" s="227" t="s">
        <v>370</v>
      </c>
      <c r="D13" s="228">
        <v>2</v>
      </c>
      <c r="E13" s="229" t="s">
        <v>316</v>
      </c>
      <c r="F13" s="230"/>
      <c r="G13" s="231">
        <v>138.53210000000001</v>
      </c>
      <c r="H13" s="230"/>
      <c r="I13" s="230"/>
      <c r="J13" s="231">
        <v>277.06420000000003</v>
      </c>
      <c r="K13" s="232"/>
      <c r="L13" s="233">
        <f>D13*$L$1</f>
        <v>8720</v>
      </c>
      <c r="M13" s="233" t="s">
        <v>423</v>
      </c>
      <c r="N13" s="233">
        <f>L13/'Cronograma'!$D$6/$L$2</f>
        <v>6.8262057412147827</v>
      </c>
    </row>
    <row r="14" spans="1:14">
      <c r="A14" s="123"/>
      <c r="B14" s="226" t="s">
        <v>371</v>
      </c>
      <c r="C14" s="227" t="s">
        <v>372</v>
      </c>
      <c r="D14" s="228">
        <v>2</v>
      </c>
      <c r="E14" s="229" t="s">
        <v>316</v>
      </c>
      <c r="F14" s="230"/>
      <c r="G14" s="231">
        <v>106.15779999999999</v>
      </c>
      <c r="H14" s="230"/>
      <c r="I14" s="230"/>
      <c r="J14" s="231">
        <v>212.31559999999999</v>
      </c>
      <c r="K14" s="232"/>
      <c r="L14" s="233">
        <f t="shared" ref="L14:L15" si="0">D14*$L$1</f>
        <v>8720</v>
      </c>
      <c r="M14" s="233" t="s">
        <v>423</v>
      </c>
      <c r="N14" s="233">
        <f>L14/'Cronograma'!$D$6/$L$2</f>
        <v>6.8262057412147827</v>
      </c>
    </row>
    <row r="15" spans="1:14">
      <c r="A15" s="123"/>
      <c r="B15" s="226" t="s">
        <v>373</v>
      </c>
      <c r="C15" s="227" t="s">
        <v>374</v>
      </c>
      <c r="D15" s="228">
        <v>2</v>
      </c>
      <c r="E15" s="229" t="s">
        <v>316</v>
      </c>
      <c r="F15" s="230"/>
      <c r="G15" s="231">
        <v>94.805499999999995</v>
      </c>
      <c r="H15" s="230"/>
      <c r="I15" s="230"/>
      <c r="J15" s="231">
        <v>189.61099999999999</v>
      </c>
      <c r="K15" s="232"/>
      <c r="L15" s="233">
        <f t="shared" si="0"/>
        <v>8720</v>
      </c>
      <c r="M15" s="233" t="s">
        <v>423</v>
      </c>
      <c r="N15" s="233">
        <f>L15/'Cronograma'!$D$6/$L$2</f>
        <v>6.8262057412147827</v>
      </c>
    </row>
    <row r="16" spans="1:14">
      <c r="A16" s="123"/>
      <c r="B16" s="155" t="s">
        <v>375</v>
      </c>
      <c r="C16" s="147" t="s">
        <v>376</v>
      </c>
      <c r="D16" s="156">
        <v>1.5</v>
      </c>
      <c r="E16" s="146" t="s">
        <v>316</v>
      </c>
      <c r="F16" s="139"/>
      <c r="G16" s="150">
        <v>94.805499999999995</v>
      </c>
      <c r="H16" s="139"/>
      <c r="I16" s="139"/>
      <c r="J16" s="150">
        <v>142.20830000000001</v>
      </c>
      <c r="K16" s="166"/>
    </row>
    <row r="17" spans="1:11">
      <c r="A17" s="123"/>
      <c r="B17" s="155" t="s">
        <v>377</v>
      </c>
      <c r="C17" s="147" t="s">
        <v>378</v>
      </c>
      <c r="D17" s="156">
        <v>2</v>
      </c>
      <c r="E17" s="146" t="s">
        <v>316</v>
      </c>
      <c r="F17" s="139"/>
      <c r="G17" s="150">
        <v>66.427899999999994</v>
      </c>
      <c r="H17" s="139"/>
      <c r="I17" s="139"/>
      <c r="J17" s="150">
        <v>132.85579999999999</v>
      </c>
      <c r="K17" s="166"/>
    </row>
    <row r="18" spans="1:11">
      <c r="A18" s="123"/>
      <c r="B18" s="155" t="s">
        <v>379</v>
      </c>
      <c r="C18" s="147" t="s">
        <v>380</v>
      </c>
      <c r="D18" s="156">
        <v>1.75</v>
      </c>
      <c r="E18" s="146" t="s">
        <v>316</v>
      </c>
      <c r="F18" s="139"/>
      <c r="G18" s="150">
        <v>56.192700000000002</v>
      </c>
      <c r="H18" s="139"/>
      <c r="I18" s="139"/>
      <c r="J18" s="150">
        <v>98.337199999999996</v>
      </c>
      <c r="K18" s="166"/>
    </row>
    <row r="19" spans="1:11">
      <c r="A19" s="123"/>
      <c r="B19" s="155" t="s">
        <v>381</v>
      </c>
      <c r="C19" s="147" t="s">
        <v>382</v>
      </c>
      <c r="D19" s="156">
        <v>1.75</v>
      </c>
      <c r="E19" s="146" t="s">
        <v>316</v>
      </c>
      <c r="F19" s="139"/>
      <c r="G19" s="150">
        <v>44.363</v>
      </c>
      <c r="H19" s="139"/>
      <c r="I19" s="139"/>
      <c r="J19" s="150">
        <v>77.635300000000001</v>
      </c>
      <c r="K19" s="166"/>
    </row>
    <row r="20" spans="1:11">
      <c r="A20" s="123"/>
      <c r="B20" s="155"/>
      <c r="C20" s="147"/>
      <c r="D20" s="156"/>
      <c r="E20" s="146"/>
      <c r="F20" s="139"/>
      <c r="G20" s="150"/>
      <c r="H20" s="139"/>
      <c r="I20" s="139" t="s">
        <v>383</v>
      </c>
      <c r="J20" s="150">
        <v>1376.9623999999999</v>
      </c>
      <c r="K20" s="166"/>
    </row>
    <row r="21" spans="1:11">
      <c r="A21" s="123"/>
      <c r="B21" s="155"/>
      <c r="C21" s="147"/>
      <c r="D21" s="156"/>
      <c r="E21" s="146"/>
      <c r="F21" s="139"/>
      <c r="G21" s="150"/>
      <c r="H21" s="139"/>
      <c r="I21" s="139" t="s">
        <v>384</v>
      </c>
      <c r="J21" s="150">
        <v>1398.4043999999999</v>
      </c>
      <c r="K21" s="166"/>
    </row>
    <row r="22" spans="1:11">
      <c r="A22" s="123"/>
      <c r="B22" s="139"/>
      <c r="C22" s="139"/>
      <c r="D22" s="139"/>
      <c r="E22" s="139"/>
      <c r="F22" s="139"/>
      <c r="G22" s="139"/>
      <c r="H22" s="139"/>
      <c r="I22" s="151" t="s">
        <v>385</v>
      </c>
      <c r="J22" s="150" t="s">
        <v>386</v>
      </c>
      <c r="K22" s="166"/>
    </row>
    <row r="23" spans="1:11">
      <c r="A23" s="123"/>
      <c r="B23" s="139"/>
      <c r="C23" s="139"/>
      <c r="D23" s="139"/>
      <c r="E23" s="139"/>
      <c r="F23" s="139"/>
      <c r="G23" s="139"/>
      <c r="H23" s="139"/>
      <c r="I23" s="151" t="s">
        <v>387</v>
      </c>
      <c r="J23" s="157">
        <v>1398.4043999999999</v>
      </c>
      <c r="K23" s="166"/>
    </row>
    <row r="24" spans="1:11">
      <c r="A24" s="123"/>
      <c r="B24" s="141"/>
      <c r="C24" s="141"/>
      <c r="D24" s="141"/>
      <c r="E24" s="141"/>
      <c r="F24" s="141"/>
      <c r="G24" s="141"/>
      <c r="H24" s="141"/>
      <c r="I24" s="158" t="s">
        <v>388</v>
      </c>
      <c r="J24" s="159" t="s">
        <v>265</v>
      </c>
      <c r="K24" s="166"/>
    </row>
    <row r="25" spans="1:11">
      <c r="A25" s="123"/>
      <c r="B25" s="139"/>
      <c r="C25" s="139"/>
      <c r="D25" s="139"/>
      <c r="E25" s="139"/>
      <c r="F25" s="139"/>
      <c r="G25" s="139"/>
      <c r="H25" s="139"/>
      <c r="I25" s="151" t="s">
        <v>389</v>
      </c>
      <c r="J25" s="157" t="s">
        <v>265</v>
      </c>
      <c r="K25" s="166"/>
    </row>
    <row r="26" spans="1:11">
      <c r="A26" s="123"/>
      <c r="B26" s="139" t="s">
        <v>390</v>
      </c>
      <c r="C26" s="139"/>
      <c r="D26" s="139" t="s">
        <v>354</v>
      </c>
      <c r="E26" s="139" t="s">
        <v>365</v>
      </c>
      <c r="F26" s="139"/>
      <c r="G26" s="139" t="s">
        <v>391</v>
      </c>
      <c r="H26" s="139"/>
      <c r="I26" s="151"/>
      <c r="J26" s="151" t="s">
        <v>392</v>
      </c>
      <c r="K26" s="166"/>
    </row>
    <row r="27" spans="1:11">
      <c r="A27" s="123"/>
      <c r="B27" s="139" t="s">
        <v>317</v>
      </c>
      <c r="C27" s="139" t="s">
        <v>318</v>
      </c>
      <c r="D27" s="139">
        <v>14.5</v>
      </c>
      <c r="E27" s="139" t="s">
        <v>316</v>
      </c>
      <c r="F27" s="139"/>
      <c r="G27" s="139">
        <v>4.7278000000000002</v>
      </c>
      <c r="H27" s="139"/>
      <c r="I27" s="151"/>
      <c r="J27" s="151">
        <v>68.553100000000001</v>
      </c>
      <c r="K27" s="166"/>
    </row>
    <row r="28" spans="1:11">
      <c r="A28" s="123"/>
      <c r="B28" s="152" t="s">
        <v>393</v>
      </c>
      <c r="C28" s="153" t="s">
        <v>394</v>
      </c>
      <c r="D28" s="144">
        <v>7</v>
      </c>
      <c r="E28" s="144" t="s">
        <v>316</v>
      </c>
      <c r="F28" s="153"/>
      <c r="G28" s="144">
        <v>2.2313000000000001</v>
      </c>
      <c r="H28" s="153"/>
      <c r="I28" s="153"/>
      <c r="J28" s="154">
        <v>15.6191</v>
      </c>
      <c r="K28" s="166"/>
    </row>
    <row r="29" spans="1:11">
      <c r="A29" s="123"/>
      <c r="B29" s="155" t="s">
        <v>321</v>
      </c>
      <c r="C29" s="147" t="s">
        <v>322</v>
      </c>
      <c r="D29" s="156">
        <v>14.5</v>
      </c>
      <c r="E29" s="146" t="s">
        <v>316</v>
      </c>
      <c r="F29" s="139"/>
      <c r="G29" s="150">
        <v>2.3220000000000001</v>
      </c>
      <c r="H29" s="139"/>
      <c r="I29" s="139"/>
      <c r="J29" s="150">
        <v>33.668999999999997</v>
      </c>
      <c r="K29" s="166"/>
    </row>
    <row r="30" spans="1:11">
      <c r="A30" s="123"/>
      <c r="B30" s="155" t="s">
        <v>319</v>
      </c>
      <c r="C30" s="147" t="s">
        <v>320</v>
      </c>
      <c r="D30" s="156">
        <v>14.5</v>
      </c>
      <c r="E30" s="146" t="s">
        <v>316</v>
      </c>
      <c r="F30" s="139"/>
      <c r="G30" s="150">
        <v>1.5410999999999999</v>
      </c>
      <c r="H30" s="139"/>
      <c r="I30" s="139"/>
      <c r="J30" s="150">
        <v>22.346</v>
      </c>
      <c r="K30" s="166"/>
    </row>
    <row r="31" spans="1:11">
      <c r="A31" s="123"/>
      <c r="B31" s="155" t="s">
        <v>310</v>
      </c>
      <c r="C31" s="147" t="s">
        <v>311</v>
      </c>
      <c r="D31" s="156">
        <v>14.5</v>
      </c>
      <c r="E31" s="146" t="s">
        <v>316</v>
      </c>
      <c r="F31" s="139"/>
      <c r="G31" s="150">
        <v>0.20069999999999999</v>
      </c>
      <c r="H31" s="139"/>
      <c r="I31" s="139"/>
      <c r="J31" s="150">
        <v>2.9102000000000001</v>
      </c>
      <c r="K31" s="166"/>
    </row>
    <row r="32" spans="1:11">
      <c r="A32" s="123"/>
      <c r="B32" s="155"/>
      <c r="C32" s="147"/>
      <c r="D32" s="156"/>
      <c r="E32" s="146"/>
      <c r="F32" s="139"/>
      <c r="G32" s="150"/>
      <c r="H32" s="139"/>
      <c r="I32" s="139" t="s">
        <v>395</v>
      </c>
      <c r="J32" s="150">
        <v>143.09739999999999</v>
      </c>
      <c r="K32" s="166"/>
    </row>
    <row r="33" spans="1:11">
      <c r="A33" s="123"/>
      <c r="B33" s="139" t="s">
        <v>396</v>
      </c>
      <c r="C33" s="139"/>
      <c r="D33" s="139" t="s">
        <v>354</v>
      </c>
      <c r="E33" s="139" t="s">
        <v>365</v>
      </c>
      <c r="F33" s="139"/>
      <c r="G33" s="139" t="s">
        <v>392</v>
      </c>
      <c r="H33" s="139"/>
      <c r="I33" s="151"/>
      <c r="J33" s="150" t="s">
        <v>392</v>
      </c>
      <c r="K33" s="166"/>
    </row>
    <row r="34" spans="1:11">
      <c r="A34" s="123"/>
      <c r="B34" s="152"/>
      <c r="C34" s="153"/>
      <c r="D34" s="144"/>
      <c r="E34" s="144"/>
      <c r="F34" s="153"/>
      <c r="G34" s="144"/>
      <c r="H34" s="153"/>
      <c r="I34" s="153" t="s">
        <v>397</v>
      </c>
      <c r="J34" s="144">
        <v>0</v>
      </c>
      <c r="K34" s="166"/>
    </row>
    <row r="35" spans="1:11">
      <c r="A35" s="123"/>
      <c r="B35" s="139"/>
      <c r="C35" s="139"/>
      <c r="D35" s="139"/>
      <c r="E35" s="139"/>
      <c r="F35" s="139"/>
      <c r="G35" s="139"/>
      <c r="H35" s="139"/>
      <c r="I35" s="151" t="s">
        <v>398</v>
      </c>
      <c r="J35" s="150">
        <v>1541.5018</v>
      </c>
      <c r="K35" s="166"/>
    </row>
    <row r="36" spans="1:11">
      <c r="A36" s="123"/>
      <c r="B36" s="153" t="s">
        <v>399</v>
      </c>
      <c r="C36" s="153"/>
      <c r="D36" s="153" t="s">
        <v>146</v>
      </c>
      <c r="E36" s="153" t="s">
        <v>354</v>
      </c>
      <c r="F36" s="153" t="s">
        <v>365</v>
      </c>
      <c r="G36" s="153" t="s">
        <v>392</v>
      </c>
      <c r="H36" s="153"/>
      <c r="I36" s="154"/>
      <c r="J36" s="160" t="s">
        <v>392</v>
      </c>
      <c r="K36" s="166"/>
    </row>
    <row r="37" spans="1:11">
      <c r="A37" s="123"/>
      <c r="B37" s="152"/>
      <c r="C37" s="153"/>
      <c r="D37" s="144"/>
      <c r="E37" s="144"/>
      <c r="F37" s="144"/>
      <c r="G37" s="144"/>
      <c r="H37" s="153"/>
      <c r="I37" s="153" t="s">
        <v>400</v>
      </c>
      <c r="J37" s="154">
        <v>0</v>
      </c>
      <c r="K37" s="166"/>
    </row>
    <row r="38" spans="1:11">
      <c r="A38" s="123"/>
      <c r="B38" s="139" t="s">
        <v>401</v>
      </c>
      <c r="C38" s="139"/>
      <c r="D38" s="139" t="s">
        <v>354</v>
      </c>
      <c r="E38" s="139" t="s">
        <v>365</v>
      </c>
      <c r="F38" s="139" t="s">
        <v>402</v>
      </c>
      <c r="G38" s="139"/>
      <c r="H38" s="139"/>
      <c r="I38" s="151"/>
      <c r="J38" s="150" t="s">
        <v>392</v>
      </c>
      <c r="K38" s="166"/>
    </row>
    <row r="39" spans="1:11">
      <c r="A39" s="123"/>
      <c r="B39" s="817"/>
      <c r="C39" s="818"/>
      <c r="D39" s="821"/>
      <c r="E39" s="821"/>
      <c r="F39" s="821" t="s">
        <v>139</v>
      </c>
      <c r="G39" s="818" t="s">
        <v>140</v>
      </c>
      <c r="H39" s="818" t="s">
        <v>141</v>
      </c>
      <c r="I39" s="818" t="s">
        <v>403</v>
      </c>
      <c r="J39" s="823"/>
      <c r="K39" s="166"/>
    </row>
    <row r="40" spans="1:11">
      <c r="A40" s="123"/>
      <c r="B40" s="820"/>
      <c r="C40" s="820"/>
      <c r="D40" s="820"/>
      <c r="E40" s="820"/>
      <c r="F40" s="161"/>
      <c r="G40" s="161"/>
      <c r="H40" s="161"/>
      <c r="I40" s="161" t="s">
        <v>404</v>
      </c>
      <c r="J40" s="824"/>
      <c r="K40" s="166"/>
    </row>
    <row r="41" spans="1:11">
      <c r="A41" s="123"/>
      <c r="B41" s="139"/>
      <c r="C41" s="139"/>
      <c r="D41" s="139"/>
      <c r="E41" s="139"/>
      <c r="F41" s="139"/>
      <c r="G41" s="139"/>
      <c r="H41" s="139"/>
      <c r="I41" s="151" t="s">
        <v>405</v>
      </c>
      <c r="J41" s="139">
        <v>1541.5</v>
      </c>
      <c r="K41" s="166"/>
    </row>
    <row r="42" spans="1:11" ht="15.75" thickBot="1">
      <c r="A42" s="123"/>
      <c r="B42" s="163" t="s">
        <v>406</v>
      </c>
      <c r="C42" s="163"/>
      <c r="D42" s="163"/>
      <c r="E42" s="163"/>
      <c r="F42" s="163"/>
      <c r="G42" s="163"/>
      <c r="H42" s="163"/>
      <c r="I42" s="164"/>
      <c r="J42" s="165"/>
      <c r="K42" s="166"/>
    </row>
    <row r="43" spans="1:11" ht="15.75" thickTop="1">
      <c r="A43" s="123"/>
      <c r="B43" s="825"/>
      <c r="C43" s="825"/>
      <c r="D43" s="825"/>
      <c r="E43" s="825"/>
      <c r="F43" s="825"/>
      <c r="G43" s="825"/>
      <c r="H43" s="139"/>
      <c r="I43" s="139"/>
      <c r="J43" s="139"/>
      <c r="K43" s="166"/>
    </row>
    <row r="44" spans="1:11" ht="15.75" thickBot="1">
      <c r="A44" s="123"/>
      <c r="K44" s="166"/>
    </row>
    <row r="45" spans="1:11" ht="16.5" thickTop="1">
      <c r="A45" s="123"/>
      <c r="B45" s="133" t="s">
        <v>342</v>
      </c>
      <c r="C45" s="134"/>
      <c r="D45" s="134"/>
      <c r="E45" s="135" t="s">
        <v>343</v>
      </c>
      <c r="F45" s="134"/>
      <c r="G45" s="136" t="s">
        <v>344</v>
      </c>
      <c r="H45" s="137" t="s">
        <v>344</v>
      </c>
      <c r="I45" s="134"/>
      <c r="J45" s="134" t="s">
        <v>345</v>
      </c>
      <c r="K45" t="str">
        <f t="shared" ref="K45:K84" si="1">IF(B42="SISTEMA DE CUSTOS REFERENCIAIS FERROVIÁRIOS – SICFER",C45,IF(LEFT(B45,4)="Obs.",B45,""))</f>
        <v/>
      </c>
    </row>
    <row r="46" spans="1:11">
      <c r="A46" s="123"/>
      <c r="B46" s="138" t="s">
        <v>346</v>
      </c>
      <c r="C46" s="139"/>
      <c r="D46" s="139"/>
      <c r="E46" s="138" t="s">
        <v>347</v>
      </c>
      <c r="F46" s="138" t="s">
        <v>348</v>
      </c>
      <c r="G46" s="139"/>
      <c r="H46" s="139"/>
      <c r="I46" s="139"/>
      <c r="J46" s="139"/>
      <c r="K46" t="str">
        <f t="shared" si="1"/>
        <v/>
      </c>
    </row>
    <row r="47" spans="1:11">
      <c r="A47" s="123"/>
      <c r="B47" s="138" t="s">
        <v>349</v>
      </c>
      <c r="C47" s="139"/>
      <c r="D47" s="139"/>
      <c r="E47" s="138" t="s">
        <v>350</v>
      </c>
      <c r="F47" s="140"/>
      <c r="G47" s="139"/>
      <c r="H47" s="139"/>
      <c r="I47" s="139"/>
      <c r="J47" s="139"/>
      <c r="K47" t="str">
        <f t="shared" si="1"/>
        <v/>
      </c>
    </row>
    <row r="48" spans="1:11">
      <c r="A48" s="123"/>
      <c r="B48" s="138" t="s">
        <v>407</v>
      </c>
      <c r="C48" s="826" t="s">
        <v>408</v>
      </c>
      <c r="D48" s="826"/>
      <c r="E48" s="826"/>
      <c r="F48" s="826"/>
      <c r="G48" s="826"/>
      <c r="H48" s="139"/>
      <c r="I48" s="139"/>
      <c r="J48" s="139"/>
      <c r="K48" t="str">
        <f t="shared" si="1"/>
        <v>Estudos de investimento (EVTE)</v>
      </c>
    </row>
    <row r="49" spans="1:14">
      <c r="A49" s="123"/>
      <c r="B49" s="817" t="s">
        <v>353</v>
      </c>
      <c r="C49" s="818"/>
      <c r="D49" s="821" t="s">
        <v>354</v>
      </c>
      <c r="E49" s="822" t="s">
        <v>355</v>
      </c>
      <c r="F49" s="818"/>
      <c r="G49" s="822" t="s">
        <v>356</v>
      </c>
      <c r="H49" s="818"/>
      <c r="I49" s="141"/>
      <c r="J49" s="142" t="s">
        <v>357</v>
      </c>
      <c r="K49" t="str">
        <f t="shared" si="1"/>
        <v/>
      </c>
    </row>
    <row r="50" spans="1:14">
      <c r="A50" s="123"/>
      <c r="B50" s="819"/>
      <c r="C50" s="820"/>
      <c r="D50" s="820"/>
      <c r="E50" s="144" t="s">
        <v>358</v>
      </c>
      <c r="F50" s="144" t="s">
        <v>359</v>
      </c>
      <c r="G50" s="144" t="s">
        <v>307</v>
      </c>
      <c r="H50" s="144" t="s">
        <v>269</v>
      </c>
      <c r="I50" s="143"/>
      <c r="J50" s="145" t="s">
        <v>360</v>
      </c>
      <c r="K50" t="str">
        <f t="shared" si="1"/>
        <v/>
      </c>
    </row>
    <row r="51" spans="1:14">
      <c r="A51" s="123"/>
      <c r="B51" s="146" t="s">
        <v>295</v>
      </c>
      <c r="C51" s="167" t="s">
        <v>296</v>
      </c>
      <c r="D51" s="148">
        <v>7</v>
      </c>
      <c r="E51" s="149">
        <v>1</v>
      </c>
      <c r="F51" s="149">
        <v>0</v>
      </c>
      <c r="G51" s="150">
        <v>1.4102999999999999</v>
      </c>
      <c r="H51" s="150">
        <v>0.92820000000000003</v>
      </c>
      <c r="I51" s="139"/>
      <c r="J51" s="150">
        <v>9.8720999999999997</v>
      </c>
      <c r="K51" t="str">
        <f t="shared" si="1"/>
        <v/>
      </c>
    </row>
    <row r="52" spans="1:14">
      <c r="A52" s="123"/>
      <c r="B52" s="146" t="s">
        <v>297</v>
      </c>
      <c r="C52" s="167" t="s">
        <v>298</v>
      </c>
      <c r="D52" s="148">
        <v>4</v>
      </c>
      <c r="E52" s="149">
        <v>1</v>
      </c>
      <c r="F52" s="149">
        <v>0</v>
      </c>
      <c r="G52" s="150">
        <v>0.94610000000000005</v>
      </c>
      <c r="H52" s="150">
        <v>0.62270000000000003</v>
      </c>
      <c r="I52" s="139"/>
      <c r="J52" s="150">
        <v>3.7844000000000002</v>
      </c>
      <c r="K52" t="str">
        <f t="shared" si="1"/>
        <v/>
      </c>
    </row>
    <row r="53" spans="1:14">
      <c r="A53" s="123"/>
      <c r="B53" s="139"/>
      <c r="C53" s="139"/>
      <c r="D53" s="148"/>
      <c r="E53" s="139"/>
      <c r="F53" s="139"/>
      <c r="G53" s="139"/>
      <c r="H53" s="139"/>
      <c r="I53" s="151" t="s">
        <v>363</v>
      </c>
      <c r="J53" s="150">
        <v>13.656499999999999</v>
      </c>
      <c r="K53" t="str">
        <f t="shared" si="1"/>
        <v/>
      </c>
    </row>
    <row r="54" spans="1:14">
      <c r="A54" s="123"/>
      <c r="B54" s="152" t="s">
        <v>364</v>
      </c>
      <c r="C54" s="153"/>
      <c r="D54" s="144" t="s">
        <v>354</v>
      </c>
      <c r="E54" s="144" t="s">
        <v>365</v>
      </c>
      <c r="F54" s="153"/>
      <c r="G54" s="144" t="s">
        <v>356</v>
      </c>
      <c r="H54" s="153"/>
      <c r="I54" s="153"/>
      <c r="J54" s="154" t="s">
        <v>366</v>
      </c>
      <c r="K54" t="str">
        <f t="shared" si="1"/>
        <v/>
      </c>
    </row>
    <row r="55" spans="1:14">
      <c r="A55" s="123"/>
      <c r="B55" s="146" t="s">
        <v>367</v>
      </c>
      <c r="C55" s="167" t="s">
        <v>368</v>
      </c>
      <c r="D55" s="148">
        <v>1</v>
      </c>
      <c r="E55" s="146" t="s">
        <v>316</v>
      </c>
      <c r="F55" s="139"/>
      <c r="G55" s="150">
        <v>164.6233</v>
      </c>
      <c r="H55" s="139"/>
      <c r="I55" s="139"/>
      <c r="J55" s="150">
        <v>164.6233</v>
      </c>
      <c r="K55" t="str">
        <f t="shared" si="1"/>
        <v/>
      </c>
    </row>
    <row r="56" spans="1:14">
      <c r="A56" s="123"/>
      <c r="B56" s="226" t="s">
        <v>369</v>
      </c>
      <c r="C56" s="227" t="s">
        <v>370</v>
      </c>
      <c r="D56" s="228">
        <v>3</v>
      </c>
      <c r="E56" s="229" t="s">
        <v>316</v>
      </c>
      <c r="F56" s="230"/>
      <c r="G56" s="231">
        <v>138.53210000000001</v>
      </c>
      <c r="H56" s="230"/>
      <c r="I56" s="230"/>
      <c r="J56" s="231">
        <v>415.59629999999999</v>
      </c>
      <c r="K56" s="232" t="str">
        <f t="shared" si="1"/>
        <v/>
      </c>
      <c r="L56" s="233">
        <f>D56*$L$1</f>
        <v>13080</v>
      </c>
      <c r="M56" s="233" t="s">
        <v>423</v>
      </c>
      <c r="N56" s="233">
        <f>L56/'Cronograma'!$D$8/$L$2</f>
        <v>10.239308611822175</v>
      </c>
    </row>
    <row r="57" spans="1:14">
      <c r="A57" s="123"/>
      <c r="B57" s="226" t="s">
        <v>371</v>
      </c>
      <c r="C57" s="227" t="s">
        <v>372</v>
      </c>
      <c r="D57" s="228">
        <v>2</v>
      </c>
      <c r="E57" s="229" t="s">
        <v>316</v>
      </c>
      <c r="F57" s="230"/>
      <c r="G57" s="231">
        <v>106.15779999999999</v>
      </c>
      <c r="H57" s="230"/>
      <c r="I57" s="230"/>
      <c r="J57" s="231">
        <v>212.31559999999999</v>
      </c>
      <c r="K57" s="232" t="str">
        <f t="shared" si="1"/>
        <v/>
      </c>
      <c r="L57" s="233">
        <f t="shared" ref="L57:L58" si="2">D57*$L$1</f>
        <v>8720</v>
      </c>
      <c r="M57" s="233" t="s">
        <v>423</v>
      </c>
      <c r="N57" s="233">
        <f>L57/'Cronograma'!$D$8/$L$2</f>
        <v>6.8262057412147827</v>
      </c>
    </row>
    <row r="58" spans="1:14">
      <c r="A58" s="123"/>
      <c r="B58" s="226" t="s">
        <v>373</v>
      </c>
      <c r="C58" s="227" t="s">
        <v>374</v>
      </c>
      <c r="D58" s="228">
        <v>1</v>
      </c>
      <c r="E58" s="229" t="s">
        <v>316</v>
      </c>
      <c r="F58" s="230"/>
      <c r="G58" s="231">
        <v>94.805499999999995</v>
      </c>
      <c r="H58" s="230"/>
      <c r="I58" s="230"/>
      <c r="J58" s="231">
        <v>94.805499999999995</v>
      </c>
      <c r="K58" s="232" t="str">
        <f t="shared" si="1"/>
        <v/>
      </c>
      <c r="L58" s="233">
        <f t="shared" si="2"/>
        <v>4360</v>
      </c>
      <c r="M58" s="233" t="s">
        <v>423</v>
      </c>
      <c r="N58" s="233">
        <f>L58/'Cronograma'!$D$8/$L$2</f>
        <v>3.4131028706073914</v>
      </c>
    </row>
    <row r="59" spans="1:14">
      <c r="A59" s="123"/>
      <c r="B59" s="146" t="s">
        <v>375</v>
      </c>
      <c r="C59" s="167" t="s">
        <v>376</v>
      </c>
      <c r="D59" s="148">
        <v>0.5</v>
      </c>
      <c r="E59" s="146" t="s">
        <v>316</v>
      </c>
      <c r="F59" s="139"/>
      <c r="G59" s="150">
        <v>94.805499999999995</v>
      </c>
      <c r="H59" s="139"/>
      <c r="I59" s="139"/>
      <c r="J59" s="150">
        <v>47.402799999999999</v>
      </c>
      <c r="K59" t="str">
        <f t="shared" si="1"/>
        <v/>
      </c>
    </row>
    <row r="60" spans="1:14">
      <c r="A60" s="123"/>
      <c r="B60" s="146" t="s">
        <v>377</v>
      </c>
      <c r="C60" s="167" t="s">
        <v>378</v>
      </c>
      <c r="D60" s="148">
        <v>1</v>
      </c>
      <c r="E60" s="146" t="s">
        <v>316</v>
      </c>
      <c r="F60" s="139"/>
      <c r="G60" s="150">
        <v>66.427899999999994</v>
      </c>
      <c r="H60" s="139"/>
      <c r="I60" s="139"/>
      <c r="J60" s="150">
        <v>66.427899999999994</v>
      </c>
      <c r="K60" t="str">
        <f t="shared" si="1"/>
        <v/>
      </c>
    </row>
    <row r="61" spans="1:14">
      <c r="A61" s="123"/>
      <c r="B61" s="146" t="s">
        <v>379</v>
      </c>
      <c r="C61" s="167" t="s">
        <v>380</v>
      </c>
      <c r="D61" s="148">
        <v>1</v>
      </c>
      <c r="E61" s="146" t="s">
        <v>316</v>
      </c>
      <c r="F61" s="139"/>
      <c r="G61" s="150">
        <v>56.192700000000002</v>
      </c>
      <c r="H61" s="139"/>
      <c r="I61" s="139"/>
      <c r="J61" s="150">
        <v>56.192700000000002</v>
      </c>
      <c r="K61" t="str">
        <f t="shared" si="1"/>
        <v/>
      </c>
    </row>
    <row r="62" spans="1:14">
      <c r="A62" s="123"/>
      <c r="B62" s="146" t="s">
        <v>381</v>
      </c>
      <c r="C62" s="167" t="s">
        <v>382</v>
      </c>
      <c r="D62" s="148">
        <v>0.5</v>
      </c>
      <c r="E62" s="146" t="s">
        <v>316</v>
      </c>
      <c r="F62" s="139"/>
      <c r="G62" s="150">
        <v>44.363</v>
      </c>
      <c r="H62" s="139"/>
      <c r="I62" s="139"/>
      <c r="J62" s="150">
        <v>22.1815</v>
      </c>
      <c r="K62" t="str">
        <f t="shared" si="1"/>
        <v/>
      </c>
    </row>
    <row r="63" spans="1:14">
      <c r="A63" s="123"/>
      <c r="B63" s="146" t="s">
        <v>409</v>
      </c>
      <c r="C63" s="167" t="s">
        <v>410</v>
      </c>
      <c r="D63" s="148">
        <v>0.5</v>
      </c>
      <c r="E63" s="146" t="s">
        <v>316</v>
      </c>
      <c r="F63" s="139"/>
      <c r="G63" s="150">
        <v>39.645000000000003</v>
      </c>
      <c r="H63" s="139"/>
      <c r="I63" s="139"/>
      <c r="J63" s="150">
        <v>19.822500000000002</v>
      </c>
      <c r="K63" t="str">
        <f t="shared" si="1"/>
        <v/>
      </c>
    </row>
    <row r="64" spans="1:14">
      <c r="A64" s="123"/>
      <c r="B64" s="146" t="s">
        <v>411</v>
      </c>
      <c r="C64" s="167" t="s">
        <v>412</v>
      </c>
      <c r="D64" s="148">
        <v>0.5</v>
      </c>
      <c r="E64" s="146" t="s">
        <v>316</v>
      </c>
      <c r="F64" s="139"/>
      <c r="G64" s="150">
        <v>33.863100000000003</v>
      </c>
      <c r="H64" s="139"/>
      <c r="I64" s="139"/>
      <c r="J64" s="150">
        <v>16.9316</v>
      </c>
      <c r="K64" t="str">
        <f t="shared" si="1"/>
        <v/>
      </c>
    </row>
    <row r="65" spans="1:11">
      <c r="A65" s="123"/>
      <c r="B65" s="139"/>
      <c r="C65" s="139"/>
      <c r="D65" s="139"/>
      <c r="E65" s="139"/>
      <c r="F65" s="139"/>
      <c r="G65" s="139"/>
      <c r="H65" s="139"/>
      <c r="I65" s="151" t="s">
        <v>383</v>
      </c>
      <c r="J65" s="150">
        <v>1116.2997</v>
      </c>
      <c r="K65" t="str">
        <f t="shared" si="1"/>
        <v/>
      </c>
    </row>
    <row r="66" spans="1:11">
      <c r="A66" s="123"/>
      <c r="B66" s="139"/>
      <c r="C66" s="139"/>
      <c r="D66" s="139"/>
      <c r="E66" s="139"/>
      <c r="F66" s="139"/>
      <c r="G66" s="139"/>
      <c r="H66" s="139"/>
      <c r="I66" s="151" t="s">
        <v>384</v>
      </c>
      <c r="J66" s="157">
        <v>1129.9562000000001</v>
      </c>
      <c r="K66" t="str">
        <f t="shared" si="1"/>
        <v/>
      </c>
    </row>
    <row r="67" spans="1:11">
      <c r="A67" s="123"/>
      <c r="B67" s="141"/>
      <c r="C67" s="141"/>
      <c r="D67" s="141"/>
      <c r="E67" s="141"/>
      <c r="F67" s="141"/>
      <c r="G67" s="141"/>
      <c r="H67" s="141"/>
      <c r="I67" s="158" t="s">
        <v>385</v>
      </c>
      <c r="J67" s="159" t="s">
        <v>386</v>
      </c>
      <c r="K67" t="str">
        <f t="shared" si="1"/>
        <v/>
      </c>
    </row>
    <row r="68" spans="1:11">
      <c r="A68" s="123"/>
      <c r="B68" s="139"/>
      <c r="C68" s="139"/>
      <c r="D68" s="139"/>
      <c r="E68" s="139"/>
      <c r="F68" s="139"/>
      <c r="G68" s="139"/>
      <c r="H68" s="139"/>
      <c r="I68" s="151" t="s">
        <v>387</v>
      </c>
      <c r="J68" s="157">
        <v>1129.9562000000001</v>
      </c>
      <c r="K68" t="str">
        <f t="shared" si="1"/>
        <v/>
      </c>
    </row>
    <row r="69" spans="1:11">
      <c r="A69" s="123"/>
      <c r="B69" s="139"/>
      <c r="C69" s="139"/>
      <c r="D69" s="139"/>
      <c r="E69" s="139"/>
      <c r="F69" s="139"/>
      <c r="G69" s="139"/>
      <c r="H69" s="139"/>
      <c r="I69" s="151" t="s">
        <v>388</v>
      </c>
      <c r="J69" s="151" t="s">
        <v>265</v>
      </c>
      <c r="K69" t="str">
        <f t="shared" si="1"/>
        <v/>
      </c>
    </row>
    <row r="70" spans="1:11">
      <c r="A70" s="123"/>
      <c r="B70" s="139"/>
      <c r="C70" s="139"/>
      <c r="D70" s="139"/>
      <c r="E70" s="139"/>
      <c r="F70" s="139"/>
      <c r="G70" s="139"/>
      <c r="H70" s="139"/>
      <c r="I70" s="151" t="s">
        <v>389</v>
      </c>
      <c r="J70" s="151" t="s">
        <v>265</v>
      </c>
      <c r="K70" t="str">
        <f t="shared" si="1"/>
        <v/>
      </c>
    </row>
    <row r="71" spans="1:11">
      <c r="A71" s="123"/>
      <c r="B71" s="152" t="s">
        <v>390</v>
      </c>
      <c r="C71" s="153"/>
      <c r="D71" s="144" t="s">
        <v>354</v>
      </c>
      <c r="E71" s="144" t="s">
        <v>365</v>
      </c>
      <c r="F71" s="153"/>
      <c r="G71" s="144" t="s">
        <v>391</v>
      </c>
      <c r="H71" s="153"/>
      <c r="I71" s="153"/>
      <c r="J71" s="154" t="s">
        <v>392</v>
      </c>
      <c r="K71" t="str">
        <f t="shared" si="1"/>
        <v/>
      </c>
    </row>
    <row r="72" spans="1:11">
      <c r="A72" s="123"/>
      <c r="B72" s="146" t="s">
        <v>317</v>
      </c>
      <c r="C72" s="167" t="s">
        <v>318</v>
      </c>
      <c r="D72" s="148">
        <v>11</v>
      </c>
      <c r="E72" s="146" t="s">
        <v>316</v>
      </c>
      <c r="F72" s="139"/>
      <c r="G72" s="150">
        <v>4.7278000000000002</v>
      </c>
      <c r="H72" s="139"/>
      <c r="I72" s="139"/>
      <c r="J72" s="150">
        <v>52.005800000000001</v>
      </c>
      <c r="K72" t="str">
        <f t="shared" si="1"/>
        <v/>
      </c>
    </row>
    <row r="73" spans="1:11">
      <c r="A73" s="123"/>
      <c r="B73" s="146" t="s">
        <v>310</v>
      </c>
      <c r="C73" s="167" t="s">
        <v>311</v>
      </c>
      <c r="D73" s="148">
        <v>11</v>
      </c>
      <c r="E73" s="146" t="s">
        <v>316</v>
      </c>
      <c r="F73" s="139"/>
      <c r="G73" s="150">
        <v>0.20069999999999999</v>
      </c>
      <c r="H73" s="139"/>
      <c r="I73" s="139"/>
      <c r="J73" s="150">
        <v>2.2077</v>
      </c>
      <c r="K73" t="str">
        <f t="shared" si="1"/>
        <v/>
      </c>
    </row>
    <row r="74" spans="1:11">
      <c r="A74" s="123"/>
      <c r="B74" s="139"/>
      <c r="C74" s="139"/>
      <c r="D74" s="139"/>
      <c r="E74" s="139"/>
      <c r="F74" s="139"/>
      <c r="G74" s="139"/>
      <c r="H74" s="139"/>
      <c r="I74" s="151" t="s">
        <v>395</v>
      </c>
      <c r="J74" s="150">
        <v>54.213500000000003</v>
      </c>
      <c r="K74" t="str">
        <f t="shared" si="1"/>
        <v/>
      </c>
    </row>
    <row r="75" spans="1:11">
      <c r="A75" s="123"/>
      <c r="B75" s="152" t="s">
        <v>396</v>
      </c>
      <c r="C75" s="153"/>
      <c r="D75" s="144" t="s">
        <v>354</v>
      </c>
      <c r="E75" s="144" t="s">
        <v>365</v>
      </c>
      <c r="F75" s="153"/>
      <c r="G75" s="144" t="s">
        <v>392</v>
      </c>
      <c r="H75" s="153"/>
      <c r="I75" s="153"/>
      <c r="J75" s="144" t="s">
        <v>392</v>
      </c>
      <c r="K75" t="str">
        <f t="shared" si="1"/>
        <v/>
      </c>
    </row>
    <row r="76" spans="1:11">
      <c r="A76" s="123"/>
      <c r="B76" s="139"/>
      <c r="C76" s="139"/>
      <c r="D76" s="139"/>
      <c r="E76" s="139"/>
      <c r="F76" s="139"/>
      <c r="G76" s="139"/>
      <c r="H76" s="139"/>
      <c r="I76" s="151" t="s">
        <v>397</v>
      </c>
      <c r="J76" s="150">
        <v>0</v>
      </c>
      <c r="K76" t="str">
        <f t="shared" si="1"/>
        <v/>
      </c>
    </row>
    <row r="77" spans="1:11">
      <c r="A77" s="123"/>
      <c r="B77" s="153"/>
      <c r="C77" s="153"/>
      <c r="D77" s="153"/>
      <c r="E77" s="153"/>
      <c r="F77" s="153"/>
      <c r="G77" s="153"/>
      <c r="H77" s="153"/>
      <c r="I77" s="154" t="s">
        <v>398</v>
      </c>
      <c r="J77" s="160">
        <v>1184.1696999999999</v>
      </c>
      <c r="K77" t="str">
        <f t="shared" si="1"/>
        <v/>
      </c>
    </row>
    <row r="78" spans="1:11">
      <c r="A78" s="123"/>
      <c r="B78" s="152" t="s">
        <v>399</v>
      </c>
      <c r="C78" s="153"/>
      <c r="D78" s="144" t="s">
        <v>146</v>
      </c>
      <c r="E78" s="144" t="s">
        <v>354</v>
      </c>
      <c r="F78" s="144" t="s">
        <v>365</v>
      </c>
      <c r="G78" s="144" t="s">
        <v>392</v>
      </c>
      <c r="H78" s="153"/>
      <c r="I78" s="153"/>
      <c r="J78" s="154" t="s">
        <v>392</v>
      </c>
      <c r="K78" t="str">
        <f t="shared" si="1"/>
        <v/>
      </c>
    </row>
    <row r="79" spans="1:11">
      <c r="A79" s="123"/>
      <c r="B79" s="139"/>
      <c r="C79" s="139"/>
      <c r="D79" s="139"/>
      <c r="E79" s="139"/>
      <c r="F79" s="139"/>
      <c r="G79" s="139"/>
      <c r="H79" s="139"/>
      <c r="I79" s="151" t="s">
        <v>400</v>
      </c>
      <c r="J79" s="150">
        <v>0</v>
      </c>
      <c r="K79" t="str">
        <f t="shared" si="1"/>
        <v/>
      </c>
    </row>
    <row r="80" spans="1:11">
      <c r="A80" s="123"/>
      <c r="B80" s="817" t="s">
        <v>401</v>
      </c>
      <c r="C80" s="818"/>
      <c r="D80" s="821" t="s">
        <v>354</v>
      </c>
      <c r="E80" s="821" t="s">
        <v>365</v>
      </c>
      <c r="F80" s="821" t="s">
        <v>402</v>
      </c>
      <c r="G80" s="818"/>
      <c r="H80" s="818"/>
      <c r="I80" s="818"/>
      <c r="J80" s="823" t="s">
        <v>392</v>
      </c>
      <c r="K80" t="str">
        <f t="shared" si="1"/>
        <v/>
      </c>
    </row>
    <row r="81" spans="1:11">
      <c r="A81" s="123"/>
      <c r="B81" s="820"/>
      <c r="C81" s="820"/>
      <c r="D81" s="820"/>
      <c r="E81" s="820"/>
      <c r="F81" s="161" t="s">
        <v>139</v>
      </c>
      <c r="G81" s="161" t="s">
        <v>140</v>
      </c>
      <c r="H81" s="161" t="s">
        <v>141</v>
      </c>
      <c r="I81" s="161" t="s">
        <v>403</v>
      </c>
      <c r="J81" s="824"/>
      <c r="K81" t="str">
        <f t="shared" si="1"/>
        <v/>
      </c>
    </row>
    <row r="82" spans="1:11">
      <c r="A82" s="123"/>
      <c r="B82" s="139"/>
      <c r="C82" s="139"/>
      <c r="D82" s="139"/>
      <c r="E82" s="139"/>
      <c r="F82" s="139"/>
      <c r="G82" s="139"/>
      <c r="H82" s="139"/>
      <c r="I82" s="151" t="s">
        <v>404</v>
      </c>
      <c r="J82" s="139"/>
      <c r="K82" t="str">
        <f t="shared" si="1"/>
        <v/>
      </c>
    </row>
    <row r="83" spans="1:11" ht="15.75" thickBot="1">
      <c r="A83" s="123"/>
      <c r="B83" s="163"/>
      <c r="C83" s="163"/>
      <c r="D83" s="163"/>
      <c r="E83" s="163"/>
      <c r="F83" s="163"/>
      <c r="G83" s="163"/>
      <c r="H83" s="163"/>
      <c r="I83" s="164" t="s">
        <v>405</v>
      </c>
      <c r="J83" s="165">
        <v>1184.17</v>
      </c>
      <c r="K83" t="str">
        <f t="shared" si="1"/>
        <v/>
      </c>
    </row>
    <row r="84" spans="1:11" ht="15.75" thickTop="1">
      <c r="A84" s="123"/>
      <c r="B84" s="827" t="s">
        <v>413</v>
      </c>
      <c r="C84" s="827"/>
      <c r="D84" s="827"/>
      <c r="E84" s="827"/>
      <c r="F84" s="827"/>
      <c r="G84" s="827"/>
      <c r="H84" s="139"/>
      <c r="I84" s="139"/>
      <c r="J84" s="139"/>
      <c r="K84" t="str">
        <f t="shared" si="1"/>
        <v xml:space="preserve">Obs.: </v>
      </c>
    </row>
    <row r="85" spans="1:11">
      <c r="A85" s="123"/>
      <c r="B85" s="138"/>
      <c r="C85" s="139"/>
      <c r="D85" s="139"/>
      <c r="E85" s="138"/>
      <c r="F85" s="140"/>
      <c r="G85" s="139"/>
      <c r="H85" s="139"/>
      <c r="I85" s="139"/>
      <c r="J85" s="139"/>
      <c r="K85" s="166"/>
    </row>
    <row r="86" spans="1:11" ht="15.75" thickBot="1">
      <c r="A86" s="123"/>
      <c r="B86" s="138"/>
      <c r="C86" s="816"/>
      <c r="D86" s="816"/>
      <c r="E86" s="816"/>
      <c r="F86" s="816"/>
      <c r="G86" s="816"/>
      <c r="H86" s="139"/>
      <c r="I86" s="139"/>
      <c r="J86" s="139"/>
      <c r="K86" s="166"/>
    </row>
    <row r="87" spans="1:11" ht="16.5" thickTop="1">
      <c r="A87" s="123"/>
      <c r="B87" s="133" t="s">
        <v>342</v>
      </c>
      <c r="C87" s="134"/>
      <c r="D87" s="134"/>
      <c r="E87" s="135" t="s">
        <v>343</v>
      </c>
      <c r="F87" s="134"/>
      <c r="G87" s="136" t="s">
        <v>344</v>
      </c>
      <c r="H87" s="137" t="s">
        <v>344</v>
      </c>
      <c r="I87" s="134"/>
      <c r="J87" s="134" t="s">
        <v>345</v>
      </c>
      <c r="K87" t="str">
        <f t="shared" ref="K87:K127" si="3">IF(B84="SISTEMA DE CUSTOS REFERENCIAIS FERROVIÁRIOS – SICFER",C87,IF(LEFT(B87,4)="Obs.",B87,""))</f>
        <v/>
      </c>
    </row>
    <row r="88" spans="1:11">
      <c r="A88" s="123"/>
      <c r="B88" s="138" t="s">
        <v>346</v>
      </c>
      <c r="C88" s="139"/>
      <c r="D88" s="139"/>
      <c r="E88" s="138" t="s">
        <v>347</v>
      </c>
      <c r="F88" s="138" t="s">
        <v>348</v>
      </c>
      <c r="G88" s="139"/>
      <c r="H88" s="139"/>
      <c r="I88" s="139"/>
      <c r="J88" s="139"/>
      <c r="K88" t="str">
        <f t="shared" si="3"/>
        <v/>
      </c>
    </row>
    <row r="89" spans="1:11">
      <c r="A89" s="123"/>
      <c r="B89" s="138" t="s">
        <v>349</v>
      </c>
      <c r="C89" s="139"/>
      <c r="D89" s="139"/>
      <c r="E89" s="138" t="s">
        <v>350</v>
      </c>
      <c r="F89" s="140"/>
      <c r="G89" s="139"/>
      <c r="H89" s="139"/>
      <c r="I89" s="139"/>
      <c r="J89" s="139"/>
      <c r="K89" t="str">
        <f t="shared" si="3"/>
        <v/>
      </c>
    </row>
    <row r="90" spans="1:11">
      <c r="A90" s="123"/>
      <c r="B90" s="138" t="s">
        <v>414</v>
      </c>
      <c r="C90" s="826" t="s">
        <v>415</v>
      </c>
      <c r="D90" s="826"/>
      <c r="E90" s="826"/>
      <c r="F90" s="826"/>
      <c r="G90" s="826"/>
      <c r="H90" s="139"/>
      <c r="I90" s="139"/>
      <c r="J90" s="139"/>
      <c r="K90" t="str">
        <f t="shared" si="3"/>
        <v>Estudos de superestrutura (EVTE)</v>
      </c>
    </row>
    <row r="91" spans="1:11">
      <c r="A91" s="123"/>
      <c r="B91" s="817" t="s">
        <v>353</v>
      </c>
      <c r="C91" s="818"/>
      <c r="D91" s="821" t="s">
        <v>354</v>
      </c>
      <c r="E91" s="822" t="s">
        <v>355</v>
      </c>
      <c r="F91" s="818"/>
      <c r="G91" s="822" t="s">
        <v>356</v>
      </c>
      <c r="H91" s="818"/>
      <c r="I91" s="141"/>
      <c r="J91" s="142" t="s">
        <v>357</v>
      </c>
      <c r="K91" t="str">
        <f t="shared" si="3"/>
        <v/>
      </c>
    </row>
    <row r="92" spans="1:11">
      <c r="A92" s="123"/>
      <c r="B92" s="819"/>
      <c r="C92" s="820"/>
      <c r="D92" s="820"/>
      <c r="E92" s="144" t="s">
        <v>358</v>
      </c>
      <c r="F92" s="144" t="s">
        <v>359</v>
      </c>
      <c r="G92" s="144" t="s">
        <v>307</v>
      </c>
      <c r="H92" s="144" t="s">
        <v>269</v>
      </c>
      <c r="I92" s="143"/>
      <c r="J92" s="145" t="s">
        <v>360</v>
      </c>
      <c r="K92" t="str">
        <f t="shared" si="3"/>
        <v/>
      </c>
    </row>
    <row r="93" spans="1:11">
      <c r="A93" s="123"/>
      <c r="B93" s="146" t="s">
        <v>295</v>
      </c>
      <c r="C93" s="167" t="s">
        <v>296</v>
      </c>
      <c r="D93" s="148">
        <v>7.25</v>
      </c>
      <c r="E93" s="149">
        <v>1</v>
      </c>
      <c r="F93" s="149">
        <v>0</v>
      </c>
      <c r="G93" s="150">
        <v>1.4102999999999999</v>
      </c>
      <c r="H93" s="150">
        <v>0.92820000000000003</v>
      </c>
      <c r="I93" s="139"/>
      <c r="J93" s="150">
        <v>10.2247</v>
      </c>
      <c r="K93" t="str">
        <f t="shared" si="3"/>
        <v/>
      </c>
    </row>
    <row r="94" spans="1:11">
      <c r="A94" s="123"/>
      <c r="B94" s="146" t="s">
        <v>297</v>
      </c>
      <c r="C94" s="167" t="s">
        <v>298</v>
      </c>
      <c r="D94" s="148">
        <v>2.25</v>
      </c>
      <c r="E94" s="149">
        <v>1</v>
      </c>
      <c r="F94" s="149">
        <v>0</v>
      </c>
      <c r="G94" s="150">
        <v>0.94610000000000005</v>
      </c>
      <c r="H94" s="150">
        <v>0.62270000000000003</v>
      </c>
      <c r="I94" s="139"/>
      <c r="J94" s="150">
        <v>2.1286999999999998</v>
      </c>
      <c r="K94" t="str">
        <f t="shared" si="3"/>
        <v/>
      </c>
    </row>
    <row r="95" spans="1:11">
      <c r="A95" s="123"/>
      <c r="B95" s="139"/>
      <c r="C95" s="139"/>
      <c r="D95" s="148"/>
      <c r="E95" s="139"/>
      <c r="F95" s="139"/>
      <c r="G95" s="139"/>
      <c r="H95" s="139"/>
      <c r="I95" s="151" t="s">
        <v>363</v>
      </c>
      <c r="J95" s="150">
        <v>12.353400000000001</v>
      </c>
      <c r="K95" t="str">
        <f t="shared" si="3"/>
        <v/>
      </c>
    </row>
    <row r="96" spans="1:11">
      <c r="A96" s="123"/>
      <c r="B96" s="152" t="s">
        <v>364</v>
      </c>
      <c r="C96" s="153"/>
      <c r="D96" s="144" t="s">
        <v>354</v>
      </c>
      <c r="E96" s="144" t="s">
        <v>365</v>
      </c>
      <c r="F96" s="153"/>
      <c r="G96" s="144" t="s">
        <v>356</v>
      </c>
      <c r="H96" s="153"/>
      <c r="I96" s="153"/>
      <c r="J96" s="154" t="s">
        <v>366</v>
      </c>
      <c r="K96" t="str">
        <f t="shared" si="3"/>
        <v/>
      </c>
    </row>
    <row r="97" spans="1:14">
      <c r="A97" s="123"/>
      <c r="B97" s="146" t="s">
        <v>367</v>
      </c>
      <c r="C97" s="167" t="s">
        <v>368</v>
      </c>
      <c r="D97" s="148">
        <v>0.75</v>
      </c>
      <c r="E97" s="146" t="s">
        <v>316</v>
      </c>
      <c r="F97" s="139"/>
      <c r="G97" s="150">
        <v>164.6233</v>
      </c>
      <c r="H97" s="139"/>
      <c r="I97" s="139"/>
      <c r="J97" s="150">
        <v>123.4675</v>
      </c>
      <c r="K97" t="str">
        <f t="shared" si="3"/>
        <v/>
      </c>
    </row>
    <row r="98" spans="1:14">
      <c r="A98" s="123"/>
      <c r="B98" s="226" t="s">
        <v>369</v>
      </c>
      <c r="C98" s="227" t="s">
        <v>370</v>
      </c>
      <c r="D98" s="228">
        <v>1</v>
      </c>
      <c r="E98" s="229" t="s">
        <v>316</v>
      </c>
      <c r="F98" s="230"/>
      <c r="G98" s="231">
        <v>138.53210000000001</v>
      </c>
      <c r="H98" s="230"/>
      <c r="I98" s="230"/>
      <c r="J98" s="231">
        <v>138.53210000000001</v>
      </c>
      <c r="K98" s="232" t="str">
        <f t="shared" si="3"/>
        <v/>
      </c>
      <c r="L98" s="233">
        <f>D98*$L$1</f>
        <v>4360</v>
      </c>
      <c r="M98" s="233" t="s">
        <v>423</v>
      </c>
      <c r="N98" s="233">
        <f>L98/'Cronograma'!$D$8/$L$2</f>
        <v>3.4131028706073914</v>
      </c>
    </row>
    <row r="99" spans="1:14">
      <c r="A99" s="123"/>
      <c r="B99" s="226" t="s">
        <v>371</v>
      </c>
      <c r="C99" s="227" t="s">
        <v>372</v>
      </c>
      <c r="D99" s="228">
        <v>1</v>
      </c>
      <c r="E99" s="229" t="s">
        <v>316</v>
      </c>
      <c r="F99" s="230"/>
      <c r="G99" s="231">
        <v>106.15779999999999</v>
      </c>
      <c r="H99" s="230"/>
      <c r="I99" s="230"/>
      <c r="J99" s="231">
        <v>106.15779999999999</v>
      </c>
      <c r="K99" s="232" t="str">
        <f t="shared" si="3"/>
        <v/>
      </c>
      <c r="L99" s="233">
        <f t="shared" ref="L99:L100" si="4">D99*$L$1</f>
        <v>4360</v>
      </c>
      <c r="M99" s="233" t="s">
        <v>423</v>
      </c>
      <c r="N99" s="233">
        <f>L99/'Cronograma'!$D$8/$L$2</f>
        <v>3.4131028706073914</v>
      </c>
    </row>
    <row r="100" spans="1:14">
      <c r="A100" s="123"/>
      <c r="B100" s="226" t="s">
        <v>373</v>
      </c>
      <c r="C100" s="227" t="s">
        <v>374</v>
      </c>
      <c r="D100" s="228">
        <v>1</v>
      </c>
      <c r="E100" s="229" t="s">
        <v>316</v>
      </c>
      <c r="F100" s="230"/>
      <c r="G100" s="231">
        <v>94.805499999999995</v>
      </c>
      <c r="H100" s="230"/>
      <c r="I100" s="230"/>
      <c r="J100" s="231">
        <v>94.805499999999995</v>
      </c>
      <c r="K100" s="232" t="str">
        <f t="shared" si="3"/>
        <v/>
      </c>
      <c r="L100" s="233">
        <f t="shared" si="4"/>
        <v>4360</v>
      </c>
      <c r="M100" s="233" t="s">
        <v>423</v>
      </c>
      <c r="N100" s="233">
        <f>L100/'Cronograma'!$D$8/$L$2</f>
        <v>3.4131028706073914</v>
      </c>
    </row>
    <row r="101" spans="1:14">
      <c r="A101" s="123"/>
      <c r="B101" s="146" t="s">
        <v>375</v>
      </c>
      <c r="C101" s="167" t="s">
        <v>376</v>
      </c>
      <c r="D101" s="148">
        <v>0.75</v>
      </c>
      <c r="E101" s="146" t="s">
        <v>316</v>
      </c>
      <c r="F101" s="139"/>
      <c r="G101" s="150">
        <v>94.805499999999995</v>
      </c>
      <c r="H101" s="139"/>
      <c r="I101" s="139"/>
      <c r="J101" s="150">
        <v>71.104100000000003</v>
      </c>
      <c r="K101" t="str">
        <f t="shared" si="3"/>
        <v/>
      </c>
    </row>
    <row r="102" spans="1:14">
      <c r="A102" s="123"/>
      <c r="B102" s="146" t="s">
        <v>377</v>
      </c>
      <c r="C102" s="167" t="s">
        <v>378</v>
      </c>
      <c r="D102" s="148">
        <v>1</v>
      </c>
      <c r="E102" s="146" t="s">
        <v>316</v>
      </c>
      <c r="F102" s="139"/>
      <c r="G102" s="150">
        <v>66.427899999999994</v>
      </c>
      <c r="H102" s="139"/>
      <c r="I102" s="139"/>
      <c r="J102" s="150">
        <v>66.427899999999994</v>
      </c>
      <c r="K102" t="str">
        <f t="shared" si="3"/>
        <v/>
      </c>
    </row>
    <row r="103" spans="1:14">
      <c r="A103" s="123"/>
      <c r="B103" s="146" t="s">
        <v>379</v>
      </c>
      <c r="C103" s="167" t="s">
        <v>380</v>
      </c>
      <c r="D103" s="148">
        <v>1</v>
      </c>
      <c r="E103" s="146" t="s">
        <v>316</v>
      </c>
      <c r="F103" s="139"/>
      <c r="G103" s="150">
        <v>56.192700000000002</v>
      </c>
      <c r="H103" s="139"/>
      <c r="I103" s="139"/>
      <c r="J103" s="150">
        <v>56.192700000000002</v>
      </c>
      <c r="K103" t="str">
        <f t="shared" si="3"/>
        <v/>
      </c>
    </row>
    <row r="104" spans="1:14">
      <c r="A104" s="123"/>
      <c r="B104" s="146" t="s">
        <v>381</v>
      </c>
      <c r="C104" s="167" t="s">
        <v>382</v>
      </c>
      <c r="D104" s="148">
        <v>1</v>
      </c>
      <c r="E104" s="146" t="s">
        <v>316</v>
      </c>
      <c r="F104" s="139"/>
      <c r="G104" s="150">
        <v>44.363</v>
      </c>
      <c r="H104" s="139"/>
      <c r="I104" s="139"/>
      <c r="J104" s="150">
        <v>44.363</v>
      </c>
      <c r="K104" t="str">
        <f t="shared" si="3"/>
        <v/>
      </c>
    </row>
    <row r="105" spans="1:14">
      <c r="A105" s="123"/>
      <c r="B105" s="146" t="s">
        <v>409</v>
      </c>
      <c r="C105" s="167" t="s">
        <v>410</v>
      </c>
      <c r="D105" s="148">
        <v>0.75</v>
      </c>
      <c r="E105" s="146" t="s">
        <v>316</v>
      </c>
      <c r="F105" s="139"/>
      <c r="G105" s="150">
        <v>39.645000000000003</v>
      </c>
      <c r="H105" s="139"/>
      <c r="I105" s="139"/>
      <c r="J105" s="150">
        <v>29.733799999999999</v>
      </c>
      <c r="K105" t="str">
        <f t="shared" si="3"/>
        <v/>
      </c>
    </row>
    <row r="106" spans="1:14">
      <c r="A106" s="123"/>
      <c r="B106" s="146" t="s">
        <v>411</v>
      </c>
      <c r="C106" s="167" t="s">
        <v>412</v>
      </c>
      <c r="D106" s="148">
        <v>0.75</v>
      </c>
      <c r="E106" s="146" t="s">
        <v>316</v>
      </c>
      <c r="F106" s="139"/>
      <c r="G106" s="150">
        <v>33.863100000000003</v>
      </c>
      <c r="H106" s="139"/>
      <c r="I106" s="139"/>
      <c r="J106" s="150">
        <v>25.397300000000001</v>
      </c>
      <c r="K106" t="str">
        <f t="shared" si="3"/>
        <v/>
      </c>
    </row>
    <row r="107" spans="1:14">
      <c r="A107" s="123"/>
      <c r="B107" s="146" t="s">
        <v>416</v>
      </c>
      <c r="C107" s="167" t="s">
        <v>417</v>
      </c>
      <c r="D107" s="148">
        <v>0.5</v>
      </c>
      <c r="E107" s="146" t="s">
        <v>316</v>
      </c>
      <c r="F107" s="139"/>
      <c r="G107" s="150">
        <v>196.61080000000001</v>
      </c>
      <c r="H107" s="139"/>
      <c r="I107" s="139"/>
      <c r="J107" s="150">
        <v>98.305400000000006</v>
      </c>
      <c r="K107" t="str">
        <f t="shared" si="3"/>
        <v/>
      </c>
    </row>
    <row r="108" spans="1:14">
      <c r="A108" s="123"/>
      <c r="B108" s="139"/>
      <c r="C108" s="139"/>
      <c r="D108" s="139"/>
      <c r="E108" s="139"/>
      <c r="F108" s="139"/>
      <c r="G108" s="139"/>
      <c r="H108" s="139"/>
      <c r="I108" s="151" t="s">
        <v>383</v>
      </c>
      <c r="J108" s="150">
        <v>854.48710000000005</v>
      </c>
      <c r="K108" t="str">
        <f t="shared" si="3"/>
        <v/>
      </c>
    </row>
    <row r="109" spans="1:14">
      <c r="A109" s="123"/>
      <c r="B109" s="139"/>
      <c r="C109" s="139"/>
      <c r="D109" s="139"/>
      <c r="E109" s="139"/>
      <c r="F109" s="139"/>
      <c r="G109" s="139"/>
      <c r="H109" s="139"/>
      <c r="I109" s="151" t="s">
        <v>384</v>
      </c>
      <c r="J109" s="157">
        <v>866.84050000000002</v>
      </c>
      <c r="K109" t="str">
        <f t="shared" si="3"/>
        <v/>
      </c>
    </row>
    <row r="110" spans="1:14">
      <c r="A110" s="123"/>
      <c r="B110" s="141"/>
      <c r="C110" s="141"/>
      <c r="D110" s="141"/>
      <c r="E110" s="141"/>
      <c r="F110" s="141"/>
      <c r="G110" s="141"/>
      <c r="H110" s="141"/>
      <c r="I110" s="158" t="s">
        <v>385</v>
      </c>
      <c r="J110" s="159" t="s">
        <v>386</v>
      </c>
      <c r="K110" t="str">
        <f t="shared" si="3"/>
        <v/>
      </c>
    </row>
    <row r="111" spans="1:14">
      <c r="A111" s="123"/>
      <c r="B111" s="139"/>
      <c r="C111" s="139"/>
      <c r="D111" s="139"/>
      <c r="E111" s="139"/>
      <c r="F111" s="139"/>
      <c r="G111" s="139"/>
      <c r="H111" s="139"/>
      <c r="I111" s="151" t="s">
        <v>387</v>
      </c>
      <c r="J111" s="157">
        <v>866.84050000000002</v>
      </c>
      <c r="K111" t="str">
        <f t="shared" si="3"/>
        <v/>
      </c>
    </row>
    <row r="112" spans="1:14">
      <c r="A112" s="123"/>
      <c r="B112" s="139"/>
      <c r="C112" s="139"/>
      <c r="D112" s="139"/>
      <c r="E112" s="139"/>
      <c r="F112" s="139"/>
      <c r="G112" s="139"/>
      <c r="H112" s="139"/>
      <c r="I112" s="151" t="s">
        <v>388</v>
      </c>
      <c r="J112" s="151" t="s">
        <v>265</v>
      </c>
      <c r="K112" t="str">
        <f t="shared" si="3"/>
        <v/>
      </c>
    </row>
    <row r="113" spans="1:11">
      <c r="A113" s="123"/>
      <c r="B113" s="139"/>
      <c r="C113" s="139"/>
      <c r="D113" s="139"/>
      <c r="E113" s="139"/>
      <c r="F113" s="139"/>
      <c r="G113" s="139"/>
      <c r="H113" s="139"/>
      <c r="I113" s="151" t="s">
        <v>389</v>
      </c>
      <c r="J113" s="151" t="s">
        <v>265</v>
      </c>
      <c r="K113" t="str">
        <f t="shared" si="3"/>
        <v/>
      </c>
    </row>
    <row r="114" spans="1:11">
      <c r="A114" s="123"/>
      <c r="B114" s="152" t="s">
        <v>390</v>
      </c>
      <c r="C114" s="153"/>
      <c r="D114" s="144" t="s">
        <v>354</v>
      </c>
      <c r="E114" s="144" t="s">
        <v>365</v>
      </c>
      <c r="F114" s="153"/>
      <c r="G114" s="144" t="s">
        <v>391</v>
      </c>
      <c r="H114" s="153"/>
      <c r="I114" s="153"/>
      <c r="J114" s="154" t="s">
        <v>392</v>
      </c>
      <c r="K114" t="str">
        <f t="shared" si="3"/>
        <v/>
      </c>
    </row>
    <row r="115" spans="1:11">
      <c r="A115" s="123"/>
      <c r="B115" s="146" t="s">
        <v>317</v>
      </c>
      <c r="C115" s="167" t="s">
        <v>318</v>
      </c>
      <c r="D115" s="148">
        <v>9.5</v>
      </c>
      <c r="E115" s="146" t="s">
        <v>316</v>
      </c>
      <c r="F115" s="139"/>
      <c r="G115" s="150">
        <v>4.7278000000000002</v>
      </c>
      <c r="H115" s="139"/>
      <c r="I115" s="139"/>
      <c r="J115" s="150">
        <v>44.914099999999998</v>
      </c>
      <c r="K115" t="str">
        <f t="shared" si="3"/>
        <v/>
      </c>
    </row>
    <row r="116" spans="1:11">
      <c r="A116" s="123"/>
      <c r="B116" s="146" t="s">
        <v>310</v>
      </c>
      <c r="C116" s="167" t="s">
        <v>311</v>
      </c>
      <c r="D116" s="148">
        <v>9.5</v>
      </c>
      <c r="E116" s="146" t="s">
        <v>316</v>
      </c>
      <c r="F116" s="139"/>
      <c r="G116" s="150">
        <v>0.20069999999999999</v>
      </c>
      <c r="H116" s="139"/>
      <c r="I116" s="139"/>
      <c r="J116" s="150">
        <v>1.9067000000000001</v>
      </c>
      <c r="K116" t="str">
        <f t="shared" si="3"/>
        <v/>
      </c>
    </row>
    <row r="117" spans="1:11">
      <c r="A117" s="123"/>
      <c r="B117" s="139"/>
      <c r="C117" s="139"/>
      <c r="D117" s="139"/>
      <c r="E117" s="139"/>
      <c r="F117" s="139"/>
      <c r="G117" s="139"/>
      <c r="H117" s="139"/>
      <c r="I117" s="151" t="s">
        <v>395</v>
      </c>
      <c r="J117" s="150">
        <v>46.820799999999998</v>
      </c>
      <c r="K117" t="str">
        <f t="shared" si="3"/>
        <v/>
      </c>
    </row>
    <row r="118" spans="1:11">
      <c r="A118" s="123"/>
      <c r="B118" s="152" t="s">
        <v>396</v>
      </c>
      <c r="C118" s="153"/>
      <c r="D118" s="144" t="s">
        <v>354</v>
      </c>
      <c r="E118" s="144" t="s">
        <v>365</v>
      </c>
      <c r="F118" s="153"/>
      <c r="G118" s="144" t="s">
        <v>392</v>
      </c>
      <c r="H118" s="153"/>
      <c r="I118" s="153"/>
      <c r="J118" s="144" t="s">
        <v>392</v>
      </c>
      <c r="K118" t="str">
        <f t="shared" si="3"/>
        <v/>
      </c>
    </row>
    <row r="119" spans="1:11">
      <c r="A119" s="123"/>
      <c r="B119" s="139"/>
      <c r="C119" s="139"/>
      <c r="D119" s="139"/>
      <c r="E119" s="139"/>
      <c r="F119" s="139"/>
      <c r="G119" s="139"/>
      <c r="H119" s="139"/>
      <c r="I119" s="151" t="s">
        <v>397</v>
      </c>
      <c r="J119" s="150">
        <v>0</v>
      </c>
      <c r="K119" t="str">
        <f t="shared" si="3"/>
        <v/>
      </c>
    </row>
    <row r="120" spans="1:11">
      <c r="A120" s="123"/>
      <c r="B120" s="153"/>
      <c r="C120" s="153"/>
      <c r="D120" s="153"/>
      <c r="E120" s="153"/>
      <c r="F120" s="153"/>
      <c r="G120" s="153"/>
      <c r="H120" s="153"/>
      <c r="I120" s="154" t="s">
        <v>398</v>
      </c>
      <c r="J120" s="160">
        <v>913.66129999999998</v>
      </c>
      <c r="K120" t="str">
        <f t="shared" si="3"/>
        <v/>
      </c>
    </row>
    <row r="121" spans="1:11">
      <c r="A121" s="123"/>
      <c r="B121" s="152" t="s">
        <v>399</v>
      </c>
      <c r="C121" s="153"/>
      <c r="D121" s="144" t="s">
        <v>146</v>
      </c>
      <c r="E121" s="144" t="s">
        <v>354</v>
      </c>
      <c r="F121" s="144" t="s">
        <v>365</v>
      </c>
      <c r="G121" s="144" t="s">
        <v>392</v>
      </c>
      <c r="H121" s="153"/>
      <c r="I121" s="153"/>
      <c r="J121" s="154" t="s">
        <v>392</v>
      </c>
      <c r="K121" t="str">
        <f t="shared" si="3"/>
        <v/>
      </c>
    </row>
    <row r="122" spans="1:11">
      <c r="A122" s="123"/>
      <c r="B122" s="139"/>
      <c r="C122" s="139"/>
      <c r="D122" s="139"/>
      <c r="E122" s="139"/>
      <c r="F122" s="139"/>
      <c r="G122" s="139"/>
      <c r="H122" s="139"/>
      <c r="I122" s="151" t="s">
        <v>400</v>
      </c>
      <c r="J122" s="150">
        <v>0</v>
      </c>
      <c r="K122" t="str">
        <f t="shared" si="3"/>
        <v/>
      </c>
    </row>
    <row r="123" spans="1:11">
      <c r="A123" s="123"/>
      <c r="B123" s="817" t="s">
        <v>401</v>
      </c>
      <c r="C123" s="818"/>
      <c r="D123" s="821" t="s">
        <v>354</v>
      </c>
      <c r="E123" s="821" t="s">
        <v>365</v>
      </c>
      <c r="F123" s="821" t="s">
        <v>402</v>
      </c>
      <c r="G123" s="818"/>
      <c r="H123" s="818"/>
      <c r="I123" s="818"/>
      <c r="J123" s="823" t="s">
        <v>392</v>
      </c>
      <c r="K123" t="str">
        <f t="shared" si="3"/>
        <v/>
      </c>
    </row>
    <row r="124" spans="1:11">
      <c r="A124" s="123"/>
      <c r="B124" s="820"/>
      <c r="C124" s="820"/>
      <c r="D124" s="820"/>
      <c r="E124" s="820"/>
      <c r="F124" s="161" t="s">
        <v>139</v>
      </c>
      <c r="G124" s="161" t="s">
        <v>140</v>
      </c>
      <c r="H124" s="161" t="s">
        <v>141</v>
      </c>
      <c r="I124" s="161" t="s">
        <v>403</v>
      </c>
      <c r="J124" s="824"/>
      <c r="K124" t="str">
        <f t="shared" si="3"/>
        <v/>
      </c>
    </row>
    <row r="125" spans="1:11">
      <c r="A125" s="123"/>
      <c r="B125" s="139"/>
      <c r="C125" s="139"/>
      <c r="D125" s="139"/>
      <c r="E125" s="139"/>
      <c r="F125" s="139"/>
      <c r="G125" s="139"/>
      <c r="H125" s="139"/>
      <c r="I125" s="151" t="s">
        <v>404</v>
      </c>
      <c r="J125" s="139"/>
      <c r="K125" t="str">
        <f t="shared" si="3"/>
        <v/>
      </c>
    </row>
    <row r="126" spans="1:11" ht="15.75" thickBot="1">
      <c r="A126" s="123"/>
      <c r="B126" s="163"/>
      <c r="C126" s="163"/>
      <c r="D126" s="163"/>
      <c r="E126" s="163"/>
      <c r="F126" s="163"/>
      <c r="G126" s="163"/>
      <c r="H126" s="163"/>
      <c r="I126" s="164" t="s">
        <v>405</v>
      </c>
      <c r="J126" s="165">
        <v>913.66</v>
      </c>
      <c r="K126" t="str">
        <f t="shared" si="3"/>
        <v/>
      </c>
    </row>
    <row r="127" spans="1:11" ht="15.75" thickTop="1">
      <c r="A127" s="123"/>
      <c r="B127" s="827" t="s">
        <v>418</v>
      </c>
      <c r="C127" s="827"/>
      <c r="D127" s="827"/>
      <c r="E127" s="827"/>
      <c r="F127" s="827"/>
      <c r="G127" s="827"/>
      <c r="H127" s="139"/>
      <c r="I127" s="139"/>
      <c r="J127" s="139"/>
      <c r="K127" t="str">
        <f t="shared" si="3"/>
        <v>Obs.: Conforme Instrução Normativa: ISFs - 213 -214-215</v>
      </c>
    </row>
    <row r="128" spans="1:11">
      <c r="A128" s="123"/>
      <c r="B128" s="138"/>
      <c r="C128" s="139"/>
      <c r="D128" s="139"/>
      <c r="E128" s="138"/>
      <c r="F128" s="140"/>
      <c r="G128" s="139"/>
      <c r="H128" s="139"/>
      <c r="I128" s="139"/>
      <c r="J128" s="139"/>
      <c r="K128" s="166"/>
    </row>
    <row r="129" spans="1:14" ht="15.75" thickBot="1">
      <c r="A129" s="123"/>
      <c r="B129" s="138"/>
      <c r="C129" s="816"/>
      <c r="D129" s="816"/>
      <c r="E129" s="816"/>
      <c r="F129" s="816"/>
      <c r="G129" s="816"/>
      <c r="H129" s="139"/>
      <c r="I129" s="139"/>
      <c r="J129" s="139"/>
      <c r="K129" s="166"/>
    </row>
    <row r="130" spans="1:14" ht="16.5" thickTop="1">
      <c r="A130" s="123"/>
      <c r="B130" s="172" t="s">
        <v>342</v>
      </c>
      <c r="C130" s="134"/>
      <c r="D130" s="134"/>
      <c r="E130" s="174" t="s">
        <v>343</v>
      </c>
      <c r="F130" s="134"/>
      <c r="G130" s="175" t="s">
        <v>344</v>
      </c>
      <c r="H130" s="176" t="s">
        <v>344</v>
      </c>
      <c r="I130" s="134"/>
      <c r="J130" s="134" t="s">
        <v>345</v>
      </c>
      <c r="K130" t="str">
        <f t="shared" ref="K130:K165" si="5">IF(B127="SISTEMA DE CUSTOS REFERENCIAIS FERROVIÁRIOS – SICFER",C130,IF(LEFT(B130,4)="Obs.",B130,""))</f>
        <v/>
      </c>
    </row>
    <row r="131" spans="1:14">
      <c r="A131" s="123"/>
      <c r="B131" s="173" t="s">
        <v>346</v>
      </c>
      <c r="C131" s="139"/>
      <c r="D131" s="139"/>
      <c r="E131" s="138" t="s">
        <v>347</v>
      </c>
      <c r="F131" s="138" t="s">
        <v>348</v>
      </c>
      <c r="G131" s="139"/>
      <c r="H131" s="139"/>
      <c r="I131" s="139"/>
      <c r="J131" s="139"/>
      <c r="K131" t="str">
        <f t="shared" si="5"/>
        <v/>
      </c>
    </row>
    <row r="132" spans="1:14">
      <c r="A132" s="123"/>
      <c r="B132" s="138" t="s">
        <v>349</v>
      </c>
      <c r="C132" s="139"/>
      <c r="D132" s="139"/>
      <c r="E132" s="138" t="s">
        <v>350</v>
      </c>
      <c r="F132" s="140"/>
      <c r="G132" s="139"/>
      <c r="H132" s="139"/>
      <c r="I132" s="139"/>
      <c r="J132" s="139"/>
      <c r="K132" t="str">
        <f t="shared" si="5"/>
        <v/>
      </c>
    </row>
    <row r="133" spans="1:14">
      <c r="A133" s="123"/>
      <c r="B133" s="138" t="s">
        <v>419</v>
      </c>
      <c r="C133" s="173" t="s">
        <v>420</v>
      </c>
      <c r="D133" s="173"/>
      <c r="E133" s="173"/>
      <c r="F133" s="173"/>
      <c r="G133" s="173"/>
      <c r="H133" s="139"/>
      <c r="I133" s="139"/>
      <c r="J133" s="139"/>
      <c r="K133" t="str">
        <f t="shared" si="5"/>
        <v>Estudos operacionais (EVTE)</v>
      </c>
    </row>
    <row r="134" spans="1:14">
      <c r="A134" s="123"/>
      <c r="B134" s="168" t="s">
        <v>353</v>
      </c>
      <c r="C134" s="141"/>
      <c r="D134" s="168" t="s">
        <v>354</v>
      </c>
      <c r="E134" s="170" t="s">
        <v>355</v>
      </c>
      <c r="F134" s="141"/>
      <c r="G134" s="170" t="s">
        <v>356</v>
      </c>
      <c r="H134" s="141"/>
      <c r="I134" s="141"/>
      <c r="J134" s="142" t="s">
        <v>357</v>
      </c>
      <c r="K134" t="str">
        <f t="shared" si="5"/>
        <v/>
      </c>
    </row>
    <row r="135" spans="1:14">
      <c r="A135" s="123"/>
      <c r="B135" s="169"/>
      <c r="C135" s="143"/>
      <c r="D135" s="143"/>
      <c r="E135" s="144" t="s">
        <v>358</v>
      </c>
      <c r="F135" s="144" t="s">
        <v>359</v>
      </c>
      <c r="G135" s="144" t="s">
        <v>307</v>
      </c>
      <c r="H135" s="144" t="s">
        <v>269</v>
      </c>
      <c r="I135" s="143"/>
      <c r="J135" s="145" t="s">
        <v>360</v>
      </c>
      <c r="K135" t="str">
        <f t="shared" si="5"/>
        <v/>
      </c>
    </row>
    <row r="136" spans="1:14">
      <c r="A136" s="123"/>
      <c r="B136" s="146" t="s">
        <v>295</v>
      </c>
      <c r="C136" s="167" t="s">
        <v>296</v>
      </c>
      <c r="D136" s="148">
        <v>8</v>
      </c>
      <c r="E136" s="149">
        <v>1</v>
      </c>
      <c r="F136" s="149">
        <v>0</v>
      </c>
      <c r="G136" s="150">
        <v>1.4102999999999999</v>
      </c>
      <c r="H136" s="150">
        <v>0.92820000000000003</v>
      </c>
      <c r="I136" s="139"/>
      <c r="J136" s="150">
        <v>11.282400000000001</v>
      </c>
      <c r="K136" t="str">
        <f t="shared" si="5"/>
        <v/>
      </c>
    </row>
    <row r="137" spans="1:14">
      <c r="A137" s="123"/>
      <c r="B137" s="146" t="s">
        <v>297</v>
      </c>
      <c r="C137" s="167" t="s">
        <v>298</v>
      </c>
      <c r="D137" s="148">
        <v>5.375</v>
      </c>
      <c r="E137" s="149">
        <v>1</v>
      </c>
      <c r="F137" s="149">
        <v>0</v>
      </c>
      <c r="G137" s="150">
        <v>0.94610000000000005</v>
      </c>
      <c r="H137" s="150">
        <v>0.62270000000000003</v>
      </c>
      <c r="I137" s="139"/>
      <c r="J137" s="150">
        <v>5.0853000000000002</v>
      </c>
      <c r="K137" t="str">
        <f t="shared" si="5"/>
        <v/>
      </c>
    </row>
    <row r="138" spans="1:14">
      <c r="A138" s="123"/>
      <c r="B138" s="139"/>
      <c r="C138" s="139"/>
      <c r="D138" s="148"/>
      <c r="E138" s="139"/>
      <c r="F138" s="139"/>
      <c r="G138" s="139"/>
      <c r="H138" s="139"/>
      <c r="I138" s="151" t="s">
        <v>363</v>
      </c>
      <c r="J138" s="150">
        <v>16.367699999999999</v>
      </c>
      <c r="K138" t="str">
        <f t="shared" si="5"/>
        <v/>
      </c>
    </row>
    <row r="139" spans="1:14">
      <c r="A139" s="123"/>
      <c r="B139" s="152" t="s">
        <v>364</v>
      </c>
      <c r="C139" s="153"/>
      <c r="D139" s="144" t="s">
        <v>354</v>
      </c>
      <c r="E139" s="144" t="s">
        <v>365</v>
      </c>
      <c r="F139" s="153"/>
      <c r="G139" s="144" t="s">
        <v>356</v>
      </c>
      <c r="H139" s="153"/>
      <c r="I139" s="153"/>
      <c r="J139" s="154" t="s">
        <v>366</v>
      </c>
      <c r="K139" t="str">
        <f t="shared" si="5"/>
        <v/>
      </c>
    </row>
    <row r="140" spans="1:14">
      <c r="A140" s="123"/>
      <c r="B140" s="146" t="s">
        <v>367</v>
      </c>
      <c r="C140" s="167" t="s">
        <v>368</v>
      </c>
      <c r="D140" s="148">
        <v>1.375</v>
      </c>
      <c r="E140" s="146" t="s">
        <v>316</v>
      </c>
      <c r="F140" s="139"/>
      <c r="G140" s="150">
        <v>164.6233</v>
      </c>
      <c r="H140" s="139"/>
      <c r="I140" s="139"/>
      <c r="J140" s="150">
        <v>226.357</v>
      </c>
      <c r="K140" t="str">
        <f t="shared" si="5"/>
        <v/>
      </c>
    </row>
    <row r="141" spans="1:14">
      <c r="A141" s="123"/>
      <c r="B141" s="226" t="s">
        <v>369</v>
      </c>
      <c r="C141" s="227" t="s">
        <v>370</v>
      </c>
      <c r="D141" s="228">
        <v>4</v>
      </c>
      <c r="E141" s="229" t="s">
        <v>316</v>
      </c>
      <c r="F141" s="230"/>
      <c r="G141" s="231">
        <v>138.53210000000001</v>
      </c>
      <c r="H141" s="230"/>
      <c r="I141" s="230"/>
      <c r="J141" s="231">
        <v>554.12840000000006</v>
      </c>
      <c r="K141" s="232" t="str">
        <f t="shared" si="5"/>
        <v/>
      </c>
      <c r="L141" s="233">
        <f>D141*$L$1</f>
        <v>17440</v>
      </c>
      <c r="M141" s="233" t="s">
        <v>423</v>
      </c>
      <c r="N141" s="233">
        <f>L141/'Cronograma'!$D$8/$L$2</f>
        <v>13.652411482429565</v>
      </c>
    </row>
    <row r="142" spans="1:14">
      <c r="A142" s="123"/>
      <c r="B142" s="226" t="s">
        <v>371</v>
      </c>
      <c r="C142" s="227" t="s">
        <v>372</v>
      </c>
      <c r="D142" s="228">
        <v>4</v>
      </c>
      <c r="E142" s="229" t="s">
        <v>316</v>
      </c>
      <c r="F142" s="230"/>
      <c r="G142" s="231">
        <v>106.15779999999999</v>
      </c>
      <c r="H142" s="230"/>
      <c r="I142" s="230"/>
      <c r="J142" s="231">
        <v>424.63119999999998</v>
      </c>
      <c r="K142" s="232" t="str">
        <f t="shared" si="5"/>
        <v/>
      </c>
      <c r="L142" s="233">
        <f t="shared" ref="L142:L143" si="6">D142*$L$1</f>
        <v>17440</v>
      </c>
      <c r="M142" s="233" t="s">
        <v>423</v>
      </c>
      <c r="N142" s="233">
        <f>L142/'Cronograma'!$D$8/$L$2</f>
        <v>13.652411482429565</v>
      </c>
    </row>
    <row r="143" spans="1:14">
      <c r="A143" s="123"/>
      <c r="B143" s="226" t="s">
        <v>373</v>
      </c>
      <c r="C143" s="227" t="s">
        <v>374</v>
      </c>
      <c r="D143" s="228">
        <v>1.75</v>
      </c>
      <c r="E143" s="229" t="s">
        <v>316</v>
      </c>
      <c r="F143" s="230"/>
      <c r="G143" s="231">
        <v>94.805499999999995</v>
      </c>
      <c r="H143" s="230"/>
      <c r="I143" s="230"/>
      <c r="J143" s="231">
        <v>165.90960000000001</v>
      </c>
      <c r="K143" s="232" t="str">
        <f t="shared" si="5"/>
        <v/>
      </c>
      <c r="L143" s="233">
        <f t="shared" si="6"/>
        <v>7630</v>
      </c>
      <c r="M143" s="233" t="s">
        <v>423</v>
      </c>
      <c r="N143" s="233">
        <f>L143/'Cronograma'!$D$8/$L$2</f>
        <v>5.9729300235629346</v>
      </c>
    </row>
    <row r="144" spans="1:14">
      <c r="A144" s="123"/>
      <c r="B144" s="146" t="s">
        <v>377</v>
      </c>
      <c r="C144" s="167" t="s">
        <v>378</v>
      </c>
      <c r="D144" s="148">
        <v>1.375</v>
      </c>
      <c r="E144" s="146" t="s">
        <v>316</v>
      </c>
      <c r="F144" s="139"/>
      <c r="G144" s="150">
        <v>66.427899999999994</v>
      </c>
      <c r="H144" s="139"/>
      <c r="I144" s="139"/>
      <c r="J144" s="150">
        <v>91.338399999999993</v>
      </c>
      <c r="K144" t="str">
        <f t="shared" si="5"/>
        <v/>
      </c>
    </row>
    <row r="145" spans="1:11">
      <c r="A145" s="123"/>
      <c r="B145" s="146" t="s">
        <v>379</v>
      </c>
      <c r="C145" s="167" t="s">
        <v>380</v>
      </c>
      <c r="D145" s="148">
        <v>0.875</v>
      </c>
      <c r="E145" s="146" t="s">
        <v>316</v>
      </c>
      <c r="F145" s="139"/>
      <c r="G145" s="150">
        <v>56.192700000000002</v>
      </c>
      <c r="H145" s="139"/>
      <c r="I145" s="139"/>
      <c r="J145" s="150">
        <v>49.168599999999998</v>
      </c>
      <c r="K145" t="str">
        <f t="shared" si="5"/>
        <v/>
      </c>
    </row>
    <row r="146" spans="1:11">
      <c r="A146" s="123"/>
      <c r="B146" s="139"/>
      <c r="C146" s="139"/>
      <c r="D146" s="139"/>
      <c r="E146" s="139"/>
      <c r="F146" s="139"/>
      <c r="G146" s="139"/>
      <c r="H146" s="139"/>
      <c r="I146" s="151" t="s">
        <v>383</v>
      </c>
      <c r="J146" s="150">
        <v>1511.5332000000001</v>
      </c>
      <c r="K146" t="str">
        <f t="shared" si="5"/>
        <v/>
      </c>
    </row>
    <row r="147" spans="1:11">
      <c r="A147" s="123"/>
      <c r="B147" s="139"/>
      <c r="C147" s="139"/>
      <c r="D147" s="139"/>
      <c r="E147" s="139"/>
      <c r="F147" s="139"/>
      <c r="G147" s="139"/>
      <c r="H147" s="139"/>
      <c r="I147" s="151" t="s">
        <v>384</v>
      </c>
      <c r="J147" s="157">
        <v>1527.9009000000001</v>
      </c>
      <c r="K147" t="str">
        <f t="shared" si="5"/>
        <v/>
      </c>
    </row>
    <row r="148" spans="1:11">
      <c r="A148" s="123"/>
      <c r="B148" s="141"/>
      <c r="C148" s="141"/>
      <c r="D148" s="141"/>
      <c r="E148" s="141"/>
      <c r="F148" s="141"/>
      <c r="G148" s="141"/>
      <c r="H148" s="141"/>
      <c r="I148" s="158" t="s">
        <v>385</v>
      </c>
      <c r="J148" s="159" t="s">
        <v>386</v>
      </c>
      <c r="K148" t="str">
        <f t="shared" si="5"/>
        <v/>
      </c>
    </row>
    <row r="149" spans="1:11">
      <c r="A149" s="123"/>
      <c r="B149" s="139"/>
      <c r="C149" s="139"/>
      <c r="D149" s="139"/>
      <c r="E149" s="139"/>
      <c r="F149" s="139"/>
      <c r="G149" s="139"/>
      <c r="H149" s="139"/>
      <c r="I149" s="151" t="s">
        <v>387</v>
      </c>
      <c r="J149" s="157">
        <v>1527.9009000000001</v>
      </c>
      <c r="K149" t="str">
        <f t="shared" si="5"/>
        <v/>
      </c>
    </row>
    <row r="150" spans="1:11">
      <c r="A150" s="123"/>
      <c r="B150" s="139"/>
      <c r="C150" s="139"/>
      <c r="D150" s="139"/>
      <c r="E150" s="139"/>
      <c r="F150" s="139"/>
      <c r="G150" s="139"/>
      <c r="H150" s="139"/>
      <c r="I150" s="151" t="s">
        <v>388</v>
      </c>
      <c r="J150" s="151" t="s">
        <v>265</v>
      </c>
      <c r="K150" t="str">
        <f t="shared" si="5"/>
        <v/>
      </c>
    </row>
    <row r="151" spans="1:11">
      <c r="A151" s="123"/>
      <c r="B151" s="139"/>
      <c r="C151" s="139"/>
      <c r="D151" s="139"/>
      <c r="E151" s="139"/>
      <c r="F151" s="139"/>
      <c r="G151" s="139"/>
      <c r="H151" s="139"/>
      <c r="I151" s="151" t="s">
        <v>389</v>
      </c>
      <c r="J151" s="151" t="s">
        <v>265</v>
      </c>
      <c r="K151" t="str">
        <f t="shared" si="5"/>
        <v/>
      </c>
    </row>
    <row r="152" spans="1:11">
      <c r="A152" s="123"/>
      <c r="B152" s="152" t="s">
        <v>390</v>
      </c>
      <c r="C152" s="153"/>
      <c r="D152" s="144" t="s">
        <v>354</v>
      </c>
      <c r="E152" s="144" t="s">
        <v>365</v>
      </c>
      <c r="F152" s="153"/>
      <c r="G152" s="144" t="s">
        <v>391</v>
      </c>
      <c r="H152" s="153"/>
      <c r="I152" s="153"/>
      <c r="J152" s="154" t="s">
        <v>392</v>
      </c>
      <c r="K152" t="str">
        <f t="shared" si="5"/>
        <v/>
      </c>
    </row>
    <row r="153" spans="1:11">
      <c r="A153" s="123"/>
      <c r="B153" s="146" t="s">
        <v>319</v>
      </c>
      <c r="C153" s="167" t="s">
        <v>320</v>
      </c>
      <c r="D153" s="148">
        <v>2.25</v>
      </c>
      <c r="E153" s="146" t="s">
        <v>316</v>
      </c>
      <c r="F153" s="139"/>
      <c r="G153" s="150">
        <v>1.5410999999999999</v>
      </c>
      <c r="H153" s="139"/>
      <c r="I153" s="139"/>
      <c r="J153" s="150">
        <v>3.4674999999999998</v>
      </c>
      <c r="K153" t="str">
        <f t="shared" si="5"/>
        <v/>
      </c>
    </row>
    <row r="154" spans="1:11">
      <c r="A154" s="123"/>
      <c r="B154" s="146" t="s">
        <v>310</v>
      </c>
      <c r="C154" s="167" t="s">
        <v>311</v>
      </c>
      <c r="D154" s="148">
        <v>13.375</v>
      </c>
      <c r="E154" s="146" t="s">
        <v>316</v>
      </c>
      <c r="F154" s="139"/>
      <c r="G154" s="150">
        <v>0.20069999999999999</v>
      </c>
      <c r="H154" s="139"/>
      <c r="I154" s="139"/>
      <c r="J154" s="150">
        <v>2.6844000000000001</v>
      </c>
      <c r="K154" t="str">
        <f t="shared" si="5"/>
        <v/>
      </c>
    </row>
    <row r="155" spans="1:11">
      <c r="A155" s="123"/>
      <c r="B155" s="139"/>
      <c r="C155" s="139"/>
      <c r="D155" s="139"/>
      <c r="E155" s="139"/>
      <c r="F155" s="139"/>
      <c r="G155" s="139"/>
      <c r="H155" s="139"/>
      <c r="I155" s="151" t="s">
        <v>395</v>
      </c>
      <c r="J155" s="150">
        <v>6.1519000000000004</v>
      </c>
      <c r="K155" t="str">
        <f t="shared" si="5"/>
        <v/>
      </c>
    </row>
    <row r="156" spans="1:11">
      <c r="A156" s="123"/>
      <c r="B156" s="152" t="s">
        <v>396</v>
      </c>
      <c r="C156" s="153"/>
      <c r="D156" s="144" t="s">
        <v>354</v>
      </c>
      <c r="E156" s="144" t="s">
        <v>365</v>
      </c>
      <c r="F156" s="153"/>
      <c r="G156" s="144" t="s">
        <v>392</v>
      </c>
      <c r="H156" s="153"/>
      <c r="I156" s="153"/>
      <c r="J156" s="144" t="s">
        <v>392</v>
      </c>
      <c r="K156" t="str">
        <f t="shared" si="5"/>
        <v/>
      </c>
    </row>
    <row r="157" spans="1:11">
      <c r="A157" s="123"/>
      <c r="B157" s="139"/>
      <c r="C157" s="139"/>
      <c r="D157" s="139"/>
      <c r="E157" s="139"/>
      <c r="F157" s="139"/>
      <c r="G157" s="139"/>
      <c r="H157" s="139"/>
      <c r="I157" s="151" t="s">
        <v>397</v>
      </c>
      <c r="J157" s="150">
        <v>0</v>
      </c>
      <c r="K157" t="str">
        <f t="shared" si="5"/>
        <v/>
      </c>
    </row>
    <row r="158" spans="1:11">
      <c r="A158" s="123"/>
      <c r="B158" s="153"/>
      <c r="C158" s="153"/>
      <c r="D158" s="153"/>
      <c r="E158" s="153"/>
      <c r="F158" s="153"/>
      <c r="G158" s="153"/>
      <c r="H158" s="153"/>
      <c r="I158" s="154" t="s">
        <v>398</v>
      </c>
      <c r="J158" s="160">
        <v>1534.0527999999999</v>
      </c>
      <c r="K158" t="str">
        <f t="shared" si="5"/>
        <v/>
      </c>
    </row>
    <row r="159" spans="1:11">
      <c r="A159" s="123"/>
      <c r="B159" s="152" t="s">
        <v>399</v>
      </c>
      <c r="C159" s="153"/>
      <c r="D159" s="144" t="s">
        <v>146</v>
      </c>
      <c r="E159" s="144" t="s">
        <v>354</v>
      </c>
      <c r="F159" s="144" t="s">
        <v>365</v>
      </c>
      <c r="G159" s="144" t="s">
        <v>392</v>
      </c>
      <c r="H159" s="153"/>
      <c r="I159" s="153"/>
      <c r="J159" s="154" t="s">
        <v>392</v>
      </c>
      <c r="K159" t="str">
        <f t="shared" si="5"/>
        <v/>
      </c>
    </row>
    <row r="160" spans="1:11">
      <c r="A160" s="123"/>
      <c r="B160" s="139"/>
      <c r="C160" s="139"/>
      <c r="D160" s="139"/>
      <c r="E160" s="139"/>
      <c r="F160" s="139"/>
      <c r="G160" s="139"/>
      <c r="H160" s="139"/>
      <c r="I160" s="151" t="s">
        <v>400</v>
      </c>
      <c r="J160" s="150">
        <v>0</v>
      </c>
      <c r="K160" t="str">
        <f t="shared" si="5"/>
        <v/>
      </c>
    </row>
    <row r="161" spans="1:11">
      <c r="A161" s="123"/>
      <c r="B161" s="168" t="s">
        <v>401</v>
      </c>
      <c r="C161" s="141"/>
      <c r="D161" s="168" t="s">
        <v>354</v>
      </c>
      <c r="E161" s="168" t="s">
        <v>365</v>
      </c>
      <c r="F161" s="168" t="s">
        <v>402</v>
      </c>
      <c r="G161" s="141"/>
      <c r="H161" s="141"/>
      <c r="I161" s="141"/>
      <c r="J161" s="171" t="s">
        <v>392</v>
      </c>
      <c r="K161" t="str">
        <f t="shared" si="5"/>
        <v/>
      </c>
    </row>
    <row r="162" spans="1:11">
      <c r="A162" s="123"/>
      <c r="B162" s="143"/>
      <c r="C162" s="143"/>
      <c r="D162" s="143"/>
      <c r="E162" s="143"/>
      <c r="F162" s="161" t="s">
        <v>139</v>
      </c>
      <c r="G162" s="161" t="s">
        <v>140</v>
      </c>
      <c r="H162" s="161" t="s">
        <v>141</v>
      </c>
      <c r="I162" s="161" t="s">
        <v>403</v>
      </c>
      <c r="J162" s="162"/>
      <c r="K162" t="str">
        <f t="shared" si="5"/>
        <v/>
      </c>
    </row>
    <row r="163" spans="1:11">
      <c r="A163" s="123"/>
      <c r="B163" s="139"/>
      <c r="C163" s="139"/>
      <c r="D163" s="139"/>
      <c r="E163" s="139"/>
      <c r="F163" s="139"/>
      <c r="G163" s="139"/>
      <c r="H163" s="139"/>
      <c r="I163" s="151" t="s">
        <v>404</v>
      </c>
      <c r="J163" s="139"/>
      <c r="K163" t="str">
        <f t="shared" si="5"/>
        <v/>
      </c>
    </row>
    <row r="164" spans="1:11" ht="15.75" thickBot="1">
      <c r="A164" s="123"/>
      <c r="B164" s="163"/>
      <c r="C164" s="163"/>
      <c r="D164" s="163"/>
      <c r="E164" s="163"/>
      <c r="F164" s="163"/>
      <c r="G164" s="163"/>
      <c r="H164" s="163"/>
      <c r="I164" s="164" t="s">
        <v>405</v>
      </c>
      <c r="J164" s="165">
        <v>1534.05</v>
      </c>
      <c r="K164" t="str">
        <f t="shared" si="5"/>
        <v/>
      </c>
    </row>
    <row r="165" spans="1:11" ht="15.75" thickTop="1">
      <c r="A165" s="123"/>
      <c r="B165" s="177" t="s">
        <v>421</v>
      </c>
      <c r="C165" s="177"/>
      <c r="D165" s="177"/>
      <c r="E165" s="177"/>
      <c r="F165" s="177"/>
      <c r="G165" s="177"/>
      <c r="H165" s="139"/>
      <c r="I165" s="139"/>
      <c r="J165" s="139"/>
      <c r="K165" t="str">
        <f t="shared" si="5"/>
        <v>Obs.: Conforme Instrução Normativa: ISF - 227</v>
      </c>
    </row>
  </sheetData>
  <mergeCells count="35">
    <mergeCell ref="C129:G129"/>
    <mergeCell ref="B123:C124"/>
    <mergeCell ref="D123:D124"/>
    <mergeCell ref="E123:E124"/>
    <mergeCell ref="F123:I123"/>
    <mergeCell ref="J80:J81"/>
    <mergeCell ref="J123:J124"/>
    <mergeCell ref="B127:G127"/>
    <mergeCell ref="C86:G86"/>
    <mergeCell ref="C90:G90"/>
    <mergeCell ref="B91:C92"/>
    <mergeCell ref="D91:D92"/>
    <mergeCell ref="E91:F91"/>
    <mergeCell ref="G91:H91"/>
    <mergeCell ref="B84:G84"/>
    <mergeCell ref="B80:C81"/>
    <mergeCell ref="D80:D81"/>
    <mergeCell ref="E80:E81"/>
    <mergeCell ref="F80:I80"/>
    <mergeCell ref="J39:J40"/>
    <mergeCell ref="B43:G43"/>
    <mergeCell ref="C48:G48"/>
    <mergeCell ref="B49:C50"/>
    <mergeCell ref="D49:D50"/>
    <mergeCell ref="E49:F49"/>
    <mergeCell ref="G49:H49"/>
    <mergeCell ref="B39:C40"/>
    <mergeCell ref="D39:D40"/>
    <mergeCell ref="E39:E40"/>
    <mergeCell ref="F39:I39"/>
    <mergeCell ref="C5:G5"/>
    <mergeCell ref="B6:C7"/>
    <mergeCell ref="D6:D7"/>
    <mergeCell ref="E6:F6"/>
    <mergeCell ref="G6:H6"/>
  </mergeCells>
  <pageMargins left="0.511811024" right="0.511811024" top="0.78740157499999996" bottom="0.78740157499999996" header="0.31496062000000002" footer="0.31496062000000002"/>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DE2A1-518C-4567-B433-A8622D7B5E6C}">
  <sheetPr filterMode="1">
    <tabColor rgb="FF00B050"/>
  </sheetPr>
  <dimension ref="B1:Z102"/>
  <sheetViews>
    <sheetView workbookViewId="0"/>
  </sheetViews>
  <sheetFormatPr defaultColWidth="43.42578125" defaultRowHeight="14.25"/>
  <cols>
    <col min="1" max="1" width="6.28515625" style="1" customWidth="1"/>
    <col min="2" max="2" width="14.7109375" style="1" customWidth="1"/>
    <col min="3" max="3" width="47.7109375" style="1" customWidth="1"/>
    <col min="4" max="4" width="12.140625" style="1" bestFit="1" customWidth="1"/>
    <col min="5" max="5" width="12" style="1" customWidth="1"/>
    <col min="6" max="6" width="10.5703125" style="1" customWidth="1"/>
    <col min="7" max="7" width="11.5703125" style="1" customWidth="1"/>
    <col min="8" max="8" width="9.5703125" style="1" customWidth="1"/>
    <col min="9" max="9" width="9.140625" style="1" customWidth="1"/>
    <col min="10" max="10" width="9.28515625" style="1" customWidth="1"/>
    <col min="11" max="11" width="7.140625" style="1" customWidth="1"/>
    <col min="12" max="12" width="8.7109375" style="1" customWidth="1"/>
    <col min="13" max="13" width="6.5703125" style="1" customWidth="1"/>
    <col min="14" max="14" width="9.28515625" style="1" customWidth="1"/>
    <col min="15" max="15" width="8" style="1" bestFit="1" customWidth="1"/>
    <col min="16" max="16" width="10" style="1" customWidth="1"/>
    <col min="17" max="17" width="7.140625" style="1" customWidth="1"/>
    <col min="18" max="18" width="9" style="1" customWidth="1"/>
    <col min="19" max="19" width="7" style="1" customWidth="1"/>
    <col min="20" max="21" width="8.7109375" style="1" customWidth="1"/>
    <col min="22" max="22" width="9.85546875" style="1" customWidth="1"/>
    <col min="23" max="23" width="6.7109375" style="1" customWidth="1"/>
    <col min="24" max="24" width="11" style="1" customWidth="1"/>
    <col min="25" max="25" width="12" style="1" customWidth="1"/>
    <col min="26" max="26" width="13.7109375" style="1" customWidth="1"/>
    <col min="27" max="27" width="6.28515625" style="1" customWidth="1"/>
    <col min="28" max="16384" width="43.42578125" style="1"/>
  </cols>
  <sheetData>
    <row r="1" spans="2:26" ht="28.35" customHeight="1">
      <c r="B1" s="830" t="s">
        <v>146</v>
      </c>
      <c r="C1" s="828" t="s">
        <v>147</v>
      </c>
      <c r="D1" s="828" t="s">
        <v>148</v>
      </c>
      <c r="E1" s="828" t="s">
        <v>149</v>
      </c>
      <c r="F1" s="828" t="s">
        <v>150</v>
      </c>
      <c r="G1" s="828"/>
      <c r="H1" s="828" t="s">
        <v>151</v>
      </c>
      <c r="I1" s="828"/>
      <c r="J1" s="828"/>
      <c r="K1" s="828"/>
      <c r="L1" s="828"/>
      <c r="M1" s="828"/>
      <c r="N1" s="828"/>
      <c r="O1" s="828"/>
      <c r="P1" s="828"/>
      <c r="Q1" s="828"/>
      <c r="R1" s="828" t="s">
        <v>152</v>
      </c>
      <c r="S1" s="828"/>
      <c r="T1" s="828"/>
      <c r="U1" s="828"/>
      <c r="V1" s="828"/>
      <c r="W1" s="828"/>
      <c r="X1" s="828" t="s">
        <v>153</v>
      </c>
      <c r="Y1" s="828"/>
      <c r="Z1" s="829" t="s">
        <v>154</v>
      </c>
    </row>
    <row r="2" spans="2:26" ht="36" customHeight="1">
      <c r="B2" s="830"/>
      <c r="C2" s="828"/>
      <c r="D2" s="828"/>
      <c r="E2" s="828"/>
      <c r="F2" s="828"/>
      <c r="G2" s="828"/>
      <c r="H2" s="828" t="s">
        <v>155</v>
      </c>
      <c r="I2" s="828"/>
      <c r="J2" s="828" t="s">
        <v>156</v>
      </c>
      <c r="K2" s="828"/>
      <c r="L2" s="828" t="s">
        <v>157</v>
      </c>
      <c r="M2" s="828"/>
      <c r="N2" s="828" t="s">
        <v>158</v>
      </c>
      <c r="O2" s="828"/>
      <c r="P2" s="828" t="s">
        <v>159</v>
      </c>
      <c r="Q2" s="828"/>
      <c r="R2" s="828" t="s">
        <v>160</v>
      </c>
      <c r="S2" s="828"/>
      <c r="T2" s="828" t="s">
        <v>161</v>
      </c>
      <c r="U2" s="828"/>
      <c r="V2" s="828" t="s">
        <v>162</v>
      </c>
      <c r="W2" s="828"/>
      <c r="X2" s="828"/>
      <c r="Y2" s="828"/>
      <c r="Z2" s="829"/>
    </row>
    <row r="3" spans="2:26" ht="28.35" customHeight="1">
      <c r="B3" s="830"/>
      <c r="C3" s="828"/>
      <c r="D3" s="828"/>
      <c r="E3" s="97" t="s">
        <v>163</v>
      </c>
      <c r="F3" s="97" t="s">
        <v>164</v>
      </c>
      <c r="G3" s="97" t="s">
        <v>163</v>
      </c>
      <c r="H3" s="97" t="s">
        <v>164</v>
      </c>
      <c r="I3" s="97" t="s">
        <v>163</v>
      </c>
      <c r="J3" s="97" t="s">
        <v>164</v>
      </c>
      <c r="K3" s="97" t="s">
        <v>163</v>
      </c>
      <c r="L3" s="97" t="s">
        <v>164</v>
      </c>
      <c r="M3" s="97" t="s">
        <v>163</v>
      </c>
      <c r="N3" s="97" t="s">
        <v>164</v>
      </c>
      <c r="O3" s="97" t="s">
        <v>163</v>
      </c>
      <c r="P3" s="97" t="s">
        <v>164</v>
      </c>
      <c r="Q3" s="97" t="s">
        <v>163</v>
      </c>
      <c r="R3" s="97" t="s">
        <v>164</v>
      </c>
      <c r="S3" s="97" t="s">
        <v>163</v>
      </c>
      <c r="T3" s="97" t="s">
        <v>164</v>
      </c>
      <c r="U3" s="97" t="s">
        <v>163</v>
      </c>
      <c r="V3" s="97" t="s">
        <v>164</v>
      </c>
      <c r="W3" s="97" t="s">
        <v>163</v>
      </c>
      <c r="X3" s="97" t="s">
        <v>164</v>
      </c>
      <c r="Y3" s="97" t="s">
        <v>163</v>
      </c>
      <c r="Z3" s="98" t="s">
        <v>163</v>
      </c>
    </row>
    <row r="4" spans="2:26" ht="28.35" customHeight="1">
      <c r="B4" s="99" t="s">
        <v>165</v>
      </c>
      <c r="C4" s="100" t="s">
        <v>1</v>
      </c>
      <c r="D4" s="101" t="s">
        <v>166</v>
      </c>
      <c r="E4" s="102">
        <v>4281.78</v>
      </c>
      <c r="F4" s="2">
        <v>0.79520000000000002</v>
      </c>
      <c r="G4" s="102">
        <v>3404.88</v>
      </c>
      <c r="H4" s="2">
        <v>0.16420000000000001</v>
      </c>
      <c r="I4" s="102">
        <v>702.89</v>
      </c>
      <c r="J4" s="2">
        <v>5.7999999999999996E-3</v>
      </c>
      <c r="K4" s="102">
        <v>24.8</v>
      </c>
      <c r="L4" s="2">
        <v>0</v>
      </c>
      <c r="M4" s="102">
        <v>0</v>
      </c>
      <c r="N4" s="2">
        <v>0</v>
      </c>
      <c r="O4" s="102">
        <v>0</v>
      </c>
      <c r="P4" s="2">
        <v>6.9999999999999999E-4</v>
      </c>
      <c r="Q4" s="102">
        <v>3.02</v>
      </c>
      <c r="R4" s="2">
        <v>0</v>
      </c>
      <c r="S4" s="102">
        <v>0</v>
      </c>
      <c r="T4" s="2">
        <v>6.7100000000000007E-2</v>
      </c>
      <c r="U4" s="102">
        <v>287.2</v>
      </c>
      <c r="V4" s="2">
        <v>2.3E-3</v>
      </c>
      <c r="W4" s="102">
        <v>9.98</v>
      </c>
      <c r="X4" s="2">
        <v>1.0353000000000001</v>
      </c>
      <c r="Y4" s="102">
        <v>4432.76</v>
      </c>
      <c r="Z4" s="103">
        <v>8714.5499999999993</v>
      </c>
    </row>
    <row r="5" spans="2:26" ht="28.35" customHeight="1">
      <c r="B5" s="99" t="s">
        <v>167</v>
      </c>
      <c r="C5" s="100" t="s">
        <v>2</v>
      </c>
      <c r="D5" s="101" t="s">
        <v>166</v>
      </c>
      <c r="E5" s="102">
        <v>5709.05</v>
      </c>
      <c r="F5" s="2">
        <v>0.79520000000000002</v>
      </c>
      <c r="G5" s="102">
        <v>4539.83</v>
      </c>
      <c r="H5" s="2">
        <v>0.1231</v>
      </c>
      <c r="I5" s="102">
        <v>702.89</v>
      </c>
      <c r="J5" s="2">
        <v>4.3E-3</v>
      </c>
      <c r="K5" s="102">
        <v>24.8</v>
      </c>
      <c r="L5" s="2">
        <v>0</v>
      </c>
      <c r="M5" s="102">
        <v>0</v>
      </c>
      <c r="N5" s="2">
        <v>0</v>
      </c>
      <c r="O5" s="102">
        <v>0</v>
      </c>
      <c r="P5" s="2">
        <v>5.0000000000000001E-4</v>
      </c>
      <c r="Q5" s="102">
        <v>3.02</v>
      </c>
      <c r="R5" s="2">
        <v>0</v>
      </c>
      <c r="S5" s="102">
        <v>0</v>
      </c>
      <c r="T5" s="2">
        <v>5.0299999999999997E-2</v>
      </c>
      <c r="U5" s="102">
        <v>287.2</v>
      </c>
      <c r="V5" s="2">
        <v>1.6999999999999999E-3</v>
      </c>
      <c r="W5" s="102">
        <v>9.98</v>
      </c>
      <c r="X5" s="2">
        <v>0.97519999999999996</v>
      </c>
      <c r="Y5" s="102">
        <v>5567.72</v>
      </c>
      <c r="Z5" s="103">
        <v>11276.77</v>
      </c>
    </row>
    <row r="6" spans="2:26" ht="28.35" customHeight="1">
      <c r="B6" s="99" t="s">
        <v>168</v>
      </c>
      <c r="C6" s="100" t="s">
        <v>3</v>
      </c>
      <c r="D6" s="101" t="s">
        <v>166</v>
      </c>
      <c r="E6" s="102">
        <v>10130.91</v>
      </c>
      <c r="F6" s="2">
        <v>0.79520000000000002</v>
      </c>
      <c r="G6" s="102">
        <v>8056.1</v>
      </c>
      <c r="H6" s="2">
        <v>6.9400000000000003E-2</v>
      </c>
      <c r="I6" s="102">
        <v>702.89</v>
      </c>
      <c r="J6" s="2">
        <v>2.3999999999999998E-3</v>
      </c>
      <c r="K6" s="102">
        <v>24.8</v>
      </c>
      <c r="L6" s="2">
        <v>0</v>
      </c>
      <c r="M6" s="102">
        <v>0</v>
      </c>
      <c r="N6" s="2">
        <v>0</v>
      </c>
      <c r="O6" s="102">
        <v>0</v>
      </c>
      <c r="P6" s="2">
        <v>2.9999999999999997E-4</v>
      </c>
      <c r="Q6" s="102">
        <v>3.02</v>
      </c>
      <c r="R6" s="2">
        <v>0</v>
      </c>
      <c r="S6" s="102">
        <v>0</v>
      </c>
      <c r="T6" s="2">
        <v>2.8299999999999999E-2</v>
      </c>
      <c r="U6" s="102">
        <v>287.2</v>
      </c>
      <c r="V6" s="2">
        <v>1E-3</v>
      </c>
      <c r="W6" s="102">
        <v>9.98</v>
      </c>
      <c r="X6" s="2">
        <v>0.89670000000000005</v>
      </c>
      <c r="Y6" s="102">
        <v>9083.99</v>
      </c>
      <c r="Z6" s="103">
        <v>19214.900000000001</v>
      </c>
    </row>
    <row r="7" spans="2:26" ht="28.35" hidden="1" customHeight="1">
      <c r="B7" s="99" t="s">
        <v>169</v>
      </c>
      <c r="C7" s="100" t="s">
        <v>4</v>
      </c>
      <c r="D7" s="101" t="s">
        <v>166</v>
      </c>
      <c r="E7" s="102">
        <v>4013.75</v>
      </c>
      <c r="F7" s="2">
        <v>0.79410000000000003</v>
      </c>
      <c r="G7" s="102">
        <v>3187.32</v>
      </c>
      <c r="H7" s="2">
        <v>0.17510000000000001</v>
      </c>
      <c r="I7" s="102">
        <v>702.89</v>
      </c>
      <c r="J7" s="2">
        <v>0</v>
      </c>
      <c r="K7" s="102">
        <v>0</v>
      </c>
      <c r="L7" s="2">
        <v>0</v>
      </c>
      <c r="M7" s="102">
        <v>0</v>
      </c>
      <c r="N7" s="2">
        <v>0</v>
      </c>
      <c r="O7" s="102">
        <v>0</v>
      </c>
      <c r="P7" s="2">
        <v>8.9999999999999998E-4</v>
      </c>
      <c r="Q7" s="102">
        <v>3.46</v>
      </c>
      <c r="R7" s="2">
        <v>0</v>
      </c>
      <c r="S7" s="102">
        <v>0</v>
      </c>
      <c r="T7" s="2">
        <v>7.1599999999999997E-2</v>
      </c>
      <c r="U7" s="102">
        <v>287.2</v>
      </c>
      <c r="V7" s="2">
        <v>2.5000000000000001E-3</v>
      </c>
      <c r="W7" s="102">
        <v>9.98</v>
      </c>
      <c r="X7" s="2">
        <v>1.0441</v>
      </c>
      <c r="Y7" s="102">
        <v>4190.8500000000004</v>
      </c>
      <c r="Z7" s="103">
        <v>8204.59</v>
      </c>
    </row>
    <row r="8" spans="2:26" ht="28.35" hidden="1" customHeight="1">
      <c r="B8" s="99" t="s">
        <v>170</v>
      </c>
      <c r="C8" s="100" t="s">
        <v>5</v>
      </c>
      <c r="D8" s="101" t="s">
        <v>166</v>
      </c>
      <c r="E8" s="102">
        <v>5130.1499999999996</v>
      </c>
      <c r="F8" s="2">
        <v>0.79410000000000003</v>
      </c>
      <c r="G8" s="102">
        <v>4073.85</v>
      </c>
      <c r="H8" s="2">
        <v>0.13700000000000001</v>
      </c>
      <c r="I8" s="102">
        <v>702.89</v>
      </c>
      <c r="J8" s="2">
        <v>0</v>
      </c>
      <c r="K8" s="102">
        <v>0</v>
      </c>
      <c r="L8" s="2">
        <v>0</v>
      </c>
      <c r="M8" s="102">
        <v>0</v>
      </c>
      <c r="N8" s="2">
        <v>0</v>
      </c>
      <c r="O8" s="102">
        <v>0</v>
      </c>
      <c r="P8" s="2">
        <v>6.9999999999999999E-4</v>
      </c>
      <c r="Q8" s="102">
        <v>3.46</v>
      </c>
      <c r="R8" s="2">
        <v>0</v>
      </c>
      <c r="S8" s="102">
        <v>0</v>
      </c>
      <c r="T8" s="2">
        <v>5.6000000000000001E-2</v>
      </c>
      <c r="U8" s="102">
        <v>287.2</v>
      </c>
      <c r="V8" s="2">
        <v>1.9E-3</v>
      </c>
      <c r="W8" s="102">
        <v>9.98</v>
      </c>
      <c r="X8" s="2">
        <v>0.98970000000000002</v>
      </c>
      <c r="Y8" s="102">
        <v>5077.38</v>
      </c>
      <c r="Z8" s="103">
        <v>10207.530000000001</v>
      </c>
    </row>
    <row r="9" spans="2:26" ht="28.35" hidden="1" customHeight="1">
      <c r="B9" s="99" t="s">
        <v>171</v>
      </c>
      <c r="C9" s="100" t="s">
        <v>6</v>
      </c>
      <c r="D9" s="101" t="s">
        <v>166</v>
      </c>
      <c r="E9" s="102">
        <v>9196.66</v>
      </c>
      <c r="F9" s="2">
        <v>0.79410000000000003</v>
      </c>
      <c r="G9" s="102">
        <v>7303.07</v>
      </c>
      <c r="H9" s="2">
        <v>7.6399999999999996E-2</v>
      </c>
      <c r="I9" s="102">
        <v>702.89</v>
      </c>
      <c r="J9" s="2">
        <v>0</v>
      </c>
      <c r="K9" s="102">
        <v>0</v>
      </c>
      <c r="L9" s="2">
        <v>0</v>
      </c>
      <c r="M9" s="102">
        <v>0</v>
      </c>
      <c r="N9" s="2">
        <v>0</v>
      </c>
      <c r="O9" s="102">
        <v>0</v>
      </c>
      <c r="P9" s="2">
        <v>4.0000000000000002E-4</v>
      </c>
      <c r="Q9" s="102">
        <v>3.46</v>
      </c>
      <c r="R9" s="2">
        <v>0</v>
      </c>
      <c r="S9" s="102">
        <v>0</v>
      </c>
      <c r="T9" s="2">
        <v>3.1199999999999999E-2</v>
      </c>
      <c r="U9" s="102">
        <v>287.2</v>
      </c>
      <c r="V9" s="2">
        <v>1.1000000000000001E-3</v>
      </c>
      <c r="W9" s="102">
        <v>9.98</v>
      </c>
      <c r="X9" s="2">
        <v>0.9032</v>
      </c>
      <c r="Y9" s="102">
        <v>8306.6</v>
      </c>
      <c r="Z9" s="103">
        <v>17503.259999999998</v>
      </c>
    </row>
    <row r="10" spans="2:26" ht="28.35" hidden="1" customHeight="1">
      <c r="B10" s="99" t="s">
        <v>172</v>
      </c>
      <c r="C10" s="100" t="s">
        <v>7</v>
      </c>
      <c r="D10" s="101" t="s">
        <v>166</v>
      </c>
      <c r="E10" s="102">
        <v>11220</v>
      </c>
      <c r="F10" s="2">
        <v>0.79300000000000004</v>
      </c>
      <c r="G10" s="102">
        <v>8897.4599999999991</v>
      </c>
      <c r="H10" s="2">
        <v>6.2600000000000003E-2</v>
      </c>
      <c r="I10" s="102">
        <v>702.89</v>
      </c>
      <c r="J10" s="2">
        <v>2.2000000000000001E-3</v>
      </c>
      <c r="K10" s="102">
        <v>24.8</v>
      </c>
      <c r="L10" s="2">
        <v>0</v>
      </c>
      <c r="M10" s="102">
        <v>0</v>
      </c>
      <c r="N10" s="2">
        <v>0</v>
      </c>
      <c r="O10" s="102">
        <v>0</v>
      </c>
      <c r="P10" s="2">
        <v>2.9999999999999997E-4</v>
      </c>
      <c r="Q10" s="102">
        <v>3.43</v>
      </c>
      <c r="R10" s="2">
        <v>0</v>
      </c>
      <c r="S10" s="102">
        <v>0</v>
      </c>
      <c r="T10" s="2">
        <v>2.5600000000000001E-2</v>
      </c>
      <c r="U10" s="102">
        <v>287.2</v>
      </c>
      <c r="V10" s="2">
        <v>8.9999999999999998E-4</v>
      </c>
      <c r="W10" s="102">
        <v>9.98</v>
      </c>
      <c r="X10" s="2">
        <v>0.88460000000000005</v>
      </c>
      <c r="Y10" s="102">
        <v>9925.76</v>
      </c>
      <c r="Z10" s="103">
        <v>21145.759999999998</v>
      </c>
    </row>
    <row r="11" spans="2:26" ht="28.35" hidden="1" customHeight="1">
      <c r="B11" s="99" t="s">
        <v>173</v>
      </c>
      <c r="C11" s="100" t="s">
        <v>8</v>
      </c>
      <c r="D11" s="101" t="s">
        <v>166</v>
      </c>
      <c r="E11" s="102">
        <v>11626.7</v>
      </c>
      <c r="F11" s="2">
        <v>0.79300000000000004</v>
      </c>
      <c r="G11" s="102">
        <v>9219.9699999999993</v>
      </c>
      <c r="H11" s="2">
        <v>6.0499999999999998E-2</v>
      </c>
      <c r="I11" s="102">
        <v>702.89</v>
      </c>
      <c r="J11" s="2">
        <v>2.0999999999999999E-3</v>
      </c>
      <c r="K11" s="102">
        <v>24.8</v>
      </c>
      <c r="L11" s="2">
        <v>0</v>
      </c>
      <c r="M11" s="102">
        <v>0</v>
      </c>
      <c r="N11" s="2">
        <v>0</v>
      </c>
      <c r="O11" s="102">
        <v>0</v>
      </c>
      <c r="P11" s="2">
        <v>2.9999999999999997E-4</v>
      </c>
      <c r="Q11" s="102">
        <v>3.43</v>
      </c>
      <c r="R11" s="2">
        <v>0</v>
      </c>
      <c r="S11" s="102">
        <v>0</v>
      </c>
      <c r="T11" s="2">
        <v>2.47E-2</v>
      </c>
      <c r="U11" s="102">
        <v>287.2</v>
      </c>
      <c r="V11" s="2">
        <v>8.9999999999999998E-4</v>
      </c>
      <c r="W11" s="102">
        <v>9.98</v>
      </c>
      <c r="X11" s="2">
        <v>0.88139999999999996</v>
      </c>
      <c r="Y11" s="102">
        <v>10248.27</v>
      </c>
      <c r="Z11" s="103">
        <v>21874.97</v>
      </c>
    </row>
    <row r="12" spans="2:26" ht="28.35" hidden="1" customHeight="1">
      <c r="B12" s="99" t="s">
        <v>174</v>
      </c>
      <c r="C12" s="100" t="s">
        <v>9</v>
      </c>
      <c r="D12" s="101" t="s">
        <v>166</v>
      </c>
      <c r="E12" s="102">
        <v>14229.73</v>
      </c>
      <c r="F12" s="2">
        <v>0.79300000000000004</v>
      </c>
      <c r="G12" s="102">
        <v>11284.18</v>
      </c>
      <c r="H12" s="2">
        <v>4.9399999999999999E-2</v>
      </c>
      <c r="I12" s="102">
        <v>702.89</v>
      </c>
      <c r="J12" s="2">
        <v>1.6999999999999999E-3</v>
      </c>
      <c r="K12" s="102">
        <v>24.8</v>
      </c>
      <c r="L12" s="2">
        <v>0</v>
      </c>
      <c r="M12" s="102">
        <v>0</v>
      </c>
      <c r="N12" s="2">
        <v>0</v>
      </c>
      <c r="O12" s="102">
        <v>0</v>
      </c>
      <c r="P12" s="2">
        <v>2.0000000000000001E-4</v>
      </c>
      <c r="Q12" s="102">
        <v>3.43</v>
      </c>
      <c r="R12" s="2">
        <v>0</v>
      </c>
      <c r="S12" s="102">
        <v>0</v>
      </c>
      <c r="T12" s="2">
        <v>2.0199999999999999E-2</v>
      </c>
      <c r="U12" s="102">
        <v>287.2</v>
      </c>
      <c r="V12" s="2">
        <v>6.9999999999999999E-4</v>
      </c>
      <c r="W12" s="102">
        <v>9.98</v>
      </c>
      <c r="X12" s="2">
        <v>0.86529999999999996</v>
      </c>
      <c r="Y12" s="102">
        <v>12312.48</v>
      </c>
      <c r="Z12" s="103">
        <v>26542.21</v>
      </c>
    </row>
    <row r="13" spans="2:26" ht="28.35" hidden="1" customHeight="1">
      <c r="B13" s="99" t="s">
        <v>175</v>
      </c>
      <c r="C13" s="100" t="s">
        <v>10</v>
      </c>
      <c r="D13" s="101" t="s">
        <v>166</v>
      </c>
      <c r="E13" s="102">
        <v>3020.78</v>
      </c>
      <c r="F13" s="2">
        <v>0.79979999999999996</v>
      </c>
      <c r="G13" s="102">
        <v>2416.02</v>
      </c>
      <c r="H13" s="2">
        <v>0.23269999999999999</v>
      </c>
      <c r="I13" s="102">
        <v>702.89</v>
      </c>
      <c r="J13" s="2">
        <v>8.2000000000000007E-3</v>
      </c>
      <c r="K13" s="102">
        <v>24.8</v>
      </c>
      <c r="L13" s="2">
        <v>0</v>
      </c>
      <c r="M13" s="102">
        <v>0</v>
      </c>
      <c r="N13" s="2">
        <v>1.2500000000000001E-2</v>
      </c>
      <c r="O13" s="102">
        <v>37.78</v>
      </c>
      <c r="P13" s="2">
        <v>1.6000000000000001E-3</v>
      </c>
      <c r="Q13" s="102">
        <v>4.7</v>
      </c>
      <c r="R13" s="2">
        <v>0</v>
      </c>
      <c r="S13" s="102">
        <v>0</v>
      </c>
      <c r="T13" s="2">
        <v>9.5100000000000004E-2</v>
      </c>
      <c r="U13" s="102">
        <v>287.2</v>
      </c>
      <c r="V13" s="2">
        <v>3.3E-3</v>
      </c>
      <c r="W13" s="102">
        <v>9.98</v>
      </c>
      <c r="X13" s="2">
        <v>1.1531</v>
      </c>
      <c r="Y13" s="102">
        <v>3483.38</v>
      </c>
      <c r="Z13" s="103">
        <v>6504.16</v>
      </c>
    </row>
    <row r="14" spans="2:26" ht="28.35" hidden="1" customHeight="1">
      <c r="B14" s="99" t="s">
        <v>176</v>
      </c>
      <c r="C14" s="100" t="s">
        <v>11</v>
      </c>
      <c r="D14" s="101" t="s">
        <v>166</v>
      </c>
      <c r="E14" s="102">
        <v>4027.71</v>
      </c>
      <c r="F14" s="2">
        <v>0.79979999999999996</v>
      </c>
      <c r="G14" s="102">
        <v>3221.36</v>
      </c>
      <c r="H14" s="2">
        <v>0.17449999999999999</v>
      </c>
      <c r="I14" s="102">
        <v>702.89</v>
      </c>
      <c r="J14" s="2">
        <v>6.1999999999999998E-3</v>
      </c>
      <c r="K14" s="102">
        <v>24.8</v>
      </c>
      <c r="L14" s="2">
        <v>0</v>
      </c>
      <c r="M14" s="102">
        <v>0</v>
      </c>
      <c r="N14" s="2">
        <v>0</v>
      </c>
      <c r="O14" s="102">
        <v>0</v>
      </c>
      <c r="P14" s="2">
        <v>1.1999999999999999E-3</v>
      </c>
      <c r="Q14" s="102">
        <v>4.7</v>
      </c>
      <c r="R14" s="2">
        <v>0</v>
      </c>
      <c r="S14" s="102">
        <v>0</v>
      </c>
      <c r="T14" s="2">
        <v>7.1300000000000002E-2</v>
      </c>
      <c r="U14" s="102">
        <v>287.2</v>
      </c>
      <c r="V14" s="2">
        <v>2.5000000000000001E-3</v>
      </c>
      <c r="W14" s="102">
        <v>9.98</v>
      </c>
      <c r="X14" s="2">
        <v>1.0553999999999999</v>
      </c>
      <c r="Y14" s="102">
        <v>4250.93</v>
      </c>
      <c r="Z14" s="103">
        <v>8278.64</v>
      </c>
    </row>
    <row r="15" spans="2:26" ht="28.35" hidden="1" customHeight="1">
      <c r="B15" s="99" t="s">
        <v>177</v>
      </c>
      <c r="C15" s="100" t="s">
        <v>12</v>
      </c>
      <c r="D15" s="101" t="s">
        <v>166</v>
      </c>
      <c r="E15" s="102">
        <v>6830.21</v>
      </c>
      <c r="F15" s="2">
        <v>0.79979999999999996</v>
      </c>
      <c r="G15" s="102">
        <v>5462.8</v>
      </c>
      <c r="H15" s="2">
        <v>0.10290000000000001</v>
      </c>
      <c r="I15" s="102">
        <v>702.89</v>
      </c>
      <c r="J15" s="2">
        <v>3.5999999999999999E-3</v>
      </c>
      <c r="K15" s="102">
        <v>24.8</v>
      </c>
      <c r="L15" s="2">
        <v>0</v>
      </c>
      <c r="M15" s="102">
        <v>0</v>
      </c>
      <c r="N15" s="2">
        <v>0</v>
      </c>
      <c r="O15" s="102">
        <v>0</v>
      </c>
      <c r="P15" s="2">
        <v>6.9999999999999999E-4</v>
      </c>
      <c r="Q15" s="102">
        <v>4.7</v>
      </c>
      <c r="R15" s="2">
        <v>0</v>
      </c>
      <c r="S15" s="102">
        <v>0</v>
      </c>
      <c r="T15" s="2">
        <v>4.2000000000000003E-2</v>
      </c>
      <c r="U15" s="102">
        <v>287.2</v>
      </c>
      <c r="V15" s="2">
        <v>1.5E-3</v>
      </c>
      <c r="W15" s="102">
        <v>9.98</v>
      </c>
      <c r="X15" s="2">
        <v>0.95050000000000001</v>
      </c>
      <c r="Y15" s="102">
        <v>6492.37</v>
      </c>
      <c r="Z15" s="103">
        <v>13322.58</v>
      </c>
    </row>
    <row r="16" spans="2:26" ht="28.35" customHeight="1">
      <c r="B16" s="99" t="s">
        <v>178</v>
      </c>
      <c r="C16" s="100" t="s">
        <v>13</v>
      </c>
      <c r="D16" s="101" t="s">
        <v>166</v>
      </c>
      <c r="E16" s="102">
        <v>1467.63</v>
      </c>
      <c r="F16" s="2">
        <v>0.80469999999999997</v>
      </c>
      <c r="G16" s="102">
        <v>1181</v>
      </c>
      <c r="H16" s="2">
        <v>0.47889999999999999</v>
      </c>
      <c r="I16" s="102">
        <v>702.89</v>
      </c>
      <c r="J16" s="2">
        <v>2.06E-2</v>
      </c>
      <c r="K16" s="102">
        <v>30.19</v>
      </c>
      <c r="L16" s="2">
        <v>1.1000000000000001E-3</v>
      </c>
      <c r="M16" s="102">
        <v>1.55</v>
      </c>
      <c r="N16" s="2">
        <v>8.9200000000000002E-2</v>
      </c>
      <c r="O16" s="102">
        <v>130.97</v>
      </c>
      <c r="P16" s="2">
        <v>4.4999999999999997E-3</v>
      </c>
      <c r="Q16" s="102">
        <v>6.67</v>
      </c>
      <c r="R16" s="2">
        <v>0</v>
      </c>
      <c r="S16" s="102">
        <v>0</v>
      </c>
      <c r="T16" s="2">
        <v>0.19570000000000001</v>
      </c>
      <c r="U16" s="102">
        <v>287.2</v>
      </c>
      <c r="V16" s="2">
        <v>6.7999999999999996E-3</v>
      </c>
      <c r="W16" s="102">
        <v>9.98</v>
      </c>
      <c r="X16" s="2">
        <v>1.6014999999999999</v>
      </c>
      <c r="Y16" s="102">
        <v>2350.46</v>
      </c>
      <c r="Z16" s="103">
        <v>3818.09</v>
      </c>
    </row>
    <row r="17" spans="2:26" ht="28.35" customHeight="1">
      <c r="B17" s="99" t="s">
        <v>179</v>
      </c>
      <c r="C17" s="100" t="s">
        <v>14</v>
      </c>
      <c r="D17" s="101" t="s">
        <v>166</v>
      </c>
      <c r="E17" s="102">
        <v>1772.08</v>
      </c>
      <c r="F17" s="2">
        <v>0.80120000000000002</v>
      </c>
      <c r="G17" s="102">
        <v>1419.79</v>
      </c>
      <c r="H17" s="2">
        <v>0.39660000000000001</v>
      </c>
      <c r="I17" s="102">
        <v>702.89</v>
      </c>
      <c r="J17" s="2">
        <v>0</v>
      </c>
      <c r="K17" s="102">
        <v>0</v>
      </c>
      <c r="L17" s="2">
        <v>0</v>
      </c>
      <c r="M17" s="102">
        <v>0</v>
      </c>
      <c r="N17" s="2">
        <v>6.3600000000000004E-2</v>
      </c>
      <c r="O17" s="102">
        <v>112.71</v>
      </c>
      <c r="P17" s="2">
        <v>2.2000000000000001E-3</v>
      </c>
      <c r="Q17" s="102">
        <v>3.83</v>
      </c>
      <c r="R17" s="2">
        <v>0</v>
      </c>
      <c r="S17" s="102">
        <v>0</v>
      </c>
      <c r="T17" s="2">
        <v>0.16209999999999999</v>
      </c>
      <c r="U17" s="102">
        <v>287.2</v>
      </c>
      <c r="V17" s="2">
        <v>5.5999999999999999E-3</v>
      </c>
      <c r="W17" s="102">
        <v>9.98</v>
      </c>
      <c r="X17" s="2">
        <v>1.4313</v>
      </c>
      <c r="Y17" s="102">
        <v>2536.41</v>
      </c>
      <c r="Z17" s="103">
        <v>4308.49</v>
      </c>
    </row>
    <row r="18" spans="2:26" ht="28.35" hidden="1" customHeight="1">
      <c r="B18" s="99" t="s">
        <v>180</v>
      </c>
      <c r="C18" s="100" t="s">
        <v>15</v>
      </c>
      <c r="D18" s="101" t="s">
        <v>166</v>
      </c>
      <c r="E18" s="102">
        <v>1618.28</v>
      </c>
      <c r="F18" s="2">
        <v>0.80079999999999996</v>
      </c>
      <c r="G18" s="102">
        <v>1295.92</v>
      </c>
      <c r="H18" s="2">
        <v>0.43430000000000002</v>
      </c>
      <c r="I18" s="102">
        <v>702.89</v>
      </c>
      <c r="J18" s="2">
        <v>1.8700000000000001E-2</v>
      </c>
      <c r="K18" s="102">
        <v>30.19</v>
      </c>
      <c r="L18" s="2">
        <v>2E-3</v>
      </c>
      <c r="M18" s="102">
        <v>3.19</v>
      </c>
      <c r="N18" s="2">
        <v>7.5300000000000006E-2</v>
      </c>
      <c r="O18" s="102">
        <v>121.94</v>
      </c>
      <c r="P18" s="2">
        <v>2.7000000000000001E-3</v>
      </c>
      <c r="Q18" s="102">
        <v>4.3099999999999996</v>
      </c>
      <c r="R18" s="2">
        <v>0</v>
      </c>
      <c r="S18" s="102">
        <v>0</v>
      </c>
      <c r="T18" s="2">
        <v>0.17749999999999999</v>
      </c>
      <c r="U18" s="102">
        <v>287.2</v>
      </c>
      <c r="V18" s="2">
        <v>6.1999999999999998E-3</v>
      </c>
      <c r="W18" s="102">
        <v>9.98</v>
      </c>
      <c r="X18" s="2">
        <v>1.5174000000000001</v>
      </c>
      <c r="Y18" s="102">
        <v>2455.62</v>
      </c>
      <c r="Z18" s="103">
        <v>4073.9</v>
      </c>
    </row>
    <row r="19" spans="2:26" ht="28.35" hidden="1" customHeight="1">
      <c r="B19" s="99" t="s">
        <v>181</v>
      </c>
      <c r="C19" s="100" t="s">
        <v>16</v>
      </c>
      <c r="D19" s="101" t="s">
        <v>166</v>
      </c>
      <c r="E19" s="102">
        <v>1467.63</v>
      </c>
      <c r="F19" s="2">
        <v>0.80169999999999997</v>
      </c>
      <c r="G19" s="102">
        <v>1176.5999999999999</v>
      </c>
      <c r="H19" s="2">
        <v>0.47889999999999999</v>
      </c>
      <c r="I19" s="102">
        <v>702.89</v>
      </c>
      <c r="J19" s="2">
        <v>2.06E-2</v>
      </c>
      <c r="K19" s="102">
        <v>30.19</v>
      </c>
      <c r="L19" s="2">
        <v>8.9999999999999998E-4</v>
      </c>
      <c r="M19" s="102">
        <v>1.35</v>
      </c>
      <c r="N19" s="2">
        <v>8.9200000000000002E-2</v>
      </c>
      <c r="O19" s="102">
        <v>130.97</v>
      </c>
      <c r="P19" s="2">
        <v>3.2000000000000002E-3</v>
      </c>
      <c r="Q19" s="102">
        <v>4.7</v>
      </c>
      <c r="R19" s="2">
        <v>0</v>
      </c>
      <c r="S19" s="102">
        <v>0</v>
      </c>
      <c r="T19" s="2">
        <v>0.19570000000000001</v>
      </c>
      <c r="U19" s="102">
        <v>287.2</v>
      </c>
      <c r="V19" s="2">
        <v>6.7999999999999996E-3</v>
      </c>
      <c r="W19" s="102">
        <v>9.98</v>
      </c>
      <c r="X19" s="2">
        <v>1.5971</v>
      </c>
      <c r="Y19" s="102">
        <v>2343.88</v>
      </c>
      <c r="Z19" s="103">
        <v>3811.52</v>
      </c>
    </row>
    <row r="20" spans="2:26" ht="28.35" customHeight="1">
      <c r="B20" s="99" t="s">
        <v>182</v>
      </c>
      <c r="C20" s="100" t="s">
        <v>17</v>
      </c>
      <c r="D20" s="101" t="s">
        <v>166</v>
      </c>
      <c r="E20" s="102">
        <v>3175.35</v>
      </c>
      <c r="F20" s="2">
        <v>0.79559999999999997</v>
      </c>
      <c r="G20" s="102">
        <v>2526.31</v>
      </c>
      <c r="H20" s="2">
        <v>0.22140000000000001</v>
      </c>
      <c r="I20" s="102">
        <v>702.89</v>
      </c>
      <c r="J20" s="2">
        <v>7.7999999999999996E-3</v>
      </c>
      <c r="K20" s="102">
        <v>24.8</v>
      </c>
      <c r="L20" s="2">
        <v>0</v>
      </c>
      <c r="M20" s="102">
        <v>0</v>
      </c>
      <c r="N20" s="2">
        <v>8.9999999999999993E-3</v>
      </c>
      <c r="O20" s="102">
        <v>28.51</v>
      </c>
      <c r="P20" s="2">
        <v>1.1999999999999999E-3</v>
      </c>
      <c r="Q20" s="102">
        <v>3.77</v>
      </c>
      <c r="R20" s="2">
        <v>0</v>
      </c>
      <c r="S20" s="102">
        <v>0</v>
      </c>
      <c r="T20" s="2">
        <v>9.0399999999999994E-2</v>
      </c>
      <c r="U20" s="102">
        <v>287.2</v>
      </c>
      <c r="V20" s="2">
        <v>3.0999999999999999E-3</v>
      </c>
      <c r="W20" s="102">
        <v>9.98</v>
      </c>
      <c r="X20" s="2">
        <v>1.1285000000000001</v>
      </c>
      <c r="Y20" s="102">
        <v>3583.46</v>
      </c>
      <c r="Z20" s="103">
        <v>6758.81</v>
      </c>
    </row>
    <row r="21" spans="2:26" ht="28.35" customHeight="1">
      <c r="B21" s="99" t="s">
        <v>183</v>
      </c>
      <c r="C21" s="100" t="s">
        <v>18</v>
      </c>
      <c r="D21" s="101" t="s">
        <v>166</v>
      </c>
      <c r="E21" s="102">
        <v>4233.8</v>
      </c>
      <c r="F21" s="2">
        <v>0.79559999999999997</v>
      </c>
      <c r="G21" s="102">
        <v>3368.41</v>
      </c>
      <c r="H21" s="2">
        <v>0.16600000000000001</v>
      </c>
      <c r="I21" s="102">
        <v>702.89</v>
      </c>
      <c r="J21" s="2">
        <v>5.8999999999999999E-3</v>
      </c>
      <c r="K21" s="102">
        <v>24.8</v>
      </c>
      <c r="L21" s="2">
        <v>0</v>
      </c>
      <c r="M21" s="102">
        <v>0</v>
      </c>
      <c r="N21" s="2">
        <v>0</v>
      </c>
      <c r="O21" s="102">
        <v>0</v>
      </c>
      <c r="P21" s="2">
        <v>8.9999999999999998E-4</v>
      </c>
      <c r="Q21" s="102">
        <v>3.77</v>
      </c>
      <c r="R21" s="2">
        <v>0</v>
      </c>
      <c r="S21" s="102">
        <v>0</v>
      </c>
      <c r="T21" s="2">
        <v>6.7799999999999999E-2</v>
      </c>
      <c r="U21" s="102">
        <v>287.2</v>
      </c>
      <c r="V21" s="2">
        <v>2.3999999999999998E-3</v>
      </c>
      <c r="W21" s="102">
        <v>9.98</v>
      </c>
      <c r="X21" s="2">
        <v>1.0386</v>
      </c>
      <c r="Y21" s="102">
        <v>4397.05</v>
      </c>
      <c r="Z21" s="103">
        <v>8630.85</v>
      </c>
    </row>
    <row r="22" spans="2:26" ht="28.35" customHeight="1">
      <c r="B22" s="99" t="s">
        <v>184</v>
      </c>
      <c r="C22" s="100" t="s">
        <v>19</v>
      </c>
      <c r="D22" s="101" t="s">
        <v>166</v>
      </c>
      <c r="E22" s="102">
        <v>7434.92</v>
      </c>
      <c r="F22" s="2">
        <v>0.79559999999999997</v>
      </c>
      <c r="G22" s="102">
        <v>5915.22</v>
      </c>
      <c r="H22" s="2">
        <v>9.4500000000000001E-2</v>
      </c>
      <c r="I22" s="102">
        <v>702.89</v>
      </c>
      <c r="J22" s="2">
        <v>3.3E-3</v>
      </c>
      <c r="K22" s="102">
        <v>24.8</v>
      </c>
      <c r="L22" s="2">
        <v>0</v>
      </c>
      <c r="M22" s="102">
        <v>0</v>
      </c>
      <c r="N22" s="2">
        <v>0</v>
      </c>
      <c r="O22" s="102">
        <v>0</v>
      </c>
      <c r="P22" s="2">
        <v>5.0000000000000001E-4</v>
      </c>
      <c r="Q22" s="102">
        <v>3.77</v>
      </c>
      <c r="R22" s="2">
        <v>0</v>
      </c>
      <c r="S22" s="102">
        <v>0</v>
      </c>
      <c r="T22" s="2">
        <v>3.8600000000000002E-2</v>
      </c>
      <c r="U22" s="102">
        <v>287.2</v>
      </c>
      <c r="V22" s="2">
        <v>1.2999999999999999E-3</v>
      </c>
      <c r="W22" s="102">
        <v>9.98</v>
      </c>
      <c r="X22" s="2">
        <v>0.93400000000000005</v>
      </c>
      <c r="Y22" s="102">
        <v>6943.86</v>
      </c>
      <c r="Z22" s="103">
        <v>14378.78</v>
      </c>
    </row>
    <row r="23" spans="2:26" ht="28.35" customHeight="1">
      <c r="B23" s="99" t="s">
        <v>185</v>
      </c>
      <c r="C23" s="100" t="s">
        <v>20</v>
      </c>
      <c r="D23" s="101" t="s">
        <v>166</v>
      </c>
      <c r="E23" s="102">
        <v>3370.83</v>
      </c>
      <c r="F23" s="2">
        <v>0.79569999999999996</v>
      </c>
      <c r="G23" s="102">
        <v>2682.17</v>
      </c>
      <c r="H23" s="2">
        <v>0.20849999999999999</v>
      </c>
      <c r="I23" s="102">
        <v>702.89</v>
      </c>
      <c r="J23" s="2">
        <v>0</v>
      </c>
      <c r="K23" s="102">
        <v>0</v>
      </c>
      <c r="L23" s="2">
        <v>0</v>
      </c>
      <c r="M23" s="102">
        <v>0</v>
      </c>
      <c r="N23" s="2">
        <v>5.0000000000000001E-3</v>
      </c>
      <c r="O23" s="102">
        <v>16.78</v>
      </c>
      <c r="P23" s="2">
        <v>8.0000000000000004E-4</v>
      </c>
      <c r="Q23" s="102">
        <v>2.74</v>
      </c>
      <c r="R23" s="2">
        <v>0</v>
      </c>
      <c r="S23" s="102">
        <v>0</v>
      </c>
      <c r="T23" s="2">
        <v>8.5199999999999998E-2</v>
      </c>
      <c r="U23" s="102">
        <v>287.2</v>
      </c>
      <c r="V23" s="2">
        <v>3.0000000000000001E-3</v>
      </c>
      <c r="W23" s="102">
        <v>9.98</v>
      </c>
      <c r="X23" s="2">
        <v>1.0982000000000001</v>
      </c>
      <c r="Y23" s="102">
        <v>3701.76</v>
      </c>
      <c r="Z23" s="103">
        <v>7072.59</v>
      </c>
    </row>
    <row r="24" spans="2:26" ht="28.35" customHeight="1">
      <c r="B24" s="99" t="s">
        <v>186</v>
      </c>
      <c r="C24" s="100" t="s">
        <v>21</v>
      </c>
      <c r="D24" s="101" t="s">
        <v>166</v>
      </c>
      <c r="E24" s="102">
        <v>4031.96</v>
      </c>
      <c r="F24" s="2">
        <v>0.79530000000000001</v>
      </c>
      <c r="G24" s="102">
        <v>3206.62</v>
      </c>
      <c r="H24" s="2">
        <v>0.17430000000000001</v>
      </c>
      <c r="I24" s="102">
        <v>702.89</v>
      </c>
      <c r="J24" s="2">
        <v>0</v>
      </c>
      <c r="K24" s="102">
        <v>0</v>
      </c>
      <c r="L24" s="2">
        <v>0</v>
      </c>
      <c r="M24" s="102">
        <v>0</v>
      </c>
      <c r="N24" s="2">
        <v>0</v>
      </c>
      <c r="O24" s="102">
        <v>0</v>
      </c>
      <c r="P24" s="2">
        <v>5.9999999999999995E-4</v>
      </c>
      <c r="Q24" s="102">
        <v>2.61</v>
      </c>
      <c r="R24" s="2">
        <v>0</v>
      </c>
      <c r="S24" s="102">
        <v>0</v>
      </c>
      <c r="T24" s="2">
        <v>7.1199999999999999E-2</v>
      </c>
      <c r="U24" s="102">
        <v>287.2</v>
      </c>
      <c r="V24" s="2">
        <v>2.5000000000000001E-3</v>
      </c>
      <c r="W24" s="102">
        <v>9.98</v>
      </c>
      <c r="X24" s="2">
        <v>1.044</v>
      </c>
      <c r="Y24" s="102">
        <v>4209.3100000000004</v>
      </c>
      <c r="Z24" s="103">
        <v>8241.27</v>
      </c>
    </row>
    <row r="25" spans="2:26" ht="28.35" customHeight="1">
      <c r="B25" s="99" t="s">
        <v>187</v>
      </c>
      <c r="C25" s="100" t="s">
        <v>22</v>
      </c>
      <c r="D25" s="101" t="s">
        <v>166</v>
      </c>
      <c r="E25" s="102">
        <v>5375.95</v>
      </c>
      <c r="F25" s="2">
        <v>0.79530000000000001</v>
      </c>
      <c r="G25" s="102">
        <v>4275.49</v>
      </c>
      <c r="H25" s="2">
        <v>0.13070000000000001</v>
      </c>
      <c r="I25" s="102">
        <v>702.89</v>
      </c>
      <c r="J25" s="2">
        <v>0</v>
      </c>
      <c r="K25" s="102">
        <v>0</v>
      </c>
      <c r="L25" s="2">
        <v>0</v>
      </c>
      <c r="M25" s="102">
        <v>0</v>
      </c>
      <c r="N25" s="2">
        <v>0</v>
      </c>
      <c r="O25" s="102">
        <v>0</v>
      </c>
      <c r="P25" s="2">
        <v>5.0000000000000001E-4</v>
      </c>
      <c r="Q25" s="102">
        <v>2.61</v>
      </c>
      <c r="R25" s="2">
        <v>0</v>
      </c>
      <c r="S25" s="102">
        <v>0</v>
      </c>
      <c r="T25" s="2">
        <v>5.3400000000000003E-2</v>
      </c>
      <c r="U25" s="102">
        <v>287.2</v>
      </c>
      <c r="V25" s="2">
        <v>1.9E-3</v>
      </c>
      <c r="W25" s="102">
        <v>9.98</v>
      </c>
      <c r="X25" s="2">
        <v>0.98180000000000001</v>
      </c>
      <c r="Y25" s="102">
        <v>5278.18</v>
      </c>
      <c r="Z25" s="103">
        <v>10654.13</v>
      </c>
    </row>
    <row r="26" spans="2:26" ht="28.35" customHeight="1">
      <c r="B26" s="99" t="s">
        <v>188</v>
      </c>
      <c r="C26" s="100" t="s">
        <v>23</v>
      </c>
      <c r="D26" s="101" t="s">
        <v>166</v>
      </c>
      <c r="E26" s="102">
        <v>10196.459999999999</v>
      </c>
      <c r="F26" s="2">
        <v>0.79530000000000001</v>
      </c>
      <c r="G26" s="102">
        <v>8109.24</v>
      </c>
      <c r="H26" s="2">
        <v>6.8900000000000003E-2</v>
      </c>
      <c r="I26" s="102">
        <v>702.89</v>
      </c>
      <c r="J26" s="2">
        <v>0</v>
      </c>
      <c r="K26" s="102">
        <v>0</v>
      </c>
      <c r="L26" s="2">
        <v>0</v>
      </c>
      <c r="M26" s="102">
        <v>0</v>
      </c>
      <c r="N26" s="2">
        <v>0</v>
      </c>
      <c r="O26" s="102">
        <v>0</v>
      </c>
      <c r="P26" s="2">
        <v>2.9999999999999997E-4</v>
      </c>
      <c r="Q26" s="102">
        <v>2.61</v>
      </c>
      <c r="R26" s="2">
        <v>0</v>
      </c>
      <c r="S26" s="102">
        <v>0</v>
      </c>
      <c r="T26" s="2">
        <v>2.8199999999999999E-2</v>
      </c>
      <c r="U26" s="102">
        <v>287.2</v>
      </c>
      <c r="V26" s="2">
        <v>1E-3</v>
      </c>
      <c r="W26" s="102">
        <v>9.98</v>
      </c>
      <c r="X26" s="2">
        <v>0.89359999999999995</v>
      </c>
      <c r="Y26" s="102">
        <v>9111.93</v>
      </c>
      <c r="Z26" s="103">
        <v>19308.39</v>
      </c>
    </row>
    <row r="27" spans="2:26" ht="28.35" customHeight="1">
      <c r="B27" s="99" t="s">
        <v>189</v>
      </c>
      <c r="C27" s="100" t="s">
        <v>24</v>
      </c>
      <c r="D27" s="101" t="s">
        <v>166</v>
      </c>
      <c r="E27" s="102">
        <v>16968.79</v>
      </c>
      <c r="F27" s="2">
        <v>0.79479999999999995</v>
      </c>
      <c r="G27" s="102">
        <v>13486.79</v>
      </c>
      <c r="H27" s="2">
        <v>4.1399999999999999E-2</v>
      </c>
      <c r="I27" s="102">
        <v>702.89</v>
      </c>
      <c r="J27" s="2">
        <v>1.2999999999999999E-3</v>
      </c>
      <c r="K27" s="102">
        <v>22.65</v>
      </c>
      <c r="L27" s="2">
        <v>0</v>
      </c>
      <c r="M27" s="102">
        <v>0</v>
      </c>
      <c r="N27" s="2">
        <v>0</v>
      </c>
      <c r="O27" s="102">
        <v>0</v>
      </c>
      <c r="P27" s="2">
        <v>2.0000000000000001E-4</v>
      </c>
      <c r="Q27" s="102">
        <v>3.32</v>
      </c>
      <c r="R27" s="2">
        <v>0</v>
      </c>
      <c r="S27" s="102">
        <v>0</v>
      </c>
      <c r="T27" s="2">
        <v>1.6899999999999998E-2</v>
      </c>
      <c r="U27" s="102">
        <v>287.2</v>
      </c>
      <c r="V27" s="2">
        <v>5.9999999999999995E-4</v>
      </c>
      <c r="W27" s="102">
        <v>9.98</v>
      </c>
      <c r="X27" s="2">
        <v>0.85529999999999995</v>
      </c>
      <c r="Y27" s="102">
        <v>14512.83</v>
      </c>
      <c r="Z27" s="103">
        <v>31481.62</v>
      </c>
    </row>
    <row r="28" spans="2:26" ht="28.35" customHeight="1">
      <c r="B28" s="99" t="s">
        <v>190</v>
      </c>
      <c r="C28" s="100" t="s">
        <v>25</v>
      </c>
      <c r="D28" s="101" t="s">
        <v>166</v>
      </c>
      <c r="E28" s="102">
        <v>4633.6099999999997</v>
      </c>
      <c r="F28" s="2">
        <v>0.79</v>
      </c>
      <c r="G28" s="102">
        <v>3660.55</v>
      </c>
      <c r="H28" s="2">
        <v>0.1517</v>
      </c>
      <c r="I28" s="102">
        <v>702.89</v>
      </c>
      <c r="J28" s="2">
        <v>0</v>
      </c>
      <c r="K28" s="102">
        <v>0</v>
      </c>
      <c r="L28" s="2">
        <v>0</v>
      </c>
      <c r="M28" s="102">
        <v>0</v>
      </c>
      <c r="N28" s="2">
        <v>0</v>
      </c>
      <c r="O28" s="102">
        <v>0</v>
      </c>
      <c r="P28" s="2">
        <v>4.0000000000000002E-4</v>
      </c>
      <c r="Q28" s="102">
        <v>1.78</v>
      </c>
      <c r="R28" s="2">
        <v>0</v>
      </c>
      <c r="S28" s="102">
        <v>0</v>
      </c>
      <c r="T28" s="2">
        <v>6.2E-2</v>
      </c>
      <c r="U28" s="102">
        <v>287.2</v>
      </c>
      <c r="V28" s="2">
        <v>2.2000000000000001E-3</v>
      </c>
      <c r="W28" s="102">
        <v>9.98</v>
      </c>
      <c r="X28" s="2">
        <v>1.0062</v>
      </c>
      <c r="Y28" s="102">
        <v>4662.3999999999996</v>
      </c>
      <c r="Z28" s="103">
        <v>9296</v>
      </c>
    </row>
    <row r="29" spans="2:26" ht="28.35" customHeight="1">
      <c r="B29" s="99" t="s">
        <v>191</v>
      </c>
      <c r="C29" s="100" t="s">
        <v>26</v>
      </c>
      <c r="D29" s="101" t="s">
        <v>166</v>
      </c>
      <c r="E29" s="102">
        <v>6178.14</v>
      </c>
      <c r="F29" s="2">
        <v>0.79</v>
      </c>
      <c r="G29" s="102">
        <v>4880.7299999999996</v>
      </c>
      <c r="H29" s="2">
        <v>0.1138</v>
      </c>
      <c r="I29" s="102">
        <v>702.89</v>
      </c>
      <c r="J29" s="2">
        <v>0</v>
      </c>
      <c r="K29" s="102">
        <v>0</v>
      </c>
      <c r="L29" s="2">
        <v>0</v>
      </c>
      <c r="M29" s="102">
        <v>0</v>
      </c>
      <c r="N29" s="2">
        <v>0</v>
      </c>
      <c r="O29" s="102">
        <v>0</v>
      </c>
      <c r="P29" s="2">
        <v>2.9999999999999997E-4</v>
      </c>
      <c r="Q29" s="102">
        <v>1.78</v>
      </c>
      <c r="R29" s="2">
        <v>0</v>
      </c>
      <c r="S29" s="102">
        <v>0</v>
      </c>
      <c r="T29" s="2">
        <v>4.65E-2</v>
      </c>
      <c r="U29" s="102">
        <v>287.2</v>
      </c>
      <c r="V29" s="2">
        <v>1.6000000000000001E-3</v>
      </c>
      <c r="W29" s="102">
        <v>9.98</v>
      </c>
      <c r="X29" s="2">
        <v>0.95220000000000005</v>
      </c>
      <c r="Y29" s="102">
        <v>5882.58</v>
      </c>
      <c r="Z29" s="103">
        <v>12060.72</v>
      </c>
    </row>
    <row r="30" spans="2:26" ht="28.35" customHeight="1">
      <c r="B30" s="99" t="s">
        <v>192</v>
      </c>
      <c r="C30" s="100" t="s">
        <v>27</v>
      </c>
      <c r="D30" s="101" t="s">
        <v>166</v>
      </c>
      <c r="E30" s="102">
        <v>10535.44</v>
      </c>
      <c r="F30" s="2">
        <v>0.79</v>
      </c>
      <c r="G30" s="102">
        <v>8323</v>
      </c>
      <c r="H30" s="2">
        <v>6.6699999999999995E-2</v>
      </c>
      <c r="I30" s="102">
        <v>702.89</v>
      </c>
      <c r="J30" s="2">
        <v>0</v>
      </c>
      <c r="K30" s="102">
        <v>0</v>
      </c>
      <c r="L30" s="2">
        <v>0</v>
      </c>
      <c r="M30" s="102">
        <v>0</v>
      </c>
      <c r="N30" s="2">
        <v>0</v>
      </c>
      <c r="O30" s="102">
        <v>0</v>
      </c>
      <c r="P30" s="2">
        <v>2.0000000000000001E-4</v>
      </c>
      <c r="Q30" s="102">
        <v>1.78</v>
      </c>
      <c r="R30" s="2">
        <v>0</v>
      </c>
      <c r="S30" s="102">
        <v>0</v>
      </c>
      <c r="T30" s="2">
        <v>2.7300000000000001E-2</v>
      </c>
      <c r="U30" s="102">
        <v>287.2</v>
      </c>
      <c r="V30" s="2">
        <v>8.9999999999999998E-4</v>
      </c>
      <c r="W30" s="102">
        <v>9.98</v>
      </c>
      <c r="X30" s="2">
        <v>0.8851</v>
      </c>
      <c r="Y30" s="102">
        <v>9324.84</v>
      </c>
      <c r="Z30" s="103">
        <v>19860.28</v>
      </c>
    </row>
    <row r="31" spans="2:26" ht="28.35" hidden="1" customHeight="1">
      <c r="B31" s="99" t="s">
        <v>193</v>
      </c>
      <c r="C31" s="100" t="s">
        <v>28</v>
      </c>
      <c r="D31" s="101" t="s">
        <v>166</v>
      </c>
      <c r="E31" s="102">
        <v>11220</v>
      </c>
      <c r="F31" s="2">
        <v>0.79049999999999998</v>
      </c>
      <c r="G31" s="102">
        <v>8869.41</v>
      </c>
      <c r="H31" s="2">
        <v>6.2600000000000003E-2</v>
      </c>
      <c r="I31" s="102">
        <v>702.89</v>
      </c>
      <c r="J31" s="2">
        <v>2.2000000000000001E-3</v>
      </c>
      <c r="K31" s="102">
        <v>24.8</v>
      </c>
      <c r="L31" s="2">
        <v>0</v>
      </c>
      <c r="M31" s="102">
        <v>0</v>
      </c>
      <c r="N31" s="2">
        <v>0</v>
      </c>
      <c r="O31" s="102">
        <v>0</v>
      </c>
      <c r="P31" s="2">
        <v>2.0000000000000001E-4</v>
      </c>
      <c r="Q31" s="102">
        <v>2.64</v>
      </c>
      <c r="R31" s="2">
        <v>0</v>
      </c>
      <c r="S31" s="102">
        <v>0</v>
      </c>
      <c r="T31" s="2">
        <v>2.5600000000000001E-2</v>
      </c>
      <c r="U31" s="102">
        <v>287.2</v>
      </c>
      <c r="V31" s="2">
        <v>8.9999999999999998E-4</v>
      </c>
      <c r="W31" s="102">
        <v>9.98</v>
      </c>
      <c r="X31" s="2">
        <v>0.8821</v>
      </c>
      <c r="Y31" s="102">
        <v>9896.93</v>
      </c>
      <c r="Z31" s="103">
        <v>21116.93</v>
      </c>
    </row>
    <row r="32" spans="2:26" ht="28.35" hidden="1" customHeight="1">
      <c r="B32" s="99" t="s">
        <v>194</v>
      </c>
      <c r="C32" s="100" t="s">
        <v>29</v>
      </c>
      <c r="D32" s="101" t="s">
        <v>166</v>
      </c>
      <c r="E32" s="102">
        <v>11530.62</v>
      </c>
      <c r="F32" s="2">
        <v>0.79049999999999998</v>
      </c>
      <c r="G32" s="102">
        <v>9114.9500000000007</v>
      </c>
      <c r="H32" s="2">
        <v>6.0999999999999999E-2</v>
      </c>
      <c r="I32" s="102">
        <v>702.89</v>
      </c>
      <c r="J32" s="2">
        <v>2.2000000000000001E-3</v>
      </c>
      <c r="K32" s="102">
        <v>24.8</v>
      </c>
      <c r="L32" s="2">
        <v>0</v>
      </c>
      <c r="M32" s="102">
        <v>0</v>
      </c>
      <c r="N32" s="2">
        <v>0</v>
      </c>
      <c r="O32" s="102">
        <v>0</v>
      </c>
      <c r="P32" s="2">
        <v>2.0000000000000001E-4</v>
      </c>
      <c r="Q32" s="102">
        <v>2.64</v>
      </c>
      <c r="R32" s="2">
        <v>0</v>
      </c>
      <c r="S32" s="102">
        <v>0</v>
      </c>
      <c r="T32" s="2">
        <v>2.4899999999999999E-2</v>
      </c>
      <c r="U32" s="102">
        <v>287.2</v>
      </c>
      <c r="V32" s="2">
        <v>8.9999999999999998E-4</v>
      </c>
      <c r="W32" s="102">
        <v>9.98</v>
      </c>
      <c r="X32" s="2">
        <v>0.87960000000000005</v>
      </c>
      <c r="Y32" s="102">
        <v>10142.469999999999</v>
      </c>
      <c r="Z32" s="103">
        <v>21673.09</v>
      </c>
    </row>
    <row r="33" spans="2:26" ht="28.35" hidden="1" customHeight="1">
      <c r="B33" s="99" t="s">
        <v>195</v>
      </c>
      <c r="C33" s="100" t="s">
        <v>30</v>
      </c>
      <c r="D33" s="101" t="s">
        <v>166</v>
      </c>
      <c r="E33" s="102">
        <v>13314.45</v>
      </c>
      <c r="F33" s="2">
        <v>0.79049999999999998</v>
      </c>
      <c r="G33" s="102">
        <v>10525.07</v>
      </c>
      <c r="H33" s="2">
        <v>5.28E-2</v>
      </c>
      <c r="I33" s="102">
        <v>702.89</v>
      </c>
      <c r="J33" s="2">
        <v>1.9E-3</v>
      </c>
      <c r="K33" s="102">
        <v>24.8</v>
      </c>
      <c r="L33" s="2">
        <v>0</v>
      </c>
      <c r="M33" s="102">
        <v>0</v>
      </c>
      <c r="N33" s="2">
        <v>0</v>
      </c>
      <c r="O33" s="102">
        <v>0</v>
      </c>
      <c r="P33" s="2">
        <v>2.0000000000000001E-4</v>
      </c>
      <c r="Q33" s="102">
        <v>2.64</v>
      </c>
      <c r="R33" s="2">
        <v>0</v>
      </c>
      <c r="S33" s="102">
        <v>0</v>
      </c>
      <c r="T33" s="2">
        <v>2.1600000000000001E-2</v>
      </c>
      <c r="U33" s="102">
        <v>287.2</v>
      </c>
      <c r="V33" s="2">
        <v>6.9999999999999999E-4</v>
      </c>
      <c r="W33" s="102">
        <v>9.98</v>
      </c>
      <c r="X33" s="2">
        <v>0.86770000000000003</v>
      </c>
      <c r="Y33" s="102">
        <v>11552.59</v>
      </c>
      <c r="Z33" s="103">
        <v>24867.03</v>
      </c>
    </row>
    <row r="34" spans="2:26" ht="28.35" customHeight="1">
      <c r="B34" s="99" t="s">
        <v>196</v>
      </c>
      <c r="C34" s="100" t="s">
        <v>31</v>
      </c>
      <c r="D34" s="101" t="s">
        <v>166</v>
      </c>
      <c r="E34" s="102">
        <v>11220</v>
      </c>
      <c r="F34" s="2">
        <v>0.79579999999999995</v>
      </c>
      <c r="G34" s="102">
        <v>8928.8799999999992</v>
      </c>
      <c r="H34" s="2">
        <v>6.2600000000000003E-2</v>
      </c>
      <c r="I34" s="102">
        <v>702.89</v>
      </c>
      <c r="J34" s="2">
        <v>2.2000000000000001E-3</v>
      </c>
      <c r="K34" s="102">
        <v>24.8</v>
      </c>
      <c r="L34" s="2">
        <v>0</v>
      </c>
      <c r="M34" s="102">
        <v>0</v>
      </c>
      <c r="N34" s="2">
        <v>0</v>
      </c>
      <c r="O34" s="102">
        <v>0</v>
      </c>
      <c r="P34" s="2">
        <v>2.9999999999999997E-4</v>
      </c>
      <c r="Q34" s="102">
        <v>3.6</v>
      </c>
      <c r="R34" s="2">
        <v>0</v>
      </c>
      <c r="S34" s="102">
        <v>0</v>
      </c>
      <c r="T34" s="2">
        <v>2.5600000000000001E-2</v>
      </c>
      <c r="U34" s="102">
        <v>287.2</v>
      </c>
      <c r="V34" s="2">
        <v>8.9999999999999998E-4</v>
      </c>
      <c r="W34" s="102">
        <v>9.98</v>
      </c>
      <c r="X34" s="2">
        <v>0.88749999999999996</v>
      </c>
      <c r="Y34" s="102">
        <v>9957.34</v>
      </c>
      <c r="Z34" s="103">
        <v>21177.34</v>
      </c>
    </row>
    <row r="35" spans="2:26" ht="28.35" customHeight="1">
      <c r="B35" s="99" t="s">
        <v>197</v>
      </c>
      <c r="C35" s="100" t="s">
        <v>32</v>
      </c>
      <c r="D35" s="101" t="s">
        <v>166</v>
      </c>
      <c r="E35" s="102">
        <v>11266.87</v>
      </c>
      <c r="F35" s="2">
        <v>0.79579999999999995</v>
      </c>
      <c r="G35" s="102">
        <v>8966.17</v>
      </c>
      <c r="H35" s="2">
        <v>6.2399999999999997E-2</v>
      </c>
      <c r="I35" s="102">
        <v>702.89</v>
      </c>
      <c r="J35" s="2">
        <v>2.2000000000000001E-3</v>
      </c>
      <c r="K35" s="102">
        <v>24.8</v>
      </c>
      <c r="L35" s="2">
        <v>0</v>
      </c>
      <c r="M35" s="102">
        <v>0</v>
      </c>
      <c r="N35" s="2">
        <v>0</v>
      </c>
      <c r="O35" s="102">
        <v>0</v>
      </c>
      <c r="P35" s="2">
        <v>2.9999999999999997E-4</v>
      </c>
      <c r="Q35" s="102">
        <v>3.6</v>
      </c>
      <c r="R35" s="2">
        <v>0</v>
      </c>
      <c r="S35" s="102">
        <v>0</v>
      </c>
      <c r="T35" s="2">
        <v>2.5499999999999998E-2</v>
      </c>
      <c r="U35" s="102">
        <v>287.2</v>
      </c>
      <c r="V35" s="2">
        <v>8.9999999999999998E-4</v>
      </c>
      <c r="W35" s="102">
        <v>9.98</v>
      </c>
      <c r="X35" s="2">
        <v>0.8871</v>
      </c>
      <c r="Y35" s="102">
        <v>9994.64</v>
      </c>
      <c r="Z35" s="103">
        <v>21261.51</v>
      </c>
    </row>
    <row r="36" spans="2:26" ht="28.35" customHeight="1">
      <c r="B36" s="99" t="s">
        <v>198</v>
      </c>
      <c r="C36" s="100" t="s">
        <v>33</v>
      </c>
      <c r="D36" s="101" t="s">
        <v>166</v>
      </c>
      <c r="E36" s="102">
        <v>13578.83</v>
      </c>
      <c r="F36" s="2">
        <v>0.79579999999999995</v>
      </c>
      <c r="G36" s="102">
        <v>10806.03</v>
      </c>
      <c r="H36" s="2">
        <v>5.1799999999999999E-2</v>
      </c>
      <c r="I36" s="102">
        <v>702.89</v>
      </c>
      <c r="J36" s="2">
        <v>1.8E-3</v>
      </c>
      <c r="K36" s="102">
        <v>24.8</v>
      </c>
      <c r="L36" s="2">
        <v>0</v>
      </c>
      <c r="M36" s="102">
        <v>0</v>
      </c>
      <c r="N36" s="2">
        <v>0</v>
      </c>
      <c r="O36" s="102">
        <v>0</v>
      </c>
      <c r="P36" s="2">
        <v>2.9999999999999997E-4</v>
      </c>
      <c r="Q36" s="102">
        <v>3.6</v>
      </c>
      <c r="R36" s="2">
        <v>0</v>
      </c>
      <c r="S36" s="102">
        <v>0</v>
      </c>
      <c r="T36" s="2">
        <v>2.12E-2</v>
      </c>
      <c r="U36" s="102">
        <v>287.2</v>
      </c>
      <c r="V36" s="2">
        <v>6.9999999999999999E-4</v>
      </c>
      <c r="W36" s="102">
        <v>9.98</v>
      </c>
      <c r="X36" s="2">
        <v>0.87150000000000005</v>
      </c>
      <c r="Y36" s="102">
        <v>11834.5</v>
      </c>
      <c r="Z36" s="103">
        <v>25413.33</v>
      </c>
    </row>
    <row r="37" spans="2:26" ht="28.35" customHeight="1">
      <c r="B37" s="99" t="s">
        <v>199</v>
      </c>
      <c r="C37" s="100" t="s">
        <v>34</v>
      </c>
      <c r="D37" s="101" t="s">
        <v>166</v>
      </c>
      <c r="E37" s="102">
        <v>20551.86</v>
      </c>
      <c r="F37" s="2">
        <v>0.79449999999999998</v>
      </c>
      <c r="G37" s="102">
        <v>16328.45</v>
      </c>
      <c r="H37" s="2">
        <v>3.4200000000000001E-2</v>
      </c>
      <c r="I37" s="102">
        <v>702.89</v>
      </c>
      <c r="J37" s="2">
        <v>1.1000000000000001E-3</v>
      </c>
      <c r="K37" s="102">
        <v>22.65</v>
      </c>
      <c r="L37" s="2">
        <v>0</v>
      </c>
      <c r="M37" s="102">
        <v>0</v>
      </c>
      <c r="N37" s="2">
        <v>0</v>
      </c>
      <c r="O37" s="102">
        <v>0</v>
      </c>
      <c r="P37" s="2">
        <v>2.0000000000000001E-4</v>
      </c>
      <c r="Q37" s="102">
        <v>3.66</v>
      </c>
      <c r="R37" s="2">
        <v>0</v>
      </c>
      <c r="S37" s="102">
        <v>0</v>
      </c>
      <c r="T37" s="2">
        <v>1.4E-2</v>
      </c>
      <c r="U37" s="102">
        <v>287.2</v>
      </c>
      <c r="V37" s="2">
        <v>5.0000000000000001E-4</v>
      </c>
      <c r="W37" s="102">
        <v>9.98</v>
      </c>
      <c r="X37" s="2">
        <v>0.84440000000000004</v>
      </c>
      <c r="Y37" s="102">
        <v>17354.830000000002</v>
      </c>
      <c r="Z37" s="103">
        <v>37906.68</v>
      </c>
    </row>
    <row r="38" spans="2:26" ht="28.35" customHeight="1">
      <c r="B38" s="99" t="s">
        <v>200</v>
      </c>
      <c r="C38" s="100" t="s">
        <v>35</v>
      </c>
      <c r="D38" s="101" t="s">
        <v>166</v>
      </c>
      <c r="E38" s="102">
        <v>17126.55</v>
      </c>
      <c r="F38" s="2">
        <v>0.79449999999999998</v>
      </c>
      <c r="G38" s="102">
        <v>13607.04</v>
      </c>
      <c r="H38" s="2">
        <v>4.1000000000000002E-2</v>
      </c>
      <c r="I38" s="102">
        <v>702.89</v>
      </c>
      <c r="J38" s="2">
        <v>1.2999999999999999E-3</v>
      </c>
      <c r="K38" s="102">
        <v>22.65</v>
      </c>
      <c r="L38" s="2">
        <v>0</v>
      </c>
      <c r="M38" s="102">
        <v>0</v>
      </c>
      <c r="N38" s="2">
        <v>0</v>
      </c>
      <c r="O38" s="102">
        <v>0</v>
      </c>
      <c r="P38" s="2">
        <v>2.0000000000000001E-4</v>
      </c>
      <c r="Q38" s="102">
        <v>3.66</v>
      </c>
      <c r="R38" s="2">
        <v>0</v>
      </c>
      <c r="S38" s="102">
        <v>0</v>
      </c>
      <c r="T38" s="2">
        <v>1.6799999999999999E-2</v>
      </c>
      <c r="U38" s="102">
        <v>287.2</v>
      </c>
      <c r="V38" s="2">
        <v>5.9999999999999995E-4</v>
      </c>
      <c r="W38" s="102">
        <v>9.98</v>
      </c>
      <c r="X38" s="2">
        <v>0.85440000000000005</v>
      </c>
      <c r="Y38" s="102">
        <v>14633.42</v>
      </c>
      <c r="Z38" s="103">
        <v>31759.96</v>
      </c>
    </row>
    <row r="39" spans="2:26" ht="28.35" hidden="1" customHeight="1">
      <c r="B39" s="99" t="s">
        <v>201</v>
      </c>
      <c r="C39" s="100" t="s">
        <v>36</v>
      </c>
      <c r="D39" s="101" t="s">
        <v>166</v>
      </c>
      <c r="E39" s="102">
        <v>11220</v>
      </c>
      <c r="F39" s="2">
        <v>0.80120000000000002</v>
      </c>
      <c r="G39" s="102">
        <v>8989.4599999999991</v>
      </c>
      <c r="H39" s="2">
        <v>6.2600000000000003E-2</v>
      </c>
      <c r="I39" s="102">
        <v>702.89</v>
      </c>
      <c r="J39" s="2">
        <v>2.2000000000000001E-3</v>
      </c>
      <c r="K39" s="102">
        <v>24.8</v>
      </c>
      <c r="L39" s="2">
        <v>0</v>
      </c>
      <c r="M39" s="102">
        <v>0</v>
      </c>
      <c r="N39" s="2">
        <v>0</v>
      </c>
      <c r="O39" s="102">
        <v>0</v>
      </c>
      <c r="P39" s="2">
        <v>4.0000000000000002E-4</v>
      </c>
      <c r="Q39" s="102">
        <v>4.63</v>
      </c>
      <c r="R39" s="2">
        <v>0</v>
      </c>
      <c r="S39" s="102">
        <v>0</v>
      </c>
      <c r="T39" s="2">
        <v>2.5600000000000001E-2</v>
      </c>
      <c r="U39" s="102">
        <v>287.2</v>
      </c>
      <c r="V39" s="2">
        <v>8.9999999999999998E-4</v>
      </c>
      <c r="W39" s="102">
        <v>9.98</v>
      </c>
      <c r="X39" s="2">
        <v>0.89300000000000002</v>
      </c>
      <c r="Y39" s="102">
        <v>10018.969999999999</v>
      </c>
      <c r="Z39" s="103">
        <v>21238.97</v>
      </c>
    </row>
    <row r="40" spans="2:26" ht="28.35" hidden="1" customHeight="1">
      <c r="B40" s="99" t="s">
        <v>202</v>
      </c>
      <c r="C40" s="100" t="s">
        <v>37</v>
      </c>
      <c r="D40" s="101" t="s">
        <v>166</v>
      </c>
      <c r="E40" s="102">
        <v>11526.37</v>
      </c>
      <c r="F40" s="2">
        <v>0.80120000000000002</v>
      </c>
      <c r="G40" s="102">
        <v>9234.93</v>
      </c>
      <c r="H40" s="2">
        <v>6.0999999999999999E-2</v>
      </c>
      <c r="I40" s="102">
        <v>702.89</v>
      </c>
      <c r="J40" s="2">
        <v>2.2000000000000001E-3</v>
      </c>
      <c r="K40" s="102">
        <v>24.8</v>
      </c>
      <c r="L40" s="2">
        <v>0</v>
      </c>
      <c r="M40" s="102">
        <v>0</v>
      </c>
      <c r="N40" s="2">
        <v>0</v>
      </c>
      <c r="O40" s="102">
        <v>0</v>
      </c>
      <c r="P40" s="2">
        <v>4.0000000000000002E-4</v>
      </c>
      <c r="Q40" s="102">
        <v>4.63</v>
      </c>
      <c r="R40" s="2">
        <v>0</v>
      </c>
      <c r="S40" s="102">
        <v>0</v>
      </c>
      <c r="T40" s="2">
        <v>2.4899999999999999E-2</v>
      </c>
      <c r="U40" s="102">
        <v>287.2</v>
      </c>
      <c r="V40" s="2">
        <v>8.9999999999999998E-4</v>
      </c>
      <c r="W40" s="102">
        <v>9.98</v>
      </c>
      <c r="X40" s="2">
        <v>0.89049999999999996</v>
      </c>
      <c r="Y40" s="102">
        <v>10264.43</v>
      </c>
      <c r="Z40" s="103">
        <v>21790.799999999999</v>
      </c>
    </row>
    <row r="41" spans="2:26" ht="28.35" hidden="1" customHeight="1">
      <c r="B41" s="99" t="s">
        <v>203</v>
      </c>
      <c r="C41" s="100" t="s">
        <v>38</v>
      </c>
      <c r="D41" s="101" t="s">
        <v>166</v>
      </c>
      <c r="E41" s="102">
        <v>13764.58</v>
      </c>
      <c r="F41" s="2">
        <v>0.80120000000000002</v>
      </c>
      <c r="G41" s="102">
        <v>11028.19</v>
      </c>
      <c r="H41" s="2">
        <v>5.11E-2</v>
      </c>
      <c r="I41" s="102">
        <v>702.89</v>
      </c>
      <c r="J41" s="2">
        <v>1.8E-3</v>
      </c>
      <c r="K41" s="102">
        <v>24.8</v>
      </c>
      <c r="L41" s="2">
        <v>0</v>
      </c>
      <c r="M41" s="102">
        <v>0</v>
      </c>
      <c r="N41" s="2">
        <v>0</v>
      </c>
      <c r="O41" s="102">
        <v>0</v>
      </c>
      <c r="P41" s="2">
        <v>2.9999999999999997E-4</v>
      </c>
      <c r="Q41" s="102">
        <v>4.63</v>
      </c>
      <c r="R41" s="2">
        <v>0</v>
      </c>
      <c r="S41" s="102">
        <v>0</v>
      </c>
      <c r="T41" s="2">
        <v>2.0899999999999998E-2</v>
      </c>
      <c r="U41" s="102">
        <v>287.2</v>
      </c>
      <c r="V41" s="2">
        <v>6.9999999999999999E-4</v>
      </c>
      <c r="W41" s="102">
        <v>9.98</v>
      </c>
      <c r="X41" s="2">
        <v>0.876</v>
      </c>
      <c r="Y41" s="102">
        <v>12057.69</v>
      </c>
      <c r="Z41" s="103">
        <v>25822.27</v>
      </c>
    </row>
    <row r="42" spans="2:26" ht="28.35" customHeight="1">
      <c r="B42" s="99" t="s">
        <v>204</v>
      </c>
      <c r="C42" s="100" t="s">
        <v>39</v>
      </c>
      <c r="D42" s="101" t="s">
        <v>166</v>
      </c>
      <c r="E42" s="102">
        <v>11220</v>
      </c>
      <c r="F42" s="2">
        <v>0.79449999999999998</v>
      </c>
      <c r="G42" s="102">
        <v>8914.2900000000009</v>
      </c>
      <c r="H42" s="2">
        <v>6.2600000000000003E-2</v>
      </c>
      <c r="I42" s="102">
        <v>702.89</v>
      </c>
      <c r="J42" s="2">
        <v>2.2000000000000001E-3</v>
      </c>
      <c r="K42" s="102">
        <v>24.8</v>
      </c>
      <c r="L42" s="2">
        <v>0</v>
      </c>
      <c r="M42" s="102">
        <v>0</v>
      </c>
      <c r="N42" s="2">
        <v>0</v>
      </c>
      <c r="O42" s="102">
        <v>0</v>
      </c>
      <c r="P42" s="2">
        <v>2.9999999999999997E-4</v>
      </c>
      <c r="Q42" s="102">
        <v>3.66</v>
      </c>
      <c r="R42" s="2">
        <v>0</v>
      </c>
      <c r="S42" s="102">
        <v>0</v>
      </c>
      <c r="T42" s="2">
        <v>2.5600000000000001E-2</v>
      </c>
      <c r="U42" s="102">
        <v>287.2</v>
      </c>
      <c r="V42" s="2">
        <v>8.9999999999999998E-4</v>
      </c>
      <c r="W42" s="102">
        <v>9.98</v>
      </c>
      <c r="X42" s="2">
        <v>0.88619999999999999</v>
      </c>
      <c r="Y42" s="102">
        <v>9942.82</v>
      </c>
      <c r="Z42" s="103">
        <v>21162.82</v>
      </c>
    </row>
    <row r="43" spans="2:26" ht="28.35" customHeight="1">
      <c r="B43" s="99" t="s">
        <v>205</v>
      </c>
      <c r="C43" s="100" t="s">
        <v>40</v>
      </c>
      <c r="D43" s="101" t="s">
        <v>166</v>
      </c>
      <c r="E43" s="102">
        <v>11669.34</v>
      </c>
      <c r="F43" s="2">
        <v>0.79449999999999998</v>
      </c>
      <c r="G43" s="102">
        <v>9271.2900000000009</v>
      </c>
      <c r="H43" s="2">
        <v>6.0199999999999997E-2</v>
      </c>
      <c r="I43" s="102">
        <v>702.89</v>
      </c>
      <c r="J43" s="2">
        <v>2.0999999999999999E-3</v>
      </c>
      <c r="K43" s="102">
        <v>24.8</v>
      </c>
      <c r="L43" s="2">
        <v>0</v>
      </c>
      <c r="M43" s="102">
        <v>0</v>
      </c>
      <c r="N43" s="2">
        <v>0</v>
      </c>
      <c r="O43" s="102">
        <v>0</v>
      </c>
      <c r="P43" s="2">
        <v>2.9999999999999997E-4</v>
      </c>
      <c r="Q43" s="102">
        <v>3.66</v>
      </c>
      <c r="R43" s="2">
        <v>0</v>
      </c>
      <c r="S43" s="102">
        <v>0</v>
      </c>
      <c r="T43" s="2">
        <v>2.46E-2</v>
      </c>
      <c r="U43" s="102">
        <v>287.2</v>
      </c>
      <c r="V43" s="2">
        <v>8.9999999999999998E-4</v>
      </c>
      <c r="W43" s="102">
        <v>9.98</v>
      </c>
      <c r="X43" s="2">
        <v>0.88260000000000005</v>
      </c>
      <c r="Y43" s="102">
        <v>10299.82</v>
      </c>
      <c r="Z43" s="103">
        <v>21969.16</v>
      </c>
    </row>
    <row r="44" spans="2:26" ht="28.35" customHeight="1">
      <c r="B44" s="99" t="s">
        <v>206</v>
      </c>
      <c r="C44" s="100" t="s">
        <v>41</v>
      </c>
      <c r="D44" s="101" t="s">
        <v>166</v>
      </c>
      <c r="E44" s="102">
        <v>14809.88</v>
      </c>
      <c r="F44" s="2">
        <v>0.79449999999999998</v>
      </c>
      <c r="G44" s="102">
        <v>11766.45</v>
      </c>
      <c r="H44" s="2">
        <v>4.7500000000000001E-2</v>
      </c>
      <c r="I44" s="102">
        <v>702.89</v>
      </c>
      <c r="J44" s="2">
        <v>1.6999999999999999E-3</v>
      </c>
      <c r="K44" s="102">
        <v>24.8</v>
      </c>
      <c r="L44" s="2">
        <v>0</v>
      </c>
      <c r="M44" s="102">
        <v>0</v>
      </c>
      <c r="N44" s="2">
        <v>0</v>
      </c>
      <c r="O44" s="102">
        <v>0</v>
      </c>
      <c r="P44" s="2">
        <v>2.0000000000000001E-4</v>
      </c>
      <c r="Q44" s="102">
        <v>3.66</v>
      </c>
      <c r="R44" s="2">
        <v>0</v>
      </c>
      <c r="S44" s="102">
        <v>0</v>
      </c>
      <c r="T44" s="2">
        <v>1.9400000000000001E-2</v>
      </c>
      <c r="U44" s="102">
        <v>287.2</v>
      </c>
      <c r="V44" s="2">
        <v>6.9999999999999999E-4</v>
      </c>
      <c r="W44" s="102">
        <v>9.98</v>
      </c>
      <c r="X44" s="2">
        <v>0.8639</v>
      </c>
      <c r="Y44" s="102">
        <v>12794.98</v>
      </c>
      <c r="Z44" s="103">
        <v>27604.86</v>
      </c>
    </row>
    <row r="45" spans="2:26" ht="28.35" customHeight="1">
      <c r="B45" s="99" t="s">
        <v>207</v>
      </c>
      <c r="C45" s="100" t="s">
        <v>42</v>
      </c>
      <c r="D45" s="101" t="s">
        <v>166</v>
      </c>
      <c r="E45" s="102">
        <v>11220</v>
      </c>
      <c r="F45" s="2">
        <v>0.80120000000000002</v>
      </c>
      <c r="G45" s="102">
        <v>8989.4599999999991</v>
      </c>
      <c r="H45" s="2">
        <v>6.2600000000000003E-2</v>
      </c>
      <c r="I45" s="102">
        <v>702.89</v>
      </c>
      <c r="J45" s="2">
        <v>2.2000000000000001E-3</v>
      </c>
      <c r="K45" s="102">
        <v>24.8</v>
      </c>
      <c r="L45" s="2">
        <v>0</v>
      </c>
      <c r="M45" s="102">
        <v>0</v>
      </c>
      <c r="N45" s="2">
        <v>0</v>
      </c>
      <c r="O45" s="102">
        <v>0</v>
      </c>
      <c r="P45" s="2">
        <v>4.0000000000000002E-4</v>
      </c>
      <c r="Q45" s="102">
        <v>4.63</v>
      </c>
      <c r="R45" s="2">
        <v>0</v>
      </c>
      <c r="S45" s="102">
        <v>0</v>
      </c>
      <c r="T45" s="2">
        <v>2.5600000000000001E-2</v>
      </c>
      <c r="U45" s="102">
        <v>287.2</v>
      </c>
      <c r="V45" s="2">
        <v>8.9999999999999998E-4</v>
      </c>
      <c r="W45" s="102">
        <v>9.98</v>
      </c>
      <c r="X45" s="2">
        <v>0.89300000000000002</v>
      </c>
      <c r="Y45" s="102">
        <v>10018.969999999999</v>
      </c>
      <c r="Z45" s="103">
        <v>21238.97</v>
      </c>
    </row>
    <row r="46" spans="2:26" ht="28.35" customHeight="1">
      <c r="B46" s="99" t="s">
        <v>208</v>
      </c>
      <c r="C46" s="100" t="s">
        <v>43</v>
      </c>
      <c r="D46" s="101" t="s">
        <v>166</v>
      </c>
      <c r="E46" s="102">
        <v>11526.37</v>
      </c>
      <c r="F46" s="2">
        <v>0.80120000000000002</v>
      </c>
      <c r="G46" s="102">
        <v>9234.93</v>
      </c>
      <c r="H46" s="2">
        <v>6.0999999999999999E-2</v>
      </c>
      <c r="I46" s="102">
        <v>702.89</v>
      </c>
      <c r="J46" s="2">
        <v>2.2000000000000001E-3</v>
      </c>
      <c r="K46" s="102">
        <v>24.8</v>
      </c>
      <c r="L46" s="2">
        <v>0</v>
      </c>
      <c r="M46" s="102">
        <v>0</v>
      </c>
      <c r="N46" s="2">
        <v>0</v>
      </c>
      <c r="O46" s="102">
        <v>0</v>
      </c>
      <c r="P46" s="2">
        <v>4.0000000000000002E-4</v>
      </c>
      <c r="Q46" s="102">
        <v>4.63</v>
      </c>
      <c r="R46" s="2">
        <v>0</v>
      </c>
      <c r="S46" s="102">
        <v>0</v>
      </c>
      <c r="T46" s="2">
        <v>2.4899999999999999E-2</v>
      </c>
      <c r="U46" s="102">
        <v>287.2</v>
      </c>
      <c r="V46" s="2">
        <v>8.9999999999999998E-4</v>
      </c>
      <c r="W46" s="102">
        <v>9.98</v>
      </c>
      <c r="X46" s="2">
        <v>0.89049999999999996</v>
      </c>
      <c r="Y46" s="102">
        <v>10264.43</v>
      </c>
      <c r="Z46" s="103">
        <v>21790.799999999999</v>
      </c>
    </row>
    <row r="47" spans="2:26" ht="28.35" customHeight="1">
      <c r="B47" s="99" t="s">
        <v>209</v>
      </c>
      <c r="C47" s="100" t="s">
        <v>44</v>
      </c>
      <c r="D47" s="101" t="s">
        <v>166</v>
      </c>
      <c r="E47" s="102">
        <v>13764.58</v>
      </c>
      <c r="F47" s="2">
        <v>0.80120000000000002</v>
      </c>
      <c r="G47" s="102">
        <v>11028.19</v>
      </c>
      <c r="H47" s="2">
        <v>5.11E-2</v>
      </c>
      <c r="I47" s="102">
        <v>702.89</v>
      </c>
      <c r="J47" s="2">
        <v>1.8E-3</v>
      </c>
      <c r="K47" s="102">
        <v>24.8</v>
      </c>
      <c r="L47" s="2">
        <v>0</v>
      </c>
      <c r="M47" s="102">
        <v>0</v>
      </c>
      <c r="N47" s="2">
        <v>0</v>
      </c>
      <c r="O47" s="102">
        <v>0</v>
      </c>
      <c r="P47" s="2">
        <v>2.9999999999999997E-4</v>
      </c>
      <c r="Q47" s="102">
        <v>4.63</v>
      </c>
      <c r="R47" s="2">
        <v>0</v>
      </c>
      <c r="S47" s="102">
        <v>0</v>
      </c>
      <c r="T47" s="2">
        <v>2.0899999999999998E-2</v>
      </c>
      <c r="U47" s="102">
        <v>287.2</v>
      </c>
      <c r="V47" s="2">
        <v>6.9999999999999999E-4</v>
      </c>
      <c r="W47" s="102">
        <v>9.98</v>
      </c>
      <c r="X47" s="2">
        <v>0.876</v>
      </c>
      <c r="Y47" s="102">
        <v>12057.69</v>
      </c>
      <c r="Z47" s="103">
        <v>25822.27</v>
      </c>
    </row>
    <row r="48" spans="2:26" ht="28.35" hidden="1" customHeight="1">
      <c r="B48" s="99" t="s">
        <v>210</v>
      </c>
      <c r="C48" s="100" t="s">
        <v>45</v>
      </c>
      <c r="D48" s="101" t="s">
        <v>166</v>
      </c>
      <c r="E48" s="102">
        <v>10004.5</v>
      </c>
      <c r="F48" s="2">
        <v>0.79849999999999999</v>
      </c>
      <c r="G48" s="102">
        <v>7988.59</v>
      </c>
      <c r="H48" s="2">
        <v>7.0300000000000001E-2</v>
      </c>
      <c r="I48" s="102">
        <v>702.89</v>
      </c>
      <c r="J48" s="2">
        <v>2.5000000000000001E-3</v>
      </c>
      <c r="K48" s="102">
        <v>24.8</v>
      </c>
      <c r="L48" s="2">
        <v>0</v>
      </c>
      <c r="M48" s="102">
        <v>0</v>
      </c>
      <c r="N48" s="2">
        <v>0</v>
      </c>
      <c r="O48" s="102">
        <v>0</v>
      </c>
      <c r="P48" s="2">
        <v>4.0000000000000002E-4</v>
      </c>
      <c r="Q48" s="102">
        <v>3.91</v>
      </c>
      <c r="R48" s="2">
        <v>0</v>
      </c>
      <c r="S48" s="102">
        <v>0</v>
      </c>
      <c r="T48" s="2">
        <v>2.87E-2</v>
      </c>
      <c r="U48" s="102">
        <v>287.2</v>
      </c>
      <c r="V48" s="2">
        <v>1E-3</v>
      </c>
      <c r="W48" s="102">
        <v>9.98</v>
      </c>
      <c r="X48" s="2">
        <v>0.90129999999999999</v>
      </c>
      <c r="Y48" s="102">
        <v>9017.3799999999992</v>
      </c>
      <c r="Z48" s="103">
        <v>19021.88</v>
      </c>
    </row>
    <row r="49" spans="2:26" ht="28.35" hidden="1" customHeight="1">
      <c r="B49" s="99" t="s">
        <v>211</v>
      </c>
      <c r="C49" s="100" t="s">
        <v>46</v>
      </c>
      <c r="D49" s="101" t="s">
        <v>166</v>
      </c>
      <c r="E49" s="102">
        <v>11482.37</v>
      </c>
      <c r="F49" s="2">
        <v>0.79849999999999999</v>
      </c>
      <c r="G49" s="102">
        <v>9168.67</v>
      </c>
      <c r="H49" s="2">
        <v>6.1199999999999997E-2</v>
      </c>
      <c r="I49" s="102">
        <v>702.89</v>
      </c>
      <c r="J49" s="2">
        <v>2.2000000000000001E-3</v>
      </c>
      <c r="K49" s="102">
        <v>24.8</v>
      </c>
      <c r="L49" s="2">
        <v>0</v>
      </c>
      <c r="M49" s="102">
        <v>0</v>
      </c>
      <c r="N49" s="2">
        <v>0</v>
      </c>
      <c r="O49" s="102">
        <v>0</v>
      </c>
      <c r="P49" s="2">
        <v>2.9999999999999997E-4</v>
      </c>
      <c r="Q49" s="102">
        <v>3.91</v>
      </c>
      <c r="R49" s="2">
        <v>0</v>
      </c>
      <c r="S49" s="102">
        <v>0</v>
      </c>
      <c r="T49" s="2">
        <v>2.5000000000000001E-2</v>
      </c>
      <c r="U49" s="102">
        <v>287.2</v>
      </c>
      <c r="V49" s="2">
        <v>8.9999999999999998E-4</v>
      </c>
      <c r="W49" s="102">
        <v>9.98</v>
      </c>
      <c r="X49" s="2">
        <v>0.8881</v>
      </c>
      <c r="Y49" s="102">
        <v>10197.459999999999</v>
      </c>
      <c r="Z49" s="103">
        <v>21679.83</v>
      </c>
    </row>
    <row r="50" spans="2:26" ht="28.35" hidden="1" customHeight="1">
      <c r="B50" s="99" t="s">
        <v>212</v>
      </c>
      <c r="C50" s="100" t="s">
        <v>47</v>
      </c>
      <c r="D50" s="101" t="s">
        <v>166</v>
      </c>
      <c r="E50" s="102">
        <v>13792.18</v>
      </c>
      <c r="F50" s="2">
        <v>0.79849999999999999</v>
      </c>
      <c r="G50" s="102">
        <v>11013.06</v>
      </c>
      <c r="H50" s="2">
        <v>5.0999999999999997E-2</v>
      </c>
      <c r="I50" s="102">
        <v>702.89</v>
      </c>
      <c r="J50" s="2">
        <v>1.8E-3</v>
      </c>
      <c r="K50" s="102">
        <v>24.8</v>
      </c>
      <c r="L50" s="2">
        <v>0</v>
      </c>
      <c r="M50" s="102">
        <v>0</v>
      </c>
      <c r="N50" s="2">
        <v>0</v>
      </c>
      <c r="O50" s="102">
        <v>0</v>
      </c>
      <c r="P50" s="2">
        <v>2.9999999999999997E-4</v>
      </c>
      <c r="Q50" s="102">
        <v>3.91</v>
      </c>
      <c r="R50" s="2">
        <v>0</v>
      </c>
      <c r="S50" s="102">
        <v>0</v>
      </c>
      <c r="T50" s="2">
        <v>2.0799999999999999E-2</v>
      </c>
      <c r="U50" s="102">
        <v>287.2</v>
      </c>
      <c r="V50" s="2">
        <v>6.9999999999999999E-4</v>
      </c>
      <c r="W50" s="102">
        <v>9.98</v>
      </c>
      <c r="X50" s="2">
        <v>0.87309999999999999</v>
      </c>
      <c r="Y50" s="102">
        <v>12041.84</v>
      </c>
      <c r="Z50" s="103">
        <v>25834.02</v>
      </c>
    </row>
    <row r="51" spans="2:26" ht="28.35" hidden="1" customHeight="1">
      <c r="B51" s="99" t="s">
        <v>213</v>
      </c>
      <c r="C51" s="100" t="s">
        <v>48</v>
      </c>
      <c r="D51" s="101" t="s">
        <v>166</v>
      </c>
      <c r="E51" s="102">
        <v>2779.77</v>
      </c>
      <c r="F51" s="2">
        <v>0.79610000000000003</v>
      </c>
      <c r="G51" s="102">
        <v>2212.9699999999998</v>
      </c>
      <c r="H51" s="2">
        <v>0.25290000000000001</v>
      </c>
      <c r="I51" s="102">
        <v>702.89</v>
      </c>
      <c r="J51" s="2">
        <v>8.8999999999999999E-3</v>
      </c>
      <c r="K51" s="102">
        <v>24.8</v>
      </c>
      <c r="L51" s="2">
        <v>0</v>
      </c>
      <c r="M51" s="102">
        <v>0</v>
      </c>
      <c r="N51" s="2">
        <v>1.8800000000000001E-2</v>
      </c>
      <c r="O51" s="102">
        <v>52.25</v>
      </c>
      <c r="P51" s="2">
        <v>1E-3</v>
      </c>
      <c r="Q51" s="102">
        <v>2.92</v>
      </c>
      <c r="R51" s="2">
        <v>0</v>
      </c>
      <c r="S51" s="102">
        <v>0</v>
      </c>
      <c r="T51" s="2">
        <v>0.1033</v>
      </c>
      <c r="U51" s="102">
        <v>287.2</v>
      </c>
      <c r="V51" s="2">
        <v>3.5999999999999999E-3</v>
      </c>
      <c r="W51" s="102">
        <v>9.98</v>
      </c>
      <c r="X51" s="2">
        <v>1.1846000000000001</v>
      </c>
      <c r="Y51" s="102">
        <v>3293</v>
      </c>
      <c r="Z51" s="103">
        <v>6072.77</v>
      </c>
    </row>
    <row r="52" spans="2:26" ht="28.35" hidden="1" customHeight="1">
      <c r="B52" s="99" t="s">
        <v>214</v>
      </c>
      <c r="C52" s="100" t="s">
        <v>49</v>
      </c>
      <c r="D52" s="101" t="s">
        <v>166</v>
      </c>
      <c r="E52" s="102">
        <v>3706.35</v>
      </c>
      <c r="F52" s="2">
        <v>0.79610000000000003</v>
      </c>
      <c r="G52" s="102">
        <v>2950.63</v>
      </c>
      <c r="H52" s="2">
        <v>0.18959999999999999</v>
      </c>
      <c r="I52" s="102">
        <v>702.89</v>
      </c>
      <c r="J52" s="2">
        <v>6.7000000000000002E-3</v>
      </c>
      <c r="K52" s="102">
        <v>24.8</v>
      </c>
      <c r="L52" s="2">
        <v>0</v>
      </c>
      <c r="M52" s="102">
        <v>0</v>
      </c>
      <c r="N52" s="2">
        <v>0</v>
      </c>
      <c r="O52" s="102">
        <v>0</v>
      </c>
      <c r="P52" s="2">
        <v>8.0000000000000004E-4</v>
      </c>
      <c r="Q52" s="102">
        <v>2.92</v>
      </c>
      <c r="R52" s="2">
        <v>0</v>
      </c>
      <c r="S52" s="102">
        <v>0</v>
      </c>
      <c r="T52" s="2">
        <v>7.7499999999999999E-2</v>
      </c>
      <c r="U52" s="102">
        <v>287.2</v>
      </c>
      <c r="V52" s="2">
        <v>2.7000000000000001E-3</v>
      </c>
      <c r="W52" s="102">
        <v>9.98</v>
      </c>
      <c r="X52" s="2">
        <v>1.0733999999999999</v>
      </c>
      <c r="Y52" s="102">
        <v>3978.42</v>
      </c>
      <c r="Z52" s="103">
        <v>7684.77</v>
      </c>
    </row>
    <row r="53" spans="2:26" ht="28.35" hidden="1" customHeight="1">
      <c r="B53" s="99" t="s">
        <v>215</v>
      </c>
      <c r="C53" s="100" t="s">
        <v>50</v>
      </c>
      <c r="D53" s="101" t="s">
        <v>166</v>
      </c>
      <c r="E53" s="102">
        <v>7205.54</v>
      </c>
      <c r="F53" s="2">
        <v>0.79610000000000003</v>
      </c>
      <c r="G53" s="102">
        <v>5736.33</v>
      </c>
      <c r="H53" s="2">
        <v>9.7500000000000003E-2</v>
      </c>
      <c r="I53" s="102">
        <v>702.89</v>
      </c>
      <c r="J53" s="2">
        <v>3.3999999999999998E-3</v>
      </c>
      <c r="K53" s="102">
        <v>24.8</v>
      </c>
      <c r="L53" s="2">
        <v>0</v>
      </c>
      <c r="M53" s="102">
        <v>0</v>
      </c>
      <c r="N53" s="2">
        <v>0</v>
      </c>
      <c r="O53" s="102">
        <v>0</v>
      </c>
      <c r="P53" s="2">
        <v>4.0000000000000002E-4</v>
      </c>
      <c r="Q53" s="102">
        <v>2.92</v>
      </c>
      <c r="R53" s="2">
        <v>0</v>
      </c>
      <c r="S53" s="102">
        <v>0</v>
      </c>
      <c r="T53" s="2">
        <v>3.9899999999999998E-2</v>
      </c>
      <c r="U53" s="102">
        <v>287.2</v>
      </c>
      <c r="V53" s="2">
        <v>1.4E-3</v>
      </c>
      <c r="W53" s="102">
        <v>9.98</v>
      </c>
      <c r="X53" s="2">
        <v>0.93869999999999998</v>
      </c>
      <c r="Y53" s="102">
        <v>6764.12</v>
      </c>
      <c r="Z53" s="103">
        <v>13969.66</v>
      </c>
    </row>
    <row r="54" spans="2:26" ht="28.35" hidden="1" customHeight="1">
      <c r="B54" s="99" t="s">
        <v>216</v>
      </c>
      <c r="C54" s="100" t="s">
        <v>51</v>
      </c>
      <c r="D54" s="101" t="s">
        <v>166</v>
      </c>
      <c r="E54" s="102">
        <v>2157.71</v>
      </c>
      <c r="F54" s="2">
        <v>0.80079999999999996</v>
      </c>
      <c r="G54" s="102">
        <v>1727.89</v>
      </c>
      <c r="H54" s="2">
        <v>0.32579999999999998</v>
      </c>
      <c r="I54" s="102">
        <v>702.89</v>
      </c>
      <c r="J54" s="2">
        <v>1.29E-2</v>
      </c>
      <c r="K54" s="102">
        <v>27.8</v>
      </c>
      <c r="L54" s="2">
        <v>0</v>
      </c>
      <c r="M54" s="102">
        <v>0</v>
      </c>
      <c r="N54" s="2">
        <v>4.1500000000000002E-2</v>
      </c>
      <c r="O54" s="102">
        <v>89.57</v>
      </c>
      <c r="P54" s="2">
        <v>2E-3</v>
      </c>
      <c r="Q54" s="102">
        <v>4.3099999999999996</v>
      </c>
      <c r="R54" s="2">
        <v>0</v>
      </c>
      <c r="S54" s="102">
        <v>0</v>
      </c>
      <c r="T54" s="2">
        <v>0.1331</v>
      </c>
      <c r="U54" s="102">
        <v>287.2</v>
      </c>
      <c r="V54" s="2">
        <v>4.5999999999999999E-3</v>
      </c>
      <c r="W54" s="102">
        <v>9.98</v>
      </c>
      <c r="X54" s="2">
        <v>1.3207</v>
      </c>
      <c r="Y54" s="102">
        <v>2849.65</v>
      </c>
      <c r="Z54" s="103">
        <v>5007.3599999999997</v>
      </c>
    </row>
    <row r="55" spans="2:26" ht="28.35" hidden="1" customHeight="1">
      <c r="B55" s="99" t="s">
        <v>217</v>
      </c>
      <c r="C55" s="100" t="s">
        <v>52</v>
      </c>
      <c r="D55" s="101" t="s">
        <v>166</v>
      </c>
      <c r="E55" s="102">
        <v>11220</v>
      </c>
      <c r="F55" s="2">
        <v>0.79220000000000002</v>
      </c>
      <c r="G55" s="102">
        <v>8888.48</v>
      </c>
      <c r="H55" s="2">
        <v>6.2600000000000003E-2</v>
      </c>
      <c r="I55" s="102">
        <v>702.89</v>
      </c>
      <c r="J55" s="2">
        <v>2.2000000000000001E-3</v>
      </c>
      <c r="K55" s="102">
        <v>24.8</v>
      </c>
      <c r="L55" s="2">
        <v>0</v>
      </c>
      <c r="M55" s="102">
        <v>0</v>
      </c>
      <c r="N55" s="2">
        <v>0</v>
      </c>
      <c r="O55" s="102">
        <v>0</v>
      </c>
      <c r="P55" s="2">
        <v>2.9999999999999997E-4</v>
      </c>
      <c r="Q55" s="102">
        <v>3.08</v>
      </c>
      <c r="R55" s="2">
        <v>0</v>
      </c>
      <c r="S55" s="102">
        <v>0</v>
      </c>
      <c r="T55" s="2">
        <v>2.5600000000000001E-2</v>
      </c>
      <c r="U55" s="102">
        <v>287.2</v>
      </c>
      <c r="V55" s="2">
        <v>8.9999999999999998E-4</v>
      </c>
      <c r="W55" s="102">
        <v>9.98</v>
      </c>
      <c r="X55" s="2">
        <v>0.88380000000000003</v>
      </c>
      <c r="Y55" s="102">
        <v>9916.43</v>
      </c>
      <c r="Z55" s="103">
        <v>21136.43</v>
      </c>
    </row>
    <row r="56" spans="2:26" ht="28.35" hidden="1" customHeight="1">
      <c r="B56" s="99" t="s">
        <v>218</v>
      </c>
      <c r="C56" s="100" t="s">
        <v>53</v>
      </c>
      <c r="D56" s="101" t="s">
        <v>166</v>
      </c>
      <c r="E56" s="102">
        <v>4941.05</v>
      </c>
      <c r="F56" s="2">
        <v>0.79320000000000002</v>
      </c>
      <c r="G56" s="102">
        <v>3919.24</v>
      </c>
      <c r="H56" s="2">
        <v>0.14230000000000001</v>
      </c>
      <c r="I56" s="102">
        <v>702.89</v>
      </c>
      <c r="J56" s="2">
        <v>5.0000000000000001E-3</v>
      </c>
      <c r="K56" s="102">
        <v>24.8</v>
      </c>
      <c r="L56" s="2">
        <v>0</v>
      </c>
      <c r="M56" s="102">
        <v>0</v>
      </c>
      <c r="N56" s="2">
        <v>0</v>
      </c>
      <c r="O56" s="102">
        <v>0</v>
      </c>
      <c r="P56" s="2">
        <v>4.0000000000000002E-4</v>
      </c>
      <c r="Q56" s="102">
        <v>2.1800000000000002</v>
      </c>
      <c r="R56" s="2">
        <v>0</v>
      </c>
      <c r="S56" s="102">
        <v>0</v>
      </c>
      <c r="T56" s="2">
        <v>5.8099999999999999E-2</v>
      </c>
      <c r="U56" s="102">
        <v>287.2</v>
      </c>
      <c r="V56" s="2">
        <v>2E-3</v>
      </c>
      <c r="W56" s="102">
        <v>9.98</v>
      </c>
      <c r="X56" s="2">
        <v>1.0011000000000001</v>
      </c>
      <c r="Y56" s="102">
        <v>4946.29</v>
      </c>
      <c r="Z56" s="103">
        <v>9887.34</v>
      </c>
    </row>
    <row r="57" spans="2:26" ht="28.35" hidden="1" customHeight="1">
      <c r="B57" s="99" t="s">
        <v>219</v>
      </c>
      <c r="C57" s="100" t="s">
        <v>54</v>
      </c>
      <c r="D57" s="101" t="s">
        <v>166</v>
      </c>
      <c r="E57" s="102">
        <v>6588.06</v>
      </c>
      <c r="F57" s="2">
        <v>0.79320000000000002</v>
      </c>
      <c r="G57" s="102">
        <v>5225.6499999999996</v>
      </c>
      <c r="H57" s="2">
        <v>0.1067</v>
      </c>
      <c r="I57" s="102">
        <v>702.89</v>
      </c>
      <c r="J57" s="2">
        <v>3.8E-3</v>
      </c>
      <c r="K57" s="102">
        <v>24.8</v>
      </c>
      <c r="L57" s="2">
        <v>0</v>
      </c>
      <c r="M57" s="102">
        <v>0</v>
      </c>
      <c r="N57" s="2">
        <v>0</v>
      </c>
      <c r="O57" s="102">
        <v>0</v>
      </c>
      <c r="P57" s="2">
        <v>2.9999999999999997E-4</v>
      </c>
      <c r="Q57" s="102">
        <v>2.1800000000000002</v>
      </c>
      <c r="R57" s="2">
        <v>0</v>
      </c>
      <c r="S57" s="102">
        <v>0</v>
      </c>
      <c r="T57" s="2">
        <v>4.36E-2</v>
      </c>
      <c r="U57" s="102">
        <v>287.2</v>
      </c>
      <c r="V57" s="2">
        <v>1.5E-3</v>
      </c>
      <c r="W57" s="102">
        <v>9.98</v>
      </c>
      <c r="X57" s="2">
        <v>0.94910000000000005</v>
      </c>
      <c r="Y57" s="102">
        <v>6252.7</v>
      </c>
      <c r="Z57" s="103">
        <v>12840.76</v>
      </c>
    </row>
    <row r="58" spans="2:26" ht="28.35" hidden="1" customHeight="1">
      <c r="B58" s="99" t="s">
        <v>220</v>
      </c>
      <c r="C58" s="100" t="s">
        <v>55</v>
      </c>
      <c r="D58" s="101" t="s">
        <v>166</v>
      </c>
      <c r="E58" s="102">
        <v>11069.44</v>
      </c>
      <c r="F58" s="2">
        <v>0.79320000000000002</v>
      </c>
      <c r="G58" s="102">
        <v>8780.2800000000007</v>
      </c>
      <c r="H58" s="2">
        <v>6.3500000000000001E-2</v>
      </c>
      <c r="I58" s="102">
        <v>702.89</v>
      </c>
      <c r="J58" s="2">
        <v>2.2000000000000001E-3</v>
      </c>
      <c r="K58" s="102">
        <v>24.8</v>
      </c>
      <c r="L58" s="2">
        <v>0</v>
      </c>
      <c r="M58" s="102">
        <v>0</v>
      </c>
      <c r="N58" s="2">
        <v>0</v>
      </c>
      <c r="O58" s="102">
        <v>0</v>
      </c>
      <c r="P58" s="2">
        <v>2.0000000000000001E-4</v>
      </c>
      <c r="Q58" s="102">
        <v>2.1800000000000002</v>
      </c>
      <c r="R58" s="2">
        <v>0</v>
      </c>
      <c r="S58" s="102">
        <v>0</v>
      </c>
      <c r="T58" s="2">
        <v>2.5899999999999999E-2</v>
      </c>
      <c r="U58" s="102">
        <v>287.2</v>
      </c>
      <c r="V58" s="2">
        <v>8.9999999999999998E-4</v>
      </c>
      <c r="W58" s="102">
        <v>9.98</v>
      </c>
      <c r="X58" s="2">
        <v>0.88600000000000001</v>
      </c>
      <c r="Y58" s="102">
        <v>9807.33</v>
      </c>
      <c r="Z58" s="103">
        <v>20876.78</v>
      </c>
    </row>
    <row r="59" spans="2:26" ht="28.35" hidden="1" customHeight="1">
      <c r="B59" s="99" t="s">
        <v>221</v>
      </c>
      <c r="C59" s="100" t="s">
        <v>56</v>
      </c>
      <c r="D59" s="101" t="s">
        <v>166</v>
      </c>
      <c r="E59" s="102">
        <v>2154.65</v>
      </c>
      <c r="F59" s="2">
        <v>0.80210000000000004</v>
      </c>
      <c r="G59" s="102">
        <v>1728.24</v>
      </c>
      <c r="H59" s="2">
        <v>0.32619999999999999</v>
      </c>
      <c r="I59" s="102">
        <v>702.89</v>
      </c>
      <c r="J59" s="2">
        <v>1.4E-2</v>
      </c>
      <c r="K59" s="102">
        <v>30.19</v>
      </c>
      <c r="L59" s="2">
        <v>0</v>
      </c>
      <c r="M59" s="102">
        <v>0</v>
      </c>
      <c r="N59" s="2">
        <v>4.1700000000000001E-2</v>
      </c>
      <c r="O59" s="102">
        <v>89.75</v>
      </c>
      <c r="P59" s="2">
        <v>2.2000000000000001E-3</v>
      </c>
      <c r="Q59" s="102">
        <v>4.63</v>
      </c>
      <c r="R59" s="2">
        <v>0</v>
      </c>
      <c r="S59" s="102">
        <v>0</v>
      </c>
      <c r="T59" s="2">
        <v>0.1333</v>
      </c>
      <c r="U59" s="102">
        <v>287.2</v>
      </c>
      <c r="V59" s="2">
        <v>4.5999999999999999E-3</v>
      </c>
      <c r="W59" s="102">
        <v>9.98</v>
      </c>
      <c r="X59" s="2">
        <v>1.3241000000000001</v>
      </c>
      <c r="Y59" s="102">
        <v>2852.89</v>
      </c>
      <c r="Z59" s="103">
        <v>5007.54</v>
      </c>
    </row>
    <row r="60" spans="2:26" ht="28.35" hidden="1" customHeight="1">
      <c r="B60" s="99" t="s">
        <v>222</v>
      </c>
      <c r="C60" s="100" t="s">
        <v>57</v>
      </c>
      <c r="D60" s="101" t="s">
        <v>166</v>
      </c>
      <c r="E60" s="102">
        <v>1953.12</v>
      </c>
      <c r="F60" s="2">
        <v>0.79920000000000002</v>
      </c>
      <c r="G60" s="102">
        <v>1560.93</v>
      </c>
      <c r="H60" s="2">
        <v>0.3599</v>
      </c>
      <c r="I60" s="102">
        <v>702.89</v>
      </c>
      <c r="J60" s="2">
        <v>1.55E-2</v>
      </c>
      <c r="K60" s="102">
        <v>30.19</v>
      </c>
      <c r="L60" s="2">
        <v>0</v>
      </c>
      <c r="M60" s="102">
        <v>0</v>
      </c>
      <c r="N60" s="2">
        <v>5.21E-2</v>
      </c>
      <c r="O60" s="102">
        <v>101.84</v>
      </c>
      <c r="P60" s="2">
        <v>2.2000000000000001E-3</v>
      </c>
      <c r="Q60" s="102">
        <v>4.3499999999999996</v>
      </c>
      <c r="R60" s="2">
        <v>0</v>
      </c>
      <c r="S60" s="102">
        <v>0</v>
      </c>
      <c r="T60" s="2">
        <v>0.14699999999999999</v>
      </c>
      <c r="U60" s="102">
        <v>287.2</v>
      </c>
      <c r="V60" s="2">
        <v>5.1000000000000004E-3</v>
      </c>
      <c r="W60" s="102">
        <v>9.98</v>
      </c>
      <c r="X60" s="2">
        <v>1.3811</v>
      </c>
      <c r="Y60" s="102">
        <v>2697.39</v>
      </c>
      <c r="Z60" s="103">
        <v>4650.51</v>
      </c>
    </row>
    <row r="61" spans="2:26" ht="28.35" hidden="1" customHeight="1">
      <c r="B61" s="99" t="s">
        <v>223</v>
      </c>
      <c r="C61" s="100" t="s">
        <v>58</v>
      </c>
      <c r="D61" s="101" t="s">
        <v>166</v>
      </c>
      <c r="E61" s="102">
        <v>4548.8100000000004</v>
      </c>
      <c r="F61" s="2">
        <v>0.80020000000000002</v>
      </c>
      <c r="G61" s="102">
        <v>3639.95</v>
      </c>
      <c r="H61" s="2">
        <v>0.1545</v>
      </c>
      <c r="I61" s="102">
        <v>702.89</v>
      </c>
      <c r="J61" s="2">
        <v>5.4999999999999997E-3</v>
      </c>
      <c r="K61" s="102">
        <v>24.8</v>
      </c>
      <c r="L61" s="2">
        <v>0</v>
      </c>
      <c r="M61" s="102">
        <v>0</v>
      </c>
      <c r="N61" s="2">
        <v>0</v>
      </c>
      <c r="O61" s="102">
        <v>0</v>
      </c>
      <c r="P61" s="2">
        <v>8.0000000000000004E-4</v>
      </c>
      <c r="Q61" s="102">
        <v>3.5</v>
      </c>
      <c r="R61" s="2">
        <v>0</v>
      </c>
      <c r="S61" s="102">
        <v>0</v>
      </c>
      <c r="T61" s="2">
        <v>6.3100000000000003E-2</v>
      </c>
      <c r="U61" s="102">
        <v>287.2</v>
      </c>
      <c r="V61" s="2">
        <v>2.2000000000000001E-3</v>
      </c>
      <c r="W61" s="102">
        <v>9.98</v>
      </c>
      <c r="X61" s="2">
        <v>1.0263</v>
      </c>
      <c r="Y61" s="102">
        <v>4668.32</v>
      </c>
      <c r="Z61" s="103">
        <v>9217.1299999999992</v>
      </c>
    </row>
    <row r="62" spans="2:26" ht="28.35" hidden="1" customHeight="1">
      <c r="B62" s="99" t="s">
        <v>224</v>
      </c>
      <c r="C62" s="100" t="s">
        <v>59</v>
      </c>
      <c r="D62" s="101" t="s">
        <v>166</v>
      </c>
      <c r="E62" s="102">
        <v>6065.08</v>
      </c>
      <c r="F62" s="2">
        <v>0.80020000000000002</v>
      </c>
      <c r="G62" s="102">
        <v>4853.2700000000004</v>
      </c>
      <c r="H62" s="2">
        <v>0.1159</v>
      </c>
      <c r="I62" s="102">
        <v>702.89</v>
      </c>
      <c r="J62" s="2">
        <v>4.1000000000000003E-3</v>
      </c>
      <c r="K62" s="102">
        <v>24.8</v>
      </c>
      <c r="L62" s="2">
        <v>0</v>
      </c>
      <c r="M62" s="102">
        <v>0</v>
      </c>
      <c r="N62" s="2">
        <v>0</v>
      </c>
      <c r="O62" s="102">
        <v>0</v>
      </c>
      <c r="P62" s="2">
        <v>5.9999999999999995E-4</v>
      </c>
      <c r="Q62" s="102">
        <v>3.5</v>
      </c>
      <c r="R62" s="2">
        <v>0</v>
      </c>
      <c r="S62" s="102">
        <v>0</v>
      </c>
      <c r="T62" s="2">
        <v>4.7399999999999998E-2</v>
      </c>
      <c r="U62" s="102">
        <v>287.2</v>
      </c>
      <c r="V62" s="2">
        <v>1.6000000000000001E-3</v>
      </c>
      <c r="W62" s="102">
        <v>9.98</v>
      </c>
      <c r="X62" s="2">
        <v>0.9698</v>
      </c>
      <c r="Y62" s="102">
        <v>5881.64</v>
      </c>
      <c r="Z62" s="103">
        <v>11946.72</v>
      </c>
    </row>
    <row r="63" spans="2:26" ht="28.35" hidden="1" customHeight="1">
      <c r="B63" s="99" t="s">
        <v>225</v>
      </c>
      <c r="C63" s="100" t="s">
        <v>60</v>
      </c>
      <c r="D63" s="101" t="s">
        <v>166</v>
      </c>
      <c r="E63" s="102">
        <v>10920.23</v>
      </c>
      <c r="F63" s="2">
        <v>0.80020000000000002</v>
      </c>
      <c r="G63" s="102">
        <v>8738.3700000000008</v>
      </c>
      <c r="H63" s="2">
        <v>6.4399999999999999E-2</v>
      </c>
      <c r="I63" s="102">
        <v>702.89</v>
      </c>
      <c r="J63" s="2">
        <v>2.3E-3</v>
      </c>
      <c r="K63" s="102">
        <v>24.8</v>
      </c>
      <c r="L63" s="2">
        <v>0</v>
      </c>
      <c r="M63" s="102">
        <v>0</v>
      </c>
      <c r="N63" s="2">
        <v>0</v>
      </c>
      <c r="O63" s="102">
        <v>0</v>
      </c>
      <c r="P63" s="2">
        <v>2.9999999999999997E-4</v>
      </c>
      <c r="Q63" s="102">
        <v>3.5</v>
      </c>
      <c r="R63" s="2">
        <v>0</v>
      </c>
      <c r="S63" s="102">
        <v>0</v>
      </c>
      <c r="T63" s="2">
        <v>2.63E-2</v>
      </c>
      <c r="U63" s="102">
        <v>287.2</v>
      </c>
      <c r="V63" s="2">
        <v>8.9999999999999998E-4</v>
      </c>
      <c r="W63" s="102">
        <v>9.98</v>
      </c>
      <c r="X63" s="2">
        <v>0.89439999999999997</v>
      </c>
      <c r="Y63" s="102">
        <v>9766.74</v>
      </c>
      <c r="Z63" s="103">
        <v>20686.96</v>
      </c>
    </row>
    <row r="64" spans="2:26" ht="28.35" hidden="1" customHeight="1">
      <c r="B64" s="99" t="s">
        <v>226</v>
      </c>
      <c r="C64" s="100" t="s">
        <v>61</v>
      </c>
      <c r="D64" s="101" t="s">
        <v>166</v>
      </c>
      <c r="E64" s="102">
        <v>2395.6799999999998</v>
      </c>
      <c r="F64" s="2">
        <v>0.8095</v>
      </c>
      <c r="G64" s="102">
        <v>1939.31</v>
      </c>
      <c r="H64" s="2">
        <v>0.29339999999999999</v>
      </c>
      <c r="I64" s="102">
        <v>702.89</v>
      </c>
      <c r="J64" s="2">
        <v>1.04E-2</v>
      </c>
      <c r="K64" s="102">
        <v>24.8</v>
      </c>
      <c r="L64" s="2">
        <v>0</v>
      </c>
      <c r="M64" s="102">
        <v>0</v>
      </c>
      <c r="N64" s="2">
        <v>3.1399999999999997E-2</v>
      </c>
      <c r="O64" s="102">
        <v>75.290000000000006</v>
      </c>
      <c r="P64" s="2">
        <v>3.3E-3</v>
      </c>
      <c r="Q64" s="102">
        <v>7.79</v>
      </c>
      <c r="R64" s="2">
        <v>0</v>
      </c>
      <c r="S64" s="102">
        <v>0</v>
      </c>
      <c r="T64" s="2">
        <v>0.11990000000000001</v>
      </c>
      <c r="U64" s="102">
        <v>287.2</v>
      </c>
      <c r="V64" s="2">
        <v>4.1999999999999997E-3</v>
      </c>
      <c r="W64" s="102">
        <v>9.98</v>
      </c>
      <c r="X64" s="2">
        <v>1.272</v>
      </c>
      <c r="Y64" s="102">
        <v>3047.26</v>
      </c>
      <c r="Z64" s="103">
        <v>5442.94</v>
      </c>
    </row>
    <row r="65" spans="2:26" ht="28.35" hidden="1" customHeight="1">
      <c r="B65" s="99" t="s">
        <v>227</v>
      </c>
      <c r="C65" s="100" t="s">
        <v>62</v>
      </c>
      <c r="D65" s="101" t="s">
        <v>166</v>
      </c>
      <c r="E65" s="102">
        <v>3194.25</v>
      </c>
      <c r="F65" s="2">
        <v>0.8095</v>
      </c>
      <c r="G65" s="102">
        <v>2585.7399999999998</v>
      </c>
      <c r="H65" s="2">
        <v>0.22</v>
      </c>
      <c r="I65" s="102">
        <v>702.89</v>
      </c>
      <c r="J65" s="2">
        <v>7.7999999999999996E-3</v>
      </c>
      <c r="K65" s="102">
        <v>24.8</v>
      </c>
      <c r="L65" s="2">
        <v>0</v>
      </c>
      <c r="M65" s="102">
        <v>0</v>
      </c>
      <c r="N65" s="2">
        <v>8.6E-3</v>
      </c>
      <c r="O65" s="102">
        <v>27.38</v>
      </c>
      <c r="P65" s="2">
        <v>2.3999999999999998E-3</v>
      </c>
      <c r="Q65" s="102">
        <v>7.79</v>
      </c>
      <c r="R65" s="2">
        <v>0</v>
      </c>
      <c r="S65" s="102">
        <v>0</v>
      </c>
      <c r="T65" s="2">
        <v>8.9899999999999994E-2</v>
      </c>
      <c r="U65" s="102">
        <v>287.2</v>
      </c>
      <c r="V65" s="2">
        <v>3.0999999999999999E-3</v>
      </c>
      <c r="W65" s="102">
        <v>9.98</v>
      </c>
      <c r="X65" s="2">
        <v>1.1414</v>
      </c>
      <c r="Y65" s="102">
        <v>3645.78</v>
      </c>
      <c r="Z65" s="103">
        <v>6840.03</v>
      </c>
    </row>
    <row r="66" spans="2:26" ht="28.35" hidden="1" customHeight="1">
      <c r="B66" s="99" t="s">
        <v>228</v>
      </c>
      <c r="C66" s="100" t="s">
        <v>63</v>
      </c>
      <c r="D66" s="101" t="s">
        <v>166</v>
      </c>
      <c r="E66" s="102">
        <v>4952.66</v>
      </c>
      <c r="F66" s="2">
        <v>0.8095</v>
      </c>
      <c r="G66" s="102">
        <v>4009.18</v>
      </c>
      <c r="H66" s="2">
        <v>0.1419</v>
      </c>
      <c r="I66" s="102">
        <v>702.89</v>
      </c>
      <c r="J66" s="2">
        <v>5.0000000000000001E-3</v>
      </c>
      <c r="K66" s="102">
        <v>24.8</v>
      </c>
      <c r="L66" s="2">
        <v>0</v>
      </c>
      <c r="M66" s="102">
        <v>0</v>
      </c>
      <c r="N66" s="2">
        <v>0</v>
      </c>
      <c r="O66" s="102">
        <v>0</v>
      </c>
      <c r="P66" s="2">
        <v>1.6000000000000001E-3</v>
      </c>
      <c r="Q66" s="102">
        <v>7.79</v>
      </c>
      <c r="R66" s="2">
        <v>0</v>
      </c>
      <c r="S66" s="102">
        <v>0</v>
      </c>
      <c r="T66" s="2">
        <v>5.8000000000000003E-2</v>
      </c>
      <c r="U66" s="102">
        <v>287.2</v>
      </c>
      <c r="V66" s="2">
        <v>2E-3</v>
      </c>
      <c r="W66" s="102">
        <v>9.98</v>
      </c>
      <c r="X66" s="2">
        <v>1.018</v>
      </c>
      <c r="Y66" s="102">
        <v>5041.84</v>
      </c>
      <c r="Z66" s="103">
        <v>9994.5</v>
      </c>
    </row>
    <row r="67" spans="2:26" ht="28.35" customHeight="1">
      <c r="B67" s="99" t="s">
        <v>229</v>
      </c>
      <c r="C67" s="100" t="s">
        <v>64</v>
      </c>
      <c r="D67" s="101" t="s">
        <v>166</v>
      </c>
      <c r="E67" s="102">
        <v>2434.7399999999998</v>
      </c>
      <c r="F67" s="2">
        <v>0.79879999999999995</v>
      </c>
      <c r="G67" s="102">
        <v>1944.87</v>
      </c>
      <c r="H67" s="2">
        <v>0.28870000000000001</v>
      </c>
      <c r="I67" s="102">
        <v>702.89</v>
      </c>
      <c r="J67" s="2">
        <v>0</v>
      </c>
      <c r="K67" s="102">
        <v>0</v>
      </c>
      <c r="L67" s="2">
        <v>0</v>
      </c>
      <c r="M67" s="102">
        <v>0</v>
      </c>
      <c r="N67" s="2">
        <v>0.03</v>
      </c>
      <c r="O67" s="102">
        <v>72.95</v>
      </c>
      <c r="P67" s="2">
        <v>1.6999999999999999E-3</v>
      </c>
      <c r="Q67" s="102">
        <v>4.1500000000000004</v>
      </c>
      <c r="R67" s="2">
        <v>0</v>
      </c>
      <c r="S67" s="102">
        <v>0</v>
      </c>
      <c r="T67" s="2">
        <v>0.11799999999999999</v>
      </c>
      <c r="U67" s="102">
        <v>287.2</v>
      </c>
      <c r="V67" s="2">
        <v>4.1000000000000003E-3</v>
      </c>
      <c r="W67" s="102">
        <v>9.98</v>
      </c>
      <c r="X67" s="2">
        <v>1.2412000000000001</v>
      </c>
      <c r="Y67" s="102">
        <v>3022.03</v>
      </c>
      <c r="Z67" s="103">
        <v>5456.77</v>
      </c>
    </row>
    <row r="68" spans="2:26" ht="28.35" hidden="1" customHeight="1">
      <c r="B68" s="99" t="s">
        <v>230</v>
      </c>
      <c r="C68" s="100" t="s">
        <v>65</v>
      </c>
      <c r="D68" s="101" t="s">
        <v>166</v>
      </c>
      <c r="E68" s="102">
        <v>1882.18</v>
      </c>
      <c r="F68" s="2">
        <v>0.79779999999999995</v>
      </c>
      <c r="G68" s="102">
        <v>1501.6</v>
      </c>
      <c r="H68" s="2">
        <v>0.37340000000000001</v>
      </c>
      <c r="I68" s="102">
        <v>702.89</v>
      </c>
      <c r="J68" s="2">
        <v>1.4800000000000001E-2</v>
      </c>
      <c r="K68" s="102">
        <v>27.8</v>
      </c>
      <c r="L68" s="2">
        <v>0</v>
      </c>
      <c r="M68" s="102">
        <v>0</v>
      </c>
      <c r="N68" s="2">
        <v>5.6399999999999999E-2</v>
      </c>
      <c r="O68" s="102">
        <v>106.1</v>
      </c>
      <c r="P68" s="2">
        <v>1.9E-3</v>
      </c>
      <c r="Q68" s="102">
        <v>3.57</v>
      </c>
      <c r="R68" s="2">
        <v>0</v>
      </c>
      <c r="S68" s="102">
        <v>0</v>
      </c>
      <c r="T68" s="2">
        <v>0.15260000000000001</v>
      </c>
      <c r="U68" s="102">
        <v>287.2</v>
      </c>
      <c r="V68" s="2">
        <v>5.3E-3</v>
      </c>
      <c r="W68" s="102">
        <v>9.98</v>
      </c>
      <c r="X68" s="2">
        <v>1.4021999999999999</v>
      </c>
      <c r="Y68" s="102">
        <v>2639.15</v>
      </c>
      <c r="Z68" s="103">
        <v>4521.33</v>
      </c>
    </row>
    <row r="69" spans="2:26" ht="28.35" customHeight="1">
      <c r="B69" s="99" t="s">
        <v>231</v>
      </c>
      <c r="C69" s="100" t="s">
        <v>66</v>
      </c>
      <c r="D69" s="101" t="s">
        <v>166</v>
      </c>
      <c r="E69" s="102">
        <v>2719.96</v>
      </c>
      <c r="F69" s="2">
        <v>0.80100000000000005</v>
      </c>
      <c r="G69" s="102">
        <v>2178.69</v>
      </c>
      <c r="H69" s="2">
        <v>0.25840000000000002</v>
      </c>
      <c r="I69" s="102">
        <v>702.89</v>
      </c>
      <c r="J69" s="2">
        <v>1.0200000000000001E-2</v>
      </c>
      <c r="K69" s="102">
        <v>27.8</v>
      </c>
      <c r="L69" s="2">
        <v>0</v>
      </c>
      <c r="M69" s="102">
        <v>0</v>
      </c>
      <c r="N69" s="2">
        <v>2.0500000000000001E-2</v>
      </c>
      <c r="O69" s="102">
        <v>55.83</v>
      </c>
      <c r="P69" s="2">
        <v>2E-3</v>
      </c>
      <c r="Q69" s="102">
        <v>5.45</v>
      </c>
      <c r="R69" s="2">
        <v>0</v>
      </c>
      <c r="S69" s="102">
        <v>0</v>
      </c>
      <c r="T69" s="2">
        <v>0.1056</v>
      </c>
      <c r="U69" s="102">
        <v>287.2</v>
      </c>
      <c r="V69" s="2">
        <v>3.7000000000000002E-3</v>
      </c>
      <c r="W69" s="102">
        <v>9.98</v>
      </c>
      <c r="X69" s="2">
        <v>1.2014</v>
      </c>
      <c r="Y69" s="102">
        <v>3267.85</v>
      </c>
      <c r="Z69" s="103">
        <v>5987.81</v>
      </c>
    </row>
    <row r="70" spans="2:26" ht="28.35" customHeight="1">
      <c r="B70" s="99" t="s">
        <v>232</v>
      </c>
      <c r="C70" s="100" t="s">
        <v>67</v>
      </c>
      <c r="D70" s="101" t="s">
        <v>166</v>
      </c>
      <c r="E70" s="102">
        <v>3118.31</v>
      </c>
      <c r="F70" s="2">
        <v>0.79849999999999999</v>
      </c>
      <c r="G70" s="102">
        <v>2489.9699999999998</v>
      </c>
      <c r="H70" s="2">
        <v>0.22539999999999999</v>
      </c>
      <c r="I70" s="102">
        <v>702.89</v>
      </c>
      <c r="J70" s="2">
        <v>8.8999999999999999E-3</v>
      </c>
      <c r="K70" s="102">
        <v>27.8</v>
      </c>
      <c r="L70" s="2">
        <v>0</v>
      </c>
      <c r="M70" s="102">
        <v>0</v>
      </c>
      <c r="N70" s="2">
        <v>1.0200000000000001E-2</v>
      </c>
      <c r="O70" s="102">
        <v>31.93</v>
      </c>
      <c r="P70" s="2">
        <v>1.1999999999999999E-3</v>
      </c>
      <c r="Q70" s="102">
        <v>3.85</v>
      </c>
      <c r="R70" s="2">
        <v>0</v>
      </c>
      <c r="S70" s="102">
        <v>0</v>
      </c>
      <c r="T70" s="2">
        <v>9.2100000000000001E-2</v>
      </c>
      <c r="U70" s="102">
        <v>287.2</v>
      </c>
      <c r="V70" s="2">
        <v>3.2000000000000002E-3</v>
      </c>
      <c r="W70" s="102">
        <v>9.98</v>
      </c>
      <c r="X70" s="2">
        <v>1.1395999999999999</v>
      </c>
      <c r="Y70" s="102">
        <v>3553.62</v>
      </c>
      <c r="Z70" s="103">
        <v>6671.93</v>
      </c>
    </row>
    <row r="71" spans="2:26" ht="28.35" hidden="1" customHeight="1">
      <c r="B71" s="99" t="s">
        <v>233</v>
      </c>
      <c r="C71" s="100" t="s">
        <v>68</v>
      </c>
      <c r="D71" s="101" t="s">
        <v>166</v>
      </c>
      <c r="E71" s="102">
        <v>4457.84</v>
      </c>
      <c r="F71" s="2">
        <v>0.8044</v>
      </c>
      <c r="G71" s="102">
        <v>3585.89</v>
      </c>
      <c r="H71" s="2">
        <v>0.15770000000000001</v>
      </c>
      <c r="I71" s="102">
        <v>702.89</v>
      </c>
      <c r="J71" s="2">
        <v>6.1999999999999998E-3</v>
      </c>
      <c r="K71" s="102">
        <v>27.8</v>
      </c>
      <c r="L71" s="2">
        <v>0</v>
      </c>
      <c r="M71" s="102">
        <v>0</v>
      </c>
      <c r="N71" s="2">
        <v>0</v>
      </c>
      <c r="O71" s="102">
        <v>0</v>
      </c>
      <c r="P71" s="2">
        <v>1.1000000000000001E-3</v>
      </c>
      <c r="Q71" s="102">
        <v>4.87</v>
      </c>
      <c r="R71" s="2">
        <v>0</v>
      </c>
      <c r="S71" s="102">
        <v>0</v>
      </c>
      <c r="T71" s="2">
        <v>6.4399999999999999E-2</v>
      </c>
      <c r="U71" s="102">
        <v>287.2</v>
      </c>
      <c r="V71" s="2">
        <v>2.2000000000000001E-3</v>
      </c>
      <c r="W71" s="102">
        <v>9.98</v>
      </c>
      <c r="X71" s="2">
        <v>1.0361</v>
      </c>
      <c r="Y71" s="102">
        <v>4618.63</v>
      </c>
      <c r="Z71" s="103">
        <v>9076.4699999999993</v>
      </c>
    </row>
    <row r="72" spans="2:26" ht="28.35" hidden="1" customHeight="1">
      <c r="B72" s="99" t="s">
        <v>234</v>
      </c>
      <c r="C72" s="100" t="s">
        <v>69</v>
      </c>
      <c r="D72" s="101" t="s">
        <v>166</v>
      </c>
      <c r="E72" s="102">
        <v>2591.14</v>
      </c>
      <c r="F72" s="2">
        <v>0.79549999999999998</v>
      </c>
      <c r="G72" s="102">
        <v>2061.2600000000002</v>
      </c>
      <c r="H72" s="2">
        <v>0.27129999999999999</v>
      </c>
      <c r="I72" s="102">
        <v>702.89</v>
      </c>
      <c r="J72" s="2">
        <v>1.0699999999999999E-2</v>
      </c>
      <c r="K72" s="102">
        <v>27.8</v>
      </c>
      <c r="L72" s="2">
        <v>0</v>
      </c>
      <c r="M72" s="102">
        <v>0</v>
      </c>
      <c r="N72" s="2">
        <v>2.4500000000000001E-2</v>
      </c>
      <c r="O72" s="102">
        <v>63.56</v>
      </c>
      <c r="P72" s="2">
        <v>1.6000000000000001E-3</v>
      </c>
      <c r="Q72" s="102">
        <v>4.1500000000000004</v>
      </c>
      <c r="R72" s="2">
        <v>0</v>
      </c>
      <c r="S72" s="102">
        <v>0</v>
      </c>
      <c r="T72" s="2">
        <v>0.1108</v>
      </c>
      <c r="U72" s="102">
        <v>287.2</v>
      </c>
      <c r="V72" s="2">
        <v>3.8999999999999998E-3</v>
      </c>
      <c r="W72" s="102">
        <v>9.98</v>
      </c>
      <c r="X72" s="2">
        <v>1.2182999999999999</v>
      </c>
      <c r="Y72" s="102">
        <v>3156.85</v>
      </c>
      <c r="Z72" s="103">
        <v>5747.99</v>
      </c>
    </row>
    <row r="73" spans="2:26" ht="28.35" hidden="1" customHeight="1">
      <c r="B73" s="99" t="s">
        <v>235</v>
      </c>
      <c r="C73" s="100" t="s">
        <v>70</v>
      </c>
      <c r="D73" s="101" t="s">
        <v>166</v>
      </c>
      <c r="E73" s="102">
        <v>4013.75</v>
      </c>
      <c r="F73" s="2">
        <v>0.79820000000000002</v>
      </c>
      <c r="G73" s="102">
        <v>3203.77</v>
      </c>
      <c r="H73" s="2">
        <v>0.17510000000000001</v>
      </c>
      <c r="I73" s="102">
        <v>702.89</v>
      </c>
      <c r="J73" s="2">
        <v>0</v>
      </c>
      <c r="K73" s="102">
        <v>0</v>
      </c>
      <c r="L73" s="2">
        <v>0</v>
      </c>
      <c r="M73" s="102">
        <v>0</v>
      </c>
      <c r="N73" s="2">
        <v>0</v>
      </c>
      <c r="O73" s="102">
        <v>0</v>
      </c>
      <c r="P73" s="2">
        <v>8.9999999999999998E-4</v>
      </c>
      <c r="Q73" s="102">
        <v>3.8</v>
      </c>
      <c r="R73" s="2">
        <v>0</v>
      </c>
      <c r="S73" s="102">
        <v>0</v>
      </c>
      <c r="T73" s="2">
        <v>7.1599999999999997E-2</v>
      </c>
      <c r="U73" s="102">
        <v>287.2</v>
      </c>
      <c r="V73" s="2">
        <v>2.5000000000000001E-3</v>
      </c>
      <c r="W73" s="102">
        <v>9.98</v>
      </c>
      <c r="X73" s="2">
        <v>1.0483</v>
      </c>
      <c r="Y73" s="102">
        <v>4207.6400000000003</v>
      </c>
      <c r="Z73" s="103">
        <v>8221.39</v>
      </c>
    </row>
    <row r="74" spans="2:26" ht="28.35" hidden="1" customHeight="1">
      <c r="B74" s="99" t="s">
        <v>236</v>
      </c>
      <c r="C74" s="100" t="s">
        <v>71</v>
      </c>
      <c r="D74" s="101" t="s">
        <v>166</v>
      </c>
      <c r="E74" s="102">
        <v>2290.75</v>
      </c>
      <c r="F74" s="2">
        <v>0.80169999999999997</v>
      </c>
      <c r="G74" s="102">
        <v>1836.49</v>
      </c>
      <c r="H74" s="2">
        <v>0.30680000000000002</v>
      </c>
      <c r="I74" s="102">
        <v>702.89</v>
      </c>
      <c r="J74" s="2">
        <v>1.21E-2</v>
      </c>
      <c r="K74" s="102">
        <v>27.8</v>
      </c>
      <c r="L74" s="2">
        <v>0</v>
      </c>
      <c r="M74" s="102">
        <v>0</v>
      </c>
      <c r="N74" s="2">
        <v>3.56E-2</v>
      </c>
      <c r="O74" s="102">
        <v>81.59</v>
      </c>
      <c r="P74" s="2">
        <v>2.0999999999999999E-3</v>
      </c>
      <c r="Q74" s="102">
        <v>4.7</v>
      </c>
      <c r="R74" s="2">
        <v>0</v>
      </c>
      <c r="S74" s="102">
        <v>0</v>
      </c>
      <c r="T74" s="2">
        <v>0.12540000000000001</v>
      </c>
      <c r="U74" s="102">
        <v>287.2</v>
      </c>
      <c r="V74" s="2">
        <v>4.4000000000000003E-3</v>
      </c>
      <c r="W74" s="102">
        <v>9.98</v>
      </c>
      <c r="X74" s="2">
        <v>1.2881</v>
      </c>
      <c r="Y74" s="102">
        <v>2950.65</v>
      </c>
      <c r="Z74" s="103">
        <v>5241.3999999999996</v>
      </c>
    </row>
    <row r="75" spans="2:26" ht="28.35" hidden="1" customHeight="1">
      <c r="B75" s="99" t="s">
        <v>237</v>
      </c>
      <c r="C75" s="100" t="s">
        <v>72</v>
      </c>
      <c r="D75" s="101" t="s">
        <v>166</v>
      </c>
      <c r="E75" s="102">
        <v>2182.42</v>
      </c>
      <c r="F75" s="2">
        <v>0.7984</v>
      </c>
      <c r="G75" s="102">
        <v>1742.44</v>
      </c>
      <c r="H75" s="2">
        <v>0.3221</v>
      </c>
      <c r="I75" s="102">
        <v>702.89</v>
      </c>
      <c r="J75" s="2">
        <v>0</v>
      </c>
      <c r="K75" s="102">
        <v>0</v>
      </c>
      <c r="L75" s="2">
        <v>0</v>
      </c>
      <c r="M75" s="102">
        <v>0</v>
      </c>
      <c r="N75" s="2">
        <v>4.0399999999999998E-2</v>
      </c>
      <c r="O75" s="102">
        <v>88.09</v>
      </c>
      <c r="P75" s="2">
        <v>1.6000000000000001E-3</v>
      </c>
      <c r="Q75" s="102">
        <v>3.58</v>
      </c>
      <c r="R75" s="2">
        <v>0</v>
      </c>
      <c r="S75" s="102">
        <v>0</v>
      </c>
      <c r="T75" s="2">
        <v>0.13159999999999999</v>
      </c>
      <c r="U75" s="102">
        <v>287.2</v>
      </c>
      <c r="V75" s="2">
        <v>4.5999999999999999E-3</v>
      </c>
      <c r="W75" s="102">
        <v>9.98</v>
      </c>
      <c r="X75" s="2">
        <v>1.2986</v>
      </c>
      <c r="Y75" s="102">
        <v>2834.19</v>
      </c>
      <c r="Z75" s="103">
        <v>5016.6099999999997</v>
      </c>
    </row>
    <row r="76" spans="2:26" ht="28.35" hidden="1" customHeight="1">
      <c r="B76" s="99" t="s">
        <v>238</v>
      </c>
      <c r="C76" s="100" t="s">
        <v>73</v>
      </c>
      <c r="D76" s="101" t="s">
        <v>166</v>
      </c>
      <c r="E76" s="102">
        <v>2909.89</v>
      </c>
      <c r="F76" s="2">
        <v>0.7984</v>
      </c>
      <c r="G76" s="102">
        <v>2323.2600000000002</v>
      </c>
      <c r="H76" s="2">
        <v>0.24160000000000001</v>
      </c>
      <c r="I76" s="102">
        <v>702.89</v>
      </c>
      <c r="J76" s="2">
        <v>0</v>
      </c>
      <c r="K76" s="102">
        <v>0</v>
      </c>
      <c r="L76" s="2">
        <v>0</v>
      </c>
      <c r="M76" s="102">
        <v>0</v>
      </c>
      <c r="N76" s="2">
        <v>1.5299999999999999E-2</v>
      </c>
      <c r="O76" s="102">
        <v>44.44</v>
      </c>
      <c r="P76" s="2">
        <v>1.1999999999999999E-3</v>
      </c>
      <c r="Q76" s="102">
        <v>3.58</v>
      </c>
      <c r="R76" s="2">
        <v>0</v>
      </c>
      <c r="S76" s="102">
        <v>0</v>
      </c>
      <c r="T76" s="2">
        <v>9.8699999999999996E-2</v>
      </c>
      <c r="U76" s="102">
        <v>287.2</v>
      </c>
      <c r="V76" s="2">
        <v>3.3999999999999998E-3</v>
      </c>
      <c r="W76" s="102">
        <v>9.98</v>
      </c>
      <c r="X76" s="2">
        <v>1.1586000000000001</v>
      </c>
      <c r="Y76" s="102">
        <v>3371.35</v>
      </c>
      <c r="Z76" s="103">
        <v>6281.25</v>
      </c>
    </row>
    <row r="77" spans="2:26" ht="28.35" hidden="1" customHeight="1">
      <c r="B77" s="99" t="s">
        <v>239</v>
      </c>
      <c r="C77" s="100" t="s">
        <v>74</v>
      </c>
      <c r="D77" s="101" t="s">
        <v>166</v>
      </c>
      <c r="E77" s="102">
        <v>4542.09</v>
      </c>
      <c r="F77" s="2">
        <v>0.7984</v>
      </c>
      <c r="G77" s="102">
        <v>3626.41</v>
      </c>
      <c r="H77" s="2">
        <v>0.15479999999999999</v>
      </c>
      <c r="I77" s="102">
        <v>702.89</v>
      </c>
      <c r="J77" s="2">
        <v>0</v>
      </c>
      <c r="K77" s="102">
        <v>0</v>
      </c>
      <c r="L77" s="2">
        <v>0</v>
      </c>
      <c r="M77" s="102">
        <v>0</v>
      </c>
      <c r="N77" s="2">
        <v>0</v>
      </c>
      <c r="O77" s="102">
        <v>0</v>
      </c>
      <c r="P77" s="2">
        <v>8.0000000000000004E-4</v>
      </c>
      <c r="Q77" s="102">
        <v>3.58</v>
      </c>
      <c r="R77" s="2">
        <v>0</v>
      </c>
      <c r="S77" s="102">
        <v>0</v>
      </c>
      <c r="T77" s="2">
        <v>6.3200000000000006E-2</v>
      </c>
      <c r="U77" s="102">
        <v>287.2</v>
      </c>
      <c r="V77" s="2">
        <v>2.2000000000000001E-3</v>
      </c>
      <c r="W77" s="102">
        <v>9.98</v>
      </c>
      <c r="X77" s="2">
        <v>1.0194000000000001</v>
      </c>
      <c r="Y77" s="102">
        <v>4630.0600000000004</v>
      </c>
      <c r="Z77" s="103">
        <v>9172.15</v>
      </c>
    </row>
    <row r="78" spans="2:26" ht="28.35" hidden="1" customHeight="1">
      <c r="B78" s="99" t="s">
        <v>240</v>
      </c>
      <c r="C78" s="100" t="s">
        <v>75</v>
      </c>
      <c r="D78" s="101" t="s">
        <v>166</v>
      </c>
      <c r="E78" s="102">
        <v>3166.55</v>
      </c>
      <c r="F78" s="2">
        <v>0.79720000000000002</v>
      </c>
      <c r="G78" s="102">
        <v>2524.37</v>
      </c>
      <c r="H78" s="2">
        <v>0.222</v>
      </c>
      <c r="I78" s="102">
        <v>702.89</v>
      </c>
      <c r="J78" s="2">
        <v>0</v>
      </c>
      <c r="K78" s="102">
        <v>0</v>
      </c>
      <c r="L78" s="2">
        <v>0</v>
      </c>
      <c r="M78" s="102">
        <v>0</v>
      </c>
      <c r="N78" s="2">
        <v>9.1999999999999998E-3</v>
      </c>
      <c r="O78" s="102">
        <v>29.04</v>
      </c>
      <c r="P78" s="2">
        <v>1.1999999999999999E-3</v>
      </c>
      <c r="Q78" s="102">
        <v>3.87</v>
      </c>
      <c r="R78" s="2">
        <v>0</v>
      </c>
      <c r="S78" s="102">
        <v>0</v>
      </c>
      <c r="T78" s="2">
        <v>9.0700000000000003E-2</v>
      </c>
      <c r="U78" s="102">
        <v>287.2</v>
      </c>
      <c r="V78" s="2">
        <v>3.2000000000000002E-3</v>
      </c>
      <c r="W78" s="102">
        <v>9.98</v>
      </c>
      <c r="X78" s="2">
        <v>1.1234</v>
      </c>
      <c r="Y78" s="102">
        <v>3557.36</v>
      </c>
      <c r="Z78" s="103">
        <v>6723.91</v>
      </c>
    </row>
    <row r="79" spans="2:26" ht="28.35" hidden="1" customHeight="1">
      <c r="B79" s="99" t="s">
        <v>241</v>
      </c>
      <c r="C79" s="100" t="s">
        <v>76</v>
      </c>
      <c r="D79" s="101" t="s">
        <v>166</v>
      </c>
      <c r="E79" s="102">
        <v>4222.07</v>
      </c>
      <c r="F79" s="2">
        <v>0.79720000000000002</v>
      </c>
      <c r="G79" s="102">
        <v>3365.83</v>
      </c>
      <c r="H79" s="2">
        <v>0.16650000000000001</v>
      </c>
      <c r="I79" s="102">
        <v>702.89</v>
      </c>
      <c r="J79" s="2">
        <v>0</v>
      </c>
      <c r="K79" s="102">
        <v>0</v>
      </c>
      <c r="L79" s="2">
        <v>0</v>
      </c>
      <c r="M79" s="102">
        <v>0</v>
      </c>
      <c r="N79" s="2">
        <v>0</v>
      </c>
      <c r="O79" s="102">
        <v>0</v>
      </c>
      <c r="P79" s="2">
        <v>8.9999999999999998E-4</v>
      </c>
      <c r="Q79" s="102">
        <v>3.87</v>
      </c>
      <c r="R79" s="2">
        <v>0</v>
      </c>
      <c r="S79" s="102">
        <v>0</v>
      </c>
      <c r="T79" s="2">
        <v>6.8000000000000005E-2</v>
      </c>
      <c r="U79" s="102">
        <v>287.2</v>
      </c>
      <c r="V79" s="2">
        <v>2.3999999999999998E-3</v>
      </c>
      <c r="W79" s="102">
        <v>9.98</v>
      </c>
      <c r="X79" s="2">
        <v>1.0349999999999999</v>
      </c>
      <c r="Y79" s="102">
        <v>4369.78</v>
      </c>
      <c r="Z79" s="103">
        <v>8591.84</v>
      </c>
    </row>
    <row r="80" spans="2:26" ht="28.35" hidden="1" customHeight="1">
      <c r="B80" s="99" t="s">
        <v>242</v>
      </c>
      <c r="C80" s="100" t="s">
        <v>77</v>
      </c>
      <c r="D80" s="101" t="s">
        <v>166</v>
      </c>
      <c r="E80" s="102">
        <v>7442.19</v>
      </c>
      <c r="F80" s="2">
        <v>0.79720000000000002</v>
      </c>
      <c r="G80" s="102">
        <v>5932.92</v>
      </c>
      <c r="H80" s="2">
        <v>9.4399999999999998E-2</v>
      </c>
      <c r="I80" s="102">
        <v>702.89</v>
      </c>
      <c r="J80" s="2">
        <v>0</v>
      </c>
      <c r="K80" s="102">
        <v>0</v>
      </c>
      <c r="L80" s="2">
        <v>0</v>
      </c>
      <c r="M80" s="102">
        <v>0</v>
      </c>
      <c r="N80" s="2">
        <v>0</v>
      </c>
      <c r="O80" s="102">
        <v>0</v>
      </c>
      <c r="P80" s="2">
        <v>5.0000000000000001E-4</v>
      </c>
      <c r="Q80" s="102">
        <v>3.87</v>
      </c>
      <c r="R80" s="2">
        <v>0</v>
      </c>
      <c r="S80" s="102">
        <v>0</v>
      </c>
      <c r="T80" s="2">
        <v>3.8600000000000002E-2</v>
      </c>
      <c r="U80" s="102">
        <v>287.2</v>
      </c>
      <c r="V80" s="2">
        <v>1.2999999999999999E-3</v>
      </c>
      <c r="W80" s="102">
        <v>9.98</v>
      </c>
      <c r="X80" s="2">
        <v>0.93210000000000004</v>
      </c>
      <c r="Y80" s="102">
        <v>6936.86</v>
      </c>
      <c r="Z80" s="103">
        <v>14379.06</v>
      </c>
    </row>
    <row r="81" spans="2:26" ht="28.35" hidden="1" customHeight="1">
      <c r="B81" s="99" t="s">
        <v>243</v>
      </c>
      <c r="C81" s="100" t="s">
        <v>78</v>
      </c>
      <c r="D81" s="101" t="s">
        <v>166</v>
      </c>
      <c r="E81" s="102">
        <v>11220</v>
      </c>
      <c r="F81" s="2">
        <v>0.79430000000000001</v>
      </c>
      <c r="G81" s="102">
        <v>8912.0499999999993</v>
      </c>
      <c r="H81" s="2">
        <v>6.2600000000000003E-2</v>
      </c>
      <c r="I81" s="102">
        <v>702.89</v>
      </c>
      <c r="J81" s="2">
        <v>2.2000000000000001E-3</v>
      </c>
      <c r="K81" s="102">
        <v>24.8</v>
      </c>
      <c r="L81" s="2">
        <v>0</v>
      </c>
      <c r="M81" s="102">
        <v>0</v>
      </c>
      <c r="N81" s="2">
        <v>0</v>
      </c>
      <c r="O81" s="102">
        <v>0</v>
      </c>
      <c r="P81" s="2">
        <v>2.9999999999999997E-4</v>
      </c>
      <c r="Q81" s="102">
        <v>3.87</v>
      </c>
      <c r="R81" s="2">
        <v>0</v>
      </c>
      <c r="S81" s="102">
        <v>0</v>
      </c>
      <c r="T81" s="2">
        <v>2.5600000000000001E-2</v>
      </c>
      <c r="U81" s="102">
        <v>287.2</v>
      </c>
      <c r="V81" s="2">
        <v>8.9999999999999998E-4</v>
      </c>
      <c r="W81" s="102">
        <v>9.98</v>
      </c>
      <c r="X81" s="2">
        <v>0.88600000000000001</v>
      </c>
      <c r="Y81" s="102">
        <v>9940.7900000000009</v>
      </c>
      <c r="Z81" s="103">
        <v>21160.79</v>
      </c>
    </row>
    <row r="82" spans="2:26" ht="28.35" hidden="1" customHeight="1">
      <c r="B82" s="99" t="s">
        <v>244</v>
      </c>
      <c r="C82" s="100" t="s">
        <v>79</v>
      </c>
      <c r="D82" s="101" t="s">
        <v>166</v>
      </c>
      <c r="E82" s="102">
        <v>11491.01</v>
      </c>
      <c r="F82" s="2">
        <v>0.79430000000000001</v>
      </c>
      <c r="G82" s="102">
        <v>9127.31</v>
      </c>
      <c r="H82" s="2">
        <v>6.1199999999999997E-2</v>
      </c>
      <c r="I82" s="102">
        <v>702.89</v>
      </c>
      <c r="J82" s="2">
        <v>2.2000000000000001E-3</v>
      </c>
      <c r="K82" s="102">
        <v>24.8</v>
      </c>
      <c r="L82" s="2">
        <v>0</v>
      </c>
      <c r="M82" s="102">
        <v>0</v>
      </c>
      <c r="N82" s="2">
        <v>0</v>
      </c>
      <c r="O82" s="102">
        <v>0</v>
      </c>
      <c r="P82" s="2">
        <v>2.9999999999999997E-4</v>
      </c>
      <c r="Q82" s="102">
        <v>3.87</v>
      </c>
      <c r="R82" s="2">
        <v>0</v>
      </c>
      <c r="S82" s="102">
        <v>0</v>
      </c>
      <c r="T82" s="2">
        <v>2.5000000000000001E-2</v>
      </c>
      <c r="U82" s="102">
        <v>287.2</v>
      </c>
      <c r="V82" s="2">
        <v>8.9999999999999998E-4</v>
      </c>
      <c r="W82" s="102">
        <v>9.98</v>
      </c>
      <c r="X82" s="2">
        <v>0.88380000000000003</v>
      </c>
      <c r="Y82" s="102">
        <v>10156.06</v>
      </c>
      <c r="Z82" s="103">
        <v>21647.07</v>
      </c>
    </row>
    <row r="83" spans="2:26" ht="28.35" hidden="1" customHeight="1">
      <c r="B83" s="99" t="s">
        <v>245</v>
      </c>
      <c r="C83" s="100" t="s">
        <v>80</v>
      </c>
      <c r="D83" s="101" t="s">
        <v>166</v>
      </c>
      <c r="E83" s="102">
        <v>12631.91</v>
      </c>
      <c r="F83" s="2">
        <v>0.79430000000000001</v>
      </c>
      <c r="G83" s="102">
        <v>10033.52</v>
      </c>
      <c r="H83" s="2">
        <v>5.5599999999999997E-2</v>
      </c>
      <c r="I83" s="102">
        <v>702.89</v>
      </c>
      <c r="J83" s="2">
        <v>2E-3</v>
      </c>
      <c r="K83" s="102">
        <v>24.8</v>
      </c>
      <c r="L83" s="2">
        <v>0</v>
      </c>
      <c r="M83" s="102">
        <v>0</v>
      </c>
      <c r="N83" s="2">
        <v>0</v>
      </c>
      <c r="O83" s="102">
        <v>0</v>
      </c>
      <c r="P83" s="2">
        <v>2.9999999999999997E-4</v>
      </c>
      <c r="Q83" s="102">
        <v>3.87</v>
      </c>
      <c r="R83" s="2">
        <v>0</v>
      </c>
      <c r="S83" s="102">
        <v>0</v>
      </c>
      <c r="T83" s="2">
        <v>2.2700000000000001E-2</v>
      </c>
      <c r="U83" s="102">
        <v>287.2</v>
      </c>
      <c r="V83" s="2">
        <v>8.0000000000000004E-4</v>
      </c>
      <c r="W83" s="102">
        <v>9.98</v>
      </c>
      <c r="X83" s="2">
        <v>0.87570000000000003</v>
      </c>
      <c r="Y83" s="102">
        <v>11062.27</v>
      </c>
      <c r="Z83" s="103">
        <v>23694.17</v>
      </c>
    </row>
    <row r="84" spans="2:26" ht="28.35" hidden="1" customHeight="1">
      <c r="B84" s="99" t="s">
        <v>246</v>
      </c>
      <c r="C84" s="100" t="s">
        <v>81</v>
      </c>
      <c r="D84" s="101" t="s">
        <v>166</v>
      </c>
      <c r="E84" s="102">
        <v>3416.59</v>
      </c>
      <c r="F84" s="2">
        <v>0.79420000000000002</v>
      </c>
      <c r="G84" s="102">
        <v>2713.45</v>
      </c>
      <c r="H84" s="2">
        <v>0.20569999999999999</v>
      </c>
      <c r="I84" s="102">
        <v>702.89</v>
      </c>
      <c r="J84" s="2">
        <v>7.3000000000000001E-3</v>
      </c>
      <c r="K84" s="102">
        <v>24.8</v>
      </c>
      <c r="L84" s="2">
        <v>0</v>
      </c>
      <c r="M84" s="102">
        <v>0</v>
      </c>
      <c r="N84" s="2">
        <v>4.1000000000000003E-3</v>
      </c>
      <c r="O84" s="102">
        <v>14.04</v>
      </c>
      <c r="P84" s="2">
        <v>8.0000000000000004E-4</v>
      </c>
      <c r="Q84" s="102">
        <v>2.73</v>
      </c>
      <c r="R84" s="2">
        <v>0</v>
      </c>
      <c r="S84" s="102">
        <v>0</v>
      </c>
      <c r="T84" s="2">
        <v>8.4099999999999994E-2</v>
      </c>
      <c r="U84" s="102">
        <v>287.2</v>
      </c>
      <c r="V84" s="2">
        <v>2.8999999999999998E-3</v>
      </c>
      <c r="W84" s="102">
        <v>9.98</v>
      </c>
      <c r="X84" s="2">
        <v>1.0991</v>
      </c>
      <c r="Y84" s="102">
        <v>3755.09</v>
      </c>
      <c r="Z84" s="103">
        <v>7171.68</v>
      </c>
    </row>
    <row r="85" spans="2:26" ht="28.35" hidden="1" customHeight="1">
      <c r="B85" s="99" t="s">
        <v>247</v>
      </c>
      <c r="C85" s="100" t="s">
        <v>82</v>
      </c>
      <c r="D85" s="101" t="s">
        <v>166</v>
      </c>
      <c r="E85" s="102">
        <v>4555.45</v>
      </c>
      <c r="F85" s="2">
        <v>0.79420000000000002</v>
      </c>
      <c r="G85" s="102">
        <v>3617.94</v>
      </c>
      <c r="H85" s="2">
        <v>0.15429999999999999</v>
      </c>
      <c r="I85" s="102">
        <v>702.89</v>
      </c>
      <c r="J85" s="2">
        <v>5.4000000000000003E-3</v>
      </c>
      <c r="K85" s="102">
        <v>24.8</v>
      </c>
      <c r="L85" s="2">
        <v>0</v>
      </c>
      <c r="M85" s="102">
        <v>0</v>
      </c>
      <c r="N85" s="2">
        <v>0</v>
      </c>
      <c r="O85" s="102">
        <v>0</v>
      </c>
      <c r="P85" s="2">
        <v>5.9999999999999995E-4</v>
      </c>
      <c r="Q85" s="102">
        <v>2.73</v>
      </c>
      <c r="R85" s="2">
        <v>0</v>
      </c>
      <c r="S85" s="102">
        <v>0</v>
      </c>
      <c r="T85" s="2">
        <v>6.3E-2</v>
      </c>
      <c r="U85" s="102">
        <v>287.2</v>
      </c>
      <c r="V85" s="2">
        <v>2.2000000000000001E-3</v>
      </c>
      <c r="W85" s="102">
        <v>9.98</v>
      </c>
      <c r="X85" s="2">
        <v>1.0198</v>
      </c>
      <c r="Y85" s="102">
        <v>4645.54</v>
      </c>
      <c r="Z85" s="103">
        <v>9200.99</v>
      </c>
    </row>
    <row r="86" spans="2:26" ht="28.35" hidden="1" customHeight="1">
      <c r="B86" s="99" t="s">
        <v>248</v>
      </c>
      <c r="C86" s="100" t="s">
        <v>83</v>
      </c>
      <c r="D86" s="101" t="s">
        <v>166</v>
      </c>
      <c r="E86" s="102">
        <v>8786.76</v>
      </c>
      <c r="F86" s="2">
        <v>0.79420000000000002</v>
      </c>
      <c r="G86" s="102">
        <v>6978.44</v>
      </c>
      <c r="H86" s="2">
        <v>0.08</v>
      </c>
      <c r="I86" s="102">
        <v>702.89</v>
      </c>
      <c r="J86" s="2">
        <v>2.8E-3</v>
      </c>
      <c r="K86" s="102">
        <v>24.8</v>
      </c>
      <c r="L86" s="2">
        <v>0</v>
      </c>
      <c r="M86" s="102">
        <v>0</v>
      </c>
      <c r="N86" s="2">
        <v>0</v>
      </c>
      <c r="O86" s="102">
        <v>0</v>
      </c>
      <c r="P86" s="2">
        <v>2.9999999999999997E-4</v>
      </c>
      <c r="Q86" s="102">
        <v>2.73</v>
      </c>
      <c r="R86" s="2">
        <v>0</v>
      </c>
      <c r="S86" s="102">
        <v>0</v>
      </c>
      <c r="T86" s="2">
        <v>3.27E-2</v>
      </c>
      <c r="U86" s="102">
        <v>287.2</v>
      </c>
      <c r="V86" s="2">
        <v>1.1000000000000001E-3</v>
      </c>
      <c r="W86" s="102">
        <v>9.98</v>
      </c>
      <c r="X86" s="2">
        <v>0.91110000000000002</v>
      </c>
      <c r="Y86" s="102">
        <v>8006.04</v>
      </c>
      <c r="Z86" s="103">
        <v>16792.8</v>
      </c>
    </row>
    <row r="87" spans="2:26" ht="28.35" hidden="1" customHeight="1">
      <c r="B87" s="99" t="s">
        <v>249</v>
      </c>
      <c r="C87" s="100" t="s">
        <v>84</v>
      </c>
      <c r="D87" s="101" t="s">
        <v>166</v>
      </c>
      <c r="E87" s="102">
        <v>3129</v>
      </c>
      <c r="F87" s="2">
        <v>0.82</v>
      </c>
      <c r="G87" s="102">
        <v>2565.7800000000002</v>
      </c>
      <c r="H87" s="2">
        <v>0.22459999999999999</v>
      </c>
      <c r="I87" s="102">
        <v>702.89</v>
      </c>
      <c r="J87" s="2">
        <v>7.9000000000000008E-3</v>
      </c>
      <c r="K87" s="102">
        <v>24.8</v>
      </c>
      <c r="L87" s="2">
        <v>0</v>
      </c>
      <c r="M87" s="102">
        <v>0</v>
      </c>
      <c r="N87" s="2">
        <v>0.01</v>
      </c>
      <c r="O87" s="102">
        <v>31.29</v>
      </c>
      <c r="P87" s="2">
        <v>1.8E-3</v>
      </c>
      <c r="Q87" s="102">
        <v>5.5</v>
      </c>
      <c r="R87" s="2">
        <v>0</v>
      </c>
      <c r="S87" s="102">
        <v>0</v>
      </c>
      <c r="T87" s="2">
        <v>9.1800000000000007E-2</v>
      </c>
      <c r="U87" s="102">
        <v>287.2</v>
      </c>
      <c r="V87" s="2">
        <v>3.2000000000000002E-3</v>
      </c>
      <c r="W87" s="102">
        <v>9.98</v>
      </c>
      <c r="X87" s="2">
        <v>1.1593</v>
      </c>
      <c r="Y87" s="102">
        <v>3627.44</v>
      </c>
      <c r="Z87" s="103">
        <v>6756.44</v>
      </c>
    </row>
    <row r="88" spans="2:26" ht="28.35" hidden="1" customHeight="1">
      <c r="B88" s="99" t="s">
        <v>250</v>
      </c>
      <c r="C88" s="100" t="s">
        <v>85</v>
      </c>
      <c r="D88" s="101" t="s">
        <v>166</v>
      </c>
      <c r="E88" s="102">
        <v>4172</v>
      </c>
      <c r="F88" s="2">
        <v>0.82</v>
      </c>
      <c r="G88" s="102">
        <v>3421.04</v>
      </c>
      <c r="H88" s="2">
        <v>0.16850000000000001</v>
      </c>
      <c r="I88" s="102">
        <v>702.89</v>
      </c>
      <c r="J88" s="2">
        <v>5.8999999999999999E-3</v>
      </c>
      <c r="K88" s="102">
        <v>24.8</v>
      </c>
      <c r="L88" s="2">
        <v>0</v>
      </c>
      <c r="M88" s="102">
        <v>0</v>
      </c>
      <c r="N88" s="2">
        <v>0</v>
      </c>
      <c r="O88" s="102">
        <v>0</v>
      </c>
      <c r="P88" s="2">
        <v>1.2999999999999999E-3</v>
      </c>
      <c r="Q88" s="102">
        <v>5.5</v>
      </c>
      <c r="R88" s="2">
        <v>0</v>
      </c>
      <c r="S88" s="102">
        <v>0</v>
      </c>
      <c r="T88" s="2">
        <v>6.88E-2</v>
      </c>
      <c r="U88" s="102">
        <v>287.2</v>
      </c>
      <c r="V88" s="2">
        <v>2.3999999999999998E-3</v>
      </c>
      <c r="W88" s="102">
        <v>9.98</v>
      </c>
      <c r="X88" s="2">
        <v>1.0669999999999999</v>
      </c>
      <c r="Y88" s="102">
        <v>4451.41</v>
      </c>
      <c r="Z88" s="103">
        <v>8623.41</v>
      </c>
    </row>
    <row r="89" spans="2:26" ht="28.35" hidden="1" customHeight="1">
      <c r="B89" s="99" t="s">
        <v>251</v>
      </c>
      <c r="C89" s="100" t="s">
        <v>86</v>
      </c>
      <c r="D89" s="101" t="s">
        <v>166</v>
      </c>
      <c r="E89" s="102">
        <v>6159.78</v>
      </c>
      <c r="F89" s="2">
        <v>0.82</v>
      </c>
      <c r="G89" s="102">
        <v>5051.0200000000004</v>
      </c>
      <c r="H89" s="2">
        <v>0.11409999999999999</v>
      </c>
      <c r="I89" s="102">
        <v>702.89</v>
      </c>
      <c r="J89" s="2">
        <v>4.0000000000000001E-3</v>
      </c>
      <c r="K89" s="102">
        <v>24.8</v>
      </c>
      <c r="L89" s="2">
        <v>0</v>
      </c>
      <c r="M89" s="102">
        <v>0</v>
      </c>
      <c r="N89" s="2">
        <v>0</v>
      </c>
      <c r="O89" s="102">
        <v>0</v>
      </c>
      <c r="P89" s="2">
        <v>8.9999999999999998E-4</v>
      </c>
      <c r="Q89" s="102">
        <v>5.5</v>
      </c>
      <c r="R89" s="2">
        <v>0</v>
      </c>
      <c r="S89" s="102">
        <v>0</v>
      </c>
      <c r="T89" s="2">
        <v>4.6600000000000003E-2</v>
      </c>
      <c r="U89" s="102">
        <v>287.2</v>
      </c>
      <c r="V89" s="2">
        <v>1.6000000000000001E-3</v>
      </c>
      <c r="W89" s="102">
        <v>9.98</v>
      </c>
      <c r="X89" s="2">
        <v>0.98729999999999996</v>
      </c>
      <c r="Y89" s="102">
        <v>6081.39</v>
      </c>
      <c r="Z89" s="103">
        <v>12241.17</v>
      </c>
    </row>
    <row r="90" spans="2:26" ht="28.35" hidden="1" customHeight="1">
      <c r="B90" s="99" t="s">
        <v>252</v>
      </c>
      <c r="C90" s="100" t="s">
        <v>87</v>
      </c>
      <c r="D90" s="101" t="s">
        <v>166</v>
      </c>
      <c r="E90" s="102">
        <v>2980.05</v>
      </c>
      <c r="F90" s="2">
        <v>0.80510000000000004</v>
      </c>
      <c r="G90" s="102">
        <v>2399.2399999999998</v>
      </c>
      <c r="H90" s="2">
        <v>0.2359</v>
      </c>
      <c r="I90" s="102">
        <v>702.89</v>
      </c>
      <c r="J90" s="2">
        <v>8.3000000000000001E-3</v>
      </c>
      <c r="K90" s="102">
        <v>24.8</v>
      </c>
      <c r="L90" s="2">
        <v>0</v>
      </c>
      <c r="M90" s="102">
        <v>0</v>
      </c>
      <c r="N90" s="2">
        <v>1.35E-2</v>
      </c>
      <c r="O90" s="102">
        <v>40.229999999999997</v>
      </c>
      <c r="P90" s="2">
        <v>1.2999999999999999E-3</v>
      </c>
      <c r="Q90" s="102">
        <v>3.74</v>
      </c>
      <c r="R90" s="2">
        <v>0</v>
      </c>
      <c r="S90" s="102">
        <v>0</v>
      </c>
      <c r="T90" s="2">
        <v>9.64E-2</v>
      </c>
      <c r="U90" s="102">
        <v>287.2</v>
      </c>
      <c r="V90" s="2">
        <v>3.3E-3</v>
      </c>
      <c r="W90" s="102">
        <v>9.98</v>
      </c>
      <c r="X90" s="2">
        <v>1.1637999999999999</v>
      </c>
      <c r="Y90" s="102">
        <v>3468.08</v>
      </c>
      <c r="Z90" s="103">
        <v>6448.13</v>
      </c>
    </row>
    <row r="91" spans="2:26" ht="28.35" hidden="1" customHeight="1">
      <c r="B91" s="99" t="s">
        <v>253</v>
      </c>
      <c r="C91" s="100" t="s">
        <v>88</v>
      </c>
      <c r="D91" s="101" t="s">
        <v>166</v>
      </c>
      <c r="E91" s="102">
        <v>3973.4</v>
      </c>
      <c r="F91" s="2">
        <v>0.80510000000000004</v>
      </c>
      <c r="G91" s="102">
        <v>3198.98</v>
      </c>
      <c r="H91" s="2">
        <v>0.1769</v>
      </c>
      <c r="I91" s="102">
        <v>702.89</v>
      </c>
      <c r="J91" s="2">
        <v>6.1999999999999998E-3</v>
      </c>
      <c r="K91" s="102">
        <v>24.8</v>
      </c>
      <c r="L91" s="2">
        <v>0</v>
      </c>
      <c r="M91" s="102">
        <v>0</v>
      </c>
      <c r="N91" s="2">
        <v>0</v>
      </c>
      <c r="O91" s="102">
        <v>0</v>
      </c>
      <c r="P91" s="2">
        <v>8.9999999999999998E-4</v>
      </c>
      <c r="Q91" s="102">
        <v>3.74</v>
      </c>
      <c r="R91" s="2">
        <v>0</v>
      </c>
      <c r="S91" s="102">
        <v>0</v>
      </c>
      <c r="T91" s="2">
        <v>7.2300000000000003E-2</v>
      </c>
      <c r="U91" s="102">
        <v>287.2</v>
      </c>
      <c r="V91" s="2">
        <v>2.5000000000000001E-3</v>
      </c>
      <c r="W91" s="102">
        <v>9.98</v>
      </c>
      <c r="X91" s="2">
        <v>1.0640000000000001</v>
      </c>
      <c r="Y91" s="102">
        <v>4227.6000000000004</v>
      </c>
      <c r="Z91" s="103">
        <v>8201</v>
      </c>
    </row>
    <row r="92" spans="2:26" ht="28.35" hidden="1" customHeight="1">
      <c r="B92" s="99" t="s">
        <v>254</v>
      </c>
      <c r="C92" s="100" t="s">
        <v>89</v>
      </c>
      <c r="D92" s="101" t="s">
        <v>166</v>
      </c>
      <c r="E92" s="102">
        <v>5890.45</v>
      </c>
      <c r="F92" s="2">
        <v>0.80510000000000004</v>
      </c>
      <c r="G92" s="102">
        <v>4742.3999999999996</v>
      </c>
      <c r="H92" s="2">
        <v>0.1193</v>
      </c>
      <c r="I92" s="102">
        <v>702.89</v>
      </c>
      <c r="J92" s="2">
        <v>4.1999999999999997E-3</v>
      </c>
      <c r="K92" s="102">
        <v>24.8</v>
      </c>
      <c r="L92" s="2">
        <v>0</v>
      </c>
      <c r="M92" s="102">
        <v>0</v>
      </c>
      <c r="N92" s="2">
        <v>0</v>
      </c>
      <c r="O92" s="102">
        <v>0</v>
      </c>
      <c r="P92" s="2">
        <v>5.9999999999999995E-4</v>
      </c>
      <c r="Q92" s="102">
        <v>3.74</v>
      </c>
      <c r="R92" s="2">
        <v>0</v>
      </c>
      <c r="S92" s="102">
        <v>0</v>
      </c>
      <c r="T92" s="2">
        <v>4.8800000000000003E-2</v>
      </c>
      <c r="U92" s="102">
        <v>287.2</v>
      </c>
      <c r="V92" s="2">
        <v>1.6999999999999999E-3</v>
      </c>
      <c r="W92" s="102">
        <v>9.98</v>
      </c>
      <c r="X92" s="2">
        <v>0.97970000000000002</v>
      </c>
      <c r="Y92" s="102">
        <v>5771.02</v>
      </c>
      <c r="Z92" s="103">
        <v>11661.48</v>
      </c>
    </row>
    <row r="93" spans="2:26" ht="28.35" hidden="1" customHeight="1">
      <c r="B93" s="99" t="s">
        <v>255</v>
      </c>
      <c r="C93" s="100" t="s">
        <v>90</v>
      </c>
      <c r="D93" s="101" t="s">
        <v>166</v>
      </c>
      <c r="E93" s="102">
        <v>3434.55</v>
      </c>
      <c r="F93" s="2">
        <v>0.8014</v>
      </c>
      <c r="G93" s="102">
        <v>2752.45</v>
      </c>
      <c r="H93" s="2">
        <v>0.20469999999999999</v>
      </c>
      <c r="I93" s="102">
        <v>702.89</v>
      </c>
      <c r="J93" s="2">
        <v>7.1999999999999998E-3</v>
      </c>
      <c r="K93" s="102">
        <v>24.8</v>
      </c>
      <c r="L93" s="2">
        <v>0</v>
      </c>
      <c r="M93" s="102">
        <v>0</v>
      </c>
      <c r="N93" s="2">
        <v>3.8E-3</v>
      </c>
      <c r="O93" s="102">
        <v>12.96</v>
      </c>
      <c r="P93" s="2">
        <v>1.2999999999999999E-3</v>
      </c>
      <c r="Q93" s="102">
        <v>4.54</v>
      </c>
      <c r="R93" s="2">
        <v>0</v>
      </c>
      <c r="S93" s="102">
        <v>0</v>
      </c>
      <c r="T93" s="2">
        <v>8.3599999999999994E-2</v>
      </c>
      <c r="U93" s="102">
        <v>287.2</v>
      </c>
      <c r="V93" s="2">
        <v>2.8999999999999998E-3</v>
      </c>
      <c r="W93" s="102">
        <v>9.98</v>
      </c>
      <c r="X93" s="2">
        <v>1.1049</v>
      </c>
      <c r="Y93" s="102">
        <v>3794.82</v>
      </c>
      <c r="Z93" s="103">
        <v>7229.37</v>
      </c>
    </row>
    <row r="94" spans="2:26" ht="28.35" hidden="1" customHeight="1">
      <c r="B94" s="99" t="s">
        <v>256</v>
      </c>
      <c r="C94" s="100" t="s">
        <v>91</v>
      </c>
      <c r="D94" s="101" t="s">
        <v>166</v>
      </c>
      <c r="E94" s="102">
        <v>4579.3999999999996</v>
      </c>
      <c r="F94" s="2">
        <v>0.8014</v>
      </c>
      <c r="G94" s="102">
        <v>3669.93</v>
      </c>
      <c r="H94" s="2">
        <v>0.1535</v>
      </c>
      <c r="I94" s="102">
        <v>702.89</v>
      </c>
      <c r="J94" s="2">
        <v>5.4000000000000003E-3</v>
      </c>
      <c r="K94" s="102">
        <v>24.8</v>
      </c>
      <c r="L94" s="2">
        <v>0</v>
      </c>
      <c r="M94" s="102">
        <v>0</v>
      </c>
      <c r="N94" s="2">
        <v>0</v>
      </c>
      <c r="O94" s="102">
        <v>0</v>
      </c>
      <c r="P94" s="2">
        <v>1E-3</v>
      </c>
      <c r="Q94" s="102">
        <v>4.54</v>
      </c>
      <c r="R94" s="2">
        <v>0</v>
      </c>
      <c r="S94" s="102">
        <v>0</v>
      </c>
      <c r="T94" s="2">
        <v>6.2700000000000006E-2</v>
      </c>
      <c r="U94" s="102">
        <v>287.2</v>
      </c>
      <c r="V94" s="2">
        <v>2.2000000000000001E-3</v>
      </c>
      <c r="W94" s="102">
        <v>9.98</v>
      </c>
      <c r="X94" s="2">
        <v>1.0262</v>
      </c>
      <c r="Y94" s="102">
        <v>4699.34</v>
      </c>
      <c r="Z94" s="103">
        <v>9278.74</v>
      </c>
    </row>
    <row r="95" spans="2:26" ht="28.35" hidden="1" customHeight="1">
      <c r="B95" s="99" t="s">
        <v>257</v>
      </c>
      <c r="C95" s="100" t="s">
        <v>92</v>
      </c>
      <c r="D95" s="101" t="s">
        <v>166</v>
      </c>
      <c r="E95" s="102">
        <v>7561.4</v>
      </c>
      <c r="F95" s="2">
        <v>0.8014</v>
      </c>
      <c r="G95" s="102">
        <v>6059.71</v>
      </c>
      <c r="H95" s="2">
        <v>9.2999999999999999E-2</v>
      </c>
      <c r="I95" s="102">
        <v>702.89</v>
      </c>
      <c r="J95" s="2">
        <v>3.3E-3</v>
      </c>
      <c r="K95" s="102">
        <v>24.8</v>
      </c>
      <c r="L95" s="2">
        <v>0</v>
      </c>
      <c r="M95" s="102">
        <v>0</v>
      </c>
      <c r="N95" s="2">
        <v>0</v>
      </c>
      <c r="O95" s="102">
        <v>0</v>
      </c>
      <c r="P95" s="2">
        <v>5.9999999999999995E-4</v>
      </c>
      <c r="Q95" s="102">
        <v>4.54</v>
      </c>
      <c r="R95" s="2">
        <v>0</v>
      </c>
      <c r="S95" s="102">
        <v>0</v>
      </c>
      <c r="T95" s="2">
        <v>3.7999999999999999E-2</v>
      </c>
      <c r="U95" s="102">
        <v>287.2</v>
      </c>
      <c r="V95" s="2">
        <v>1.2999999999999999E-3</v>
      </c>
      <c r="W95" s="102">
        <v>9.98</v>
      </c>
      <c r="X95" s="2">
        <v>0.9375</v>
      </c>
      <c r="Y95" s="102">
        <v>7089.12</v>
      </c>
      <c r="Z95" s="103">
        <v>14650.53</v>
      </c>
    </row>
    <row r="96" spans="2:26" ht="28.35" hidden="1" customHeight="1">
      <c r="B96" s="99" t="s">
        <v>258</v>
      </c>
      <c r="C96" s="100" t="s">
        <v>93</v>
      </c>
      <c r="D96" s="101" t="s">
        <v>166</v>
      </c>
      <c r="E96" s="102">
        <v>3129</v>
      </c>
      <c r="F96" s="2">
        <v>0.82789999999999997</v>
      </c>
      <c r="G96" s="102">
        <v>2590.5</v>
      </c>
      <c r="H96" s="2">
        <v>0.22459999999999999</v>
      </c>
      <c r="I96" s="102">
        <v>702.89</v>
      </c>
      <c r="J96" s="2">
        <v>7.9000000000000008E-3</v>
      </c>
      <c r="K96" s="102">
        <v>24.8</v>
      </c>
      <c r="L96" s="2">
        <v>0</v>
      </c>
      <c r="M96" s="102">
        <v>0</v>
      </c>
      <c r="N96" s="2">
        <v>0.01</v>
      </c>
      <c r="O96" s="102">
        <v>31.29</v>
      </c>
      <c r="P96" s="2">
        <v>1.8E-3</v>
      </c>
      <c r="Q96" s="102">
        <v>5.5</v>
      </c>
      <c r="R96" s="2">
        <v>0</v>
      </c>
      <c r="S96" s="102">
        <v>0</v>
      </c>
      <c r="T96" s="2">
        <v>9.1800000000000007E-2</v>
      </c>
      <c r="U96" s="102">
        <v>287.2</v>
      </c>
      <c r="V96" s="2">
        <v>3.2000000000000002E-3</v>
      </c>
      <c r="W96" s="102">
        <v>9.98</v>
      </c>
      <c r="X96" s="2">
        <v>1.1672</v>
      </c>
      <c r="Y96" s="102">
        <v>3652.16</v>
      </c>
      <c r="Z96" s="103">
        <v>6781.16</v>
      </c>
    </row>
    <row r="97" spans="2:26" ht="28.35" hidden="1" customHeight="1">
      <c r="B97" s="99" t="s">
        <v>259</v>
      </c>
      <c r="C97" s="100" t="s">
        <v>94</v>
      </c>
      <c r="D97" s="101" t="s">
        <v>166</v>
      </c>
      <c r="E97" s="102">
        <v>4172</v>
      </c>
      <c r="F97" s="2">
        <v>0.82789999999999997</v>
      </c>
      <c r="G97" s="102">
        <v>3454</v>
      </c>
      <c r="H97" s="2">
        <v>0.16850000000000001</v>
      </c>
      <c r="I97" s="102">
        <v>702.89</v>
      </c>
      <c r="J97" s="2">
        <v>5.8999999999999999E-3</v>
      </c>
      <c r="K97" s="102">
        <v>24.8</v>
      </c>
      <c r="L97" s="2">
        <v>0</v>
      </c>
      <c r="M97" s="102">
        <v>0</v>
      </c>
      <c r="N97" s="2">
        <v>0</v>
      </c>
      <c r="O97" s="102">
        <v>0</v>
      </c>
      <c r="P97" s="2">
        <v>1.2999999999999999E-3</v>
      </c>
      <c r="Q97" s="102">
        <v>5.5</v>
      </c>
      <c r="R97" s="2">
        <v>0</v>
      </c>
      <c r="S97" s="102">
        <v>0</v>
      </c>
      <c r="T97" s="2">
        <v>6.88E-2</v>
      </c>
      <c r="U97" s="102">
        <v>287.2</v>
      </c>
      <c r="V97" s="2">
        <v>2.3999999999999998E-3</v>
      </c>
      <c r="W97" s="102">
        <v>9.98</v>
      </c>
      <c r="X97" s="2">
        <v>1.0749</v>
      </c>
      <c r="Y97" s="102">
        <v>4484.37</v>
      </c>
      <c r="Z97" s="103">
        <v>8656.3700000000008</v>
      </c>
    </row>
    <row r="98" spans="2:26" ht="28.35" hidden="1" customHeight="1">
      <c r="B98" s="99" t="s">
        <v>260</v>
      </c>
      <c r="C98" s="100" t="s">
        <v>95</v>
      </c>
      <c r="D98" s="101" t="s">
        <v>166</v>
      </c>
      <c r="E98" s="102">
        <v>6159.78</v>
      </c>
      <c r="F98" s="2">
        <v>0.82789999999999997</v>
      </c>
      <c r="G98" s="102">
        <v>5099.68</v>
      </c>
      <c r="H98" s="2">
        <v>0.11409999999999999</v>
      </c>
      <c r="I98" s="102">
        <v>702.89</v>
      </c>
      <c r="J98" s="2">
        <v>4.0000000000000001E-3</v>
      </c>
      <c r="K98" s="102">
        <v>24.8</v>
      </c>
      <c r="L98" s="2">
        <v>0</v>
      </c>
      <c r="M98" s="102">
        <v>0</v>
      </c>
      <c r="N98" s="2">
        <v>0</v>
      </c>
      <c r="O98" s="102">
        <v>0</v>
      </c>
      <c r="P98" s="2">
        <v>8.9999999999999998E-4</v>
      </c>
      <c r="Q98" s="102">
        <v>5.5</v>
      </c>
      <c r="R98" s="2">
        <v>0</v>
      </c>
      <c r="S98" s="102">
        <v>0</v>
      </c>
      <c r="T98" s="2">
        <v>4.6600000000000003E-2</v>
      </c>
      <c r="U98" s="102">
        <v>287.2</v>
      </c>
      <c r="V98" s="2">
        <v>1.6000000000000001E-3</v>
      </c>
      <c r="W98" s="102">
        <v>9.98</v>
      </c>
      <c r="X98" s="2">
        <v>0.99519999999999997</v>
      </c>
      <c r="Y98" s="102">
        <v>6130.05</v>
      </c>
      <c r="Z98" s="103">
        <v>12289.83</v>
      </c>
    </row>
    <row r="99" spans="2:26" ht="28.35" customHeight="1">
      <c r="B99" s="99" t="s">
        <v>261</v>
      </c>
      <c r="C99" s="100" t="s">
        <v>96</v>
      </c>
      <c r="D99" s="101" t="s">
        <v>166</v>
      </c>
      <c r="E99" s="102">
        <v>3607.77</v>
      </c>
      <c r="F99" s="2">
        <v>0.8014</v>
      </c>
      <c r="G99" s="102">
        <v>2891.26</v>
      </c>
      <c r="H99" s="2">
        <v>0.1948</v>
      </c>
      <c r="I99" s="102">
        <v>702.89</v>
      </c>
      <c r="J99" s="2">
        <v>6.8999999999999999E-3</v>
      </c>
      <c r="K99" s="102">
        <v>24.8</v>
      </c>
      <c r="L99" s="2">
        <v>0</v>
      </c>
      <c r="M99" s="102">
        <v>0</v>
      </c>
      <c r="N99" s="2">
        <v>6.9999999999999999E-4</v>
      </c>
      <c r="O99" s="102">
        <v>2.57</v>
      </c>
      <c r="P99" s="2">
        <v>1.2999999999999999E-3</v>
      </c>
      <c r="Q99" s="102">
        <v>4.54</v>
      </c>
      <c r="R99" s="2">
        <v>0</v>
      </c>
      <c r="S99" s="102">
        <v>0</v>
      </c>
      <c r="T99" s="2">
        <v>7.9600000000000004E-2</v>
      </c>
      <c r="U99" s="102">
        <v>287.2</v>
      </c>
      <c r="V99" s="2">
        <v>2.8E-3</v>
      </c>
      <c r="W99" s="102">
        <v>9.98</v>
      </c>
      <c r="X99" s="2">
        <v>1.0873999999999999</v>
      </c>
      <c r="Y99" s="102">
        <v>3923.24</v>
      </c>
      <c r="Z99" s="103">
        <v>7531.01</v>
      </c>
    </row>
    <row r="100" spans="2:26" ht="28.35" customHeight="1">
      <c r="B100" s="99" t="s">
        <v>262</v>
      </c>
      <c r="C100" s="100" t="s">
        <v>97</v>
      </c>
      <c r="D100" s="101" t="s">
        <v>166</v>
      </c>
      <c r="E100" s="102">
        <v>4810.3599999999997</v>
      </c>
      <c r="F100" s="2">
        <v>0.8014</v>
      </c>
      <c r="G100" s="102">
        <v>3855.02</v>
      </c>
      <c r="H100" s="2">
        <v>0.14610000000000001</v>
      </c>
      <c r="I100" s="102">
        <v>702.89</v>
      </c>
      <c r="J100" s="2">
        <v>5.1999999999999998E-3</v>
      </c>
      <c r="K100" s="102">
        <v>24.8</v>
      </c>
      <c r="L100" s="2">
        <v>0</v>
      </c>
      <c r="M100" s="102">
        <v>0</v>
      </c>
      <c r="N100" s="2">
        <v>0</v>
      </c>
      <c r="O100" s="102">
        <v>0</v>
      </c>
      <c r="P100" s="2">
        <v>8.9999999999999998E-4</v>
      </c>
      <c r="Q100" s="102">
        <v>4.54</v>
      </c>
      <c r="R100" s="2">
        <v>0</v>
      </c>
      <c r="S100" s="102">
        <v>0</v>
      </c>
      <c r="T100" s="2">
        <v>5.9700000000000003E-2</v>
      </c>
      <c r="U100" s="102">
        <v>287.2</v>
      </c>
      <c r="V100" s="2">
        <v>2.0999999999999999E-3</v>
      </c>
      <c r="W100" s="102">
        <v>9.98</v>
      </c>
      <c r="X100" s="2">
        <v>1.0154000000000001</v>
      </c>
      <c r="Y100" s="102">
        <v>4884.43</v>
      </c>
      <c r="Z100" s="103">
        <v>9694.7900000000009</v>
      </c>
    </row>
    <row r="101" spans="2:26" ht="28.35" customHeight="1">
      <c r="B101" s="99" t="s">
        <v>263</v>
      </c>
      <c r="C101" s="100" t="s">
        <v>98</v>
      </c>
      <c r="D101" s="101" t="s">
        <v>166</v>
      </c>
      <c r="E101" s="102">
        <v>7731.83</v>
      </c>
      <c r="F101" s="2">
        <v>0.8014</v>
      </c>
      <c r="G101" s="102">
        <v>6196.29</v>
      </c>
      <c r="H101" s="2">
        <v>9.0899999999999995E-2</v>
      </c>
      <c r="I101" s="102">
        <v>702.89</v>
      </c>
      <c r="J101" s="2">
        <v>3.2000000000000002E-3</v>
      </c>
      <c r="K101" s="102">
        <v>24.8</v>
      </c>
      <c r="L101" s="2">
        <v>0</v>
      </c>
      <c r="M101" s="102">
        <v>0</v>
      </c>
      <c r="N101" s="2">
        <v>0</v>
      </c>
      <c r="O101" s="102">
        <v>0</v>
      </c>
      <c r="P101" s="2">
        <v>5.9999999999999995E-4</v>
      </c>
      <c r="Q101" s="102">
        <v>4.54</v>
      </c>
      <c r="R101" s="2">
        <v>0</v>
      </c>
      <c r="S101" s="102">
        <v>0</v>
      </c>
      <c r="T101" s="2">
        <v>3.7100000000000001E-2</v>
      </c>
      <c r="U101" s="102">
        <v>287.2</v>
      </c>
      <c r="V101" s="2">
        <v>1.2999999999999999E-3</v>
      </c>
      <c r="W101" s="102">
        <v>9.98</v>
      </c>
      <c r="X101" s="2">
        <v>0.9345</v>
      </c>
      <c r="Y101" s="102">
        <v>7225.7</v>
      </c>
      <c r="Z101" s="103">
        <v>14957.54</v>
      </c>
    </row>
    <row r="102" spans="2:26" ht="28.35" customHeight="1">
      <c r="B102" s="3" t="s">
        <v>264</v>
      </c>
    </row>
  </sheetData>
  <autoFilter ref="B1:Z102" xr:uid="{651DE2A1-518C-4567-B433-A8622D7B5E6C}">
    <filterColumn colId="1">
      <filters blank="1">
        <filter val="Advogado júnior"/>
        <filter val="Advogado pleno"/>
        <filter val="Advogado sênior"/>
        <filter val="Auxiliar"/>
        <filter val="Auxiliar administrativo"/>
        <filter val="Biólogo júnior"/>
        <filter val="Biólogo pleno"/>
        <filter val="Biólogo sênior"/>
        <filter val="Chefe de escritório"/>
        <filter val="Contador júnior"/>
        <filter val="Contador pleno"/>
        <filter val="Contador sênior"/>
        <filter val="Coordenador ambiental"/>
        <filter val="Economista júnior"/>
        <filter val="Economista pleno"/>
        <filter val="Economista sênior"/>
        <filter val="Engenheiro ambiental júnior"/>
        <filter val="Engenheiro ambiental pleno"/>
        <filter val="Engenheiro ambiental sênior"/>
        <filter val="Engenheiro consultor especial"/>
        <filter val="Engenheiro coordenador"/>
        <filter val="Engenheiro de projetos júnior"/>
        <filter val="Engenheiro de projetos pleno"/>
        <filter val="Engenheiro de projetos sênior"/>
        <filter val="Engenheiro florestal júnior"/>
        <filter val="Engenheiro florestal pleno"/>
        <filter val="Engenheiro florestal sênior"/>
        <filter val="Secretária"/>
        <filter val="Sociólogo júnior"/>
        <filter val="Sociólogo pleno"/>
        <filter val="Sociólogo sênior"/>
        <filter val="Técnico ambiental"/>
        <filter val="Técnico de obras"/>
      </filters>
    </filterColumn>
    <filterColumn colId="4"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6" showButton="0"/>
    <filterColumn colId="17" showButton="0"/>
    <filterColumn colId="18" showButton="0"/>
    <filterColumn colId="19" showButton="0"/>
    <filterColumn colId="20" showButton="0"/>
    <filterColumn colId="22" showButton="0"/>
  </autoFilter>
  <mergeCells count="17">
    <mergeCell ref="B1:B3"/>
    <mergeCell ref="C1:C3"/>
    <mergeCell ref="D1:D3"/>
    <mergeCell ref="E1:E2"/>
    <mergeCell ref="F1:G2"/>
    <mergeCell ref="V2:W2"/>
    <mergeCell ref="R1:W1"/>
    <mergeCell ref="X1:Y2"/>
    <mergeCell ref="Z1:Z2"/>
    <mergeCell ref="H2:I2"/>
    <mergeCell ref="J2:K2"/>
    <mergeCell ref="L2:M2"/>
    <mergeCell ref="N2:O2"/>
    <mergeCell ref="P2:Q2"/>
    <mergeCell ref="R2:S2"/>
    <mergeCell ref="T2:U2"/>
    <mergeCell ref="H1:Q1"/>
  </mergeCells>
  <printOptions horizontalCentered="1"/>
  <pageMargins left="0.19685039370078741" right="0.19685039370078741" top="1.32" bottom="0.70866141732283472" header="0.19685039370078741" footer="0.19685039370078741"/>
  <pageSetup paperSize="9" scale="50" fitToWidth="0" fitToHeight="0" orientation="landscape" horizontalDpi="4000" verticalDpi="4000" r:id="rId1"/>
  <headerFooter differentFirst="1">
    <oddHeader>&amp;C&amp;"Arial,Negrito"&amp;12&amp;G
&amp;22RELATÓRIO DE CONSOLIDAÇÃO DOS CUSTOS DE MÃO DE OBRA 
&amp;20Tabela 1 - Consolidação dos custos de mão de obra - Tabela de Preços de Consultoria - mês de referência:  janeiro de 2023 (&amp;P/&amp;N)</oddHeader>
    <oddFooter>&amp;C&amp;"Arial,Negrito"&amp;14
&amp;P&amp;11
&amp;G</oddFooter>
    <firstHeader>&amp;C&amp;"Arial,Negrito"&amp;G
&amp;22RELATÓRIO DE CONSOLIDAÇÃO DOS CUSTOS DE MÃO DE OBRA 
&amp;20Tabela 1 - Consolidação dos custos de mão de obra - Tabela de Preços de Consultoria - mês de referência: janeiro de 2023</firstHeader>
    <firstFooter>&amp;C
&amp;14
&amp;"Arial,Negrito"&amp;P&amp;"Arial,Normal"&amp;11
&amp;G</firstFooter>
  </headerFooter>
  <rowBreaks count="3" manualBreakCount="3">
    <brk id="30" max="26" man="1"/>
    <brk id="58" max="26" man="1"/>
    <brk id="86" max="26"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09F49-B320-4BD8-9937-489DC7BAEC7F}">
  <sheetPr>
    <tabColor rgb="FF00B050"/>
    <pageSetUpPr fitToPage="1"/>
  </sheetPr>
  <dimension ref="B1:H24"/>
  <sheetViews>
    <sheetView workbookViewId="0"/>
  </sheetViews>
  <sheetFormatPr defaultColWidth="3.85546875" defaultRowHeight="15"/>
  <cols>
    <col min="1" max="1" width="6.85546875" style="238" customWidth="1"/>
    <col min="2" max="2" width="16.85546875" style="238" customWidth="1"/>
    <col min="3" max="3" width="13.5703125" style="238" customWidth="1"/>
    <col min="4" max="4" width="55.42578125" style="238" customWidth="1"/>
    <col min="5" max="5" width="13.28515625" style="238" customWidth="1"/>
    <col min="6" max="7" width="20" style="238" customWidth="1"/>
    <col min="8" max="8" width="6.85546875" style="238" customWidth="1"/>
    <col min="9" max="16384" width="3.85546875" style="238"/>
  </cols>
  <sheetData>
    <row r="1" spans="2:8">
      <c r="B1" s="237">
        <v>45108</v>
      </c>
    </row>
    <row r="2" spans="2:8" s="242" customFormat="1" ht="20.25" customHeight="1">
      <c r="B2" s="239" t="s">
        <v>574</v>
      </c>
      <c r="C2" s="240"/>
      <c r="D2" s="241"/>
      <c r="E2" s="240"/>
      <c r="F2" s="240"/>
      <c r="G2" s="240"/>
    </row>
    <row r="3" spans="2:8" s="242" customFormat="1" ht="24" customHeight="1">
      <c r="B3" s="243" t="str">
        <f>"Tabela de Preços de Consultoria - mês de referência: "&amp;TEXT(B1,"MMMM")&amp;" de "&amp;TEXT(B1,"AAAA")</f>
        <v>Tabela de Preços de Consultoria - mês de referência: julho de 2023</v>
      </c>
      <c r="C3" s="244"/>
      <c r="D3" s="244"/>
      <c r="E3" s="244"/>
      <c r="F3" s="244"/>
      <c r="G3" s="244"/>
    </row>
    <row r="4" spans="2:8" ht="27" customHeight="1">
      <c r="B4" s="836" t="s">
        <v>334</v>
      </c>
      <c r="C4" s="831" t="s">
        <v>146</v>
      </c>
      <c r="D4" s="831" t="s">
        <v>268</v>
      </c>
      <c r="E4" s="831" t="s">
        <v>365</v>
      </c>
      <c r="F4" s="831" t="s">
        <v>575</v>
      </c>
      <c r="G4" s="832"/>
      <c r="H4" s="248" t="s">
        <v>576</v>
      </c>
    </row>
    <row r="5" spans="2:8" ht="28.5" customHeight="1">
      <c r="B5" s="836"/>
      <c r="C5" s="831"/>
      <c r="D5" s="831"/>
      <c r="E5" s="831"/>
      <c r="F5" s="246" t="s">
        <v>307</v>
      </c>
      <c r="G5" s="247" t="s">
        <v>269</v>
      </c>
    </row>
    <row r="6" spans="2:8" ht="27" customHeight="1">
      <c r="B6" s="833" t="s">
        <v>266</v>
      </c>
      <c r="C6" s="249" t="s">
        <v>270</v>
      </c>
      <c r="D6" s="250" t="s">
        <v>577</v>
      </c>
      <c r="E6" s="249" t="s">
        <v>272</v>
      </c>
      <c r="F6" s="251">
        <v>32.840000000000003</v>
      </c>
      <c r="G6" s="252">
        <v>6.47</v>
      </c>
    </row>
    <row r="7" spans="2:8" ht="27" customHeight="1">
      <c r="B7" s="833"/>
      <c r="C7" s="249" t="s">
        <v>273</v>
      </c>
      <c r="D7" s="250" t="s">
        <v>578</v>
      </c>
      <c r="E7" s="249" t="s">
        <v>272</v>
      </c>
      <c r="F7" s="251">
        <v>80.19</v>
      </c>
      <c r="G7" s="252">
        <v>28.61</v>
      </c>
    </row>
    <row r="8" spans="2:8" ht="27" customHeight="1">
      <c r="B8" s="833"/>
      <c r="C8" s="249" t="s">
        <v>275</v>
      </c>
      <c r="D8" s="250" t="s">
        <v>579</v>
      </c>
      <c r="E8" s="249" t="s">
        <v>272</v>
      </c>
      <c r="F8" s="251">
        <v>74.09</v>
      </c>
      <c r="G8" s="252">
        <v>43.18</v>
      </c>
    </row>
    <row r="9" spans="2:8">
      <c r="B9" s="253" t="s">
        <v>264</v>
      </c>
      <c r="C9" s="254"/>
      <c r="D9" s="255"/>
      <c r="E9" s="254"/>
      <c r="F9" s="256"/>
      <c r="G9" s="256"/>
    </row>
    <row r="10" spans="2:8" ht="35.1" customHeight="1"/>
    <row r="11" spans="2:8" s="242" customFormat="1" ht="20.25" customHeight="1">
      <c r="B11" s="239" t="s">
        <v>580</v>
      </c>
      <c r="C11" s="240"/>
      <c r="D11" s="241"/>
      <c r="E11" s="240"/>
      <c r="F11" s="240"/>
      <c r="G11" s="240"/>
    </row>
    <row r="12" spans="2:8" s="242" customFormat="1" ht="24" customHeight="1">
      <c r="B12" s="243" t="str">
        <f>"Tabela de Preços de Consultoria - mês de referência: "&amp;TEXT(B1,"MMMM")&amp;" de "&amp;TEXT(B1,"AAAA")</f>
        <v>Tabela de Preços de Consultoria - mês de referência: julho de 2023</v>
      </c>
      <c r="C12" s="244"/>
      <c r="D12" s="244"/>
      <c r="E12" s="244"/>
      <c r="F12" s="244"/>
      <c r="G12" s="244"/>
    </row>
    <row r="13" spans="2:8" ht="31.5">
      <c r="B13" s="245" t="s">
        <v>334</v>
      </c>
      <c r="C13" s="246" t="s">
        <v>146</v>
      </c>
      <c r="D13" s="831" t="s">
        <v>268</v>
      </c>
      <c r="E13" s="831"/>
      <c r="F13" s="246" t="s">
        <v>365</v>
      </c>
      <c r="G13" s="247" t="s">
        <v>581</v>
      </c>
    </row>
    <row r="14" spans="2:8" ht="27" customHeight="1">
      <c r="B14" s="833" t="s">
        <v>277</v>
      </c>
      <c r="C14" s="249" t="s">
        <v>278</v>
      </c>
      <c r="D14" s="834" t="s">
        <v>582</v>
      </c>
      <c r="E14" s="835"/>
      <c r="F14" s="249" t="s">
        <v>583</v>
      </c>
      <c r="G14" s="257">
        <v>47.3</v>
      </c>
    </row>
    <row r="15" spans="2:8" ht="27" customHeight="1">
      <c r="B15" s="833"/>
      <c r="C15" s="249" t="s">
        <v>279</v>
      </c>
      <c r="D15" s="834" t="s">
        <v>584</v>
      </c>
      <c r="E15" s="835"/>
      <c r="F15" s="249" t="s">
        <v>583</v>
      </c>
      <c r="G15" s="257">
        <v>30.93</v>
      </c>
    </row>
    <row r="16" spans="2:8" ht="27" customHeight="1">
      <c r="B16" s="833" t="s">
        <v>280</v>
      </c>
      <c r="C16" s="249" t="s">
        <v>281</v>
      </c>
      <c r="D16" s="834" t="s">
        <v>282</v>
      </c>
      <c r="E16" s="835"/>
      <c r="F16" s="249" t="s">
        <v>585</v>
      </c>
      <c r="G16" s="257">
        <v>502.59</v>
      </c>
    </row>
    <row r="17" spans="2:7" ht="27" customHeight="1">
      <c r="B17" s="833"/>
      <c r="C17" s="249" t="s">
        <v>283</v>
      </c>
      <c r="D17" s="834" t="s">
        <v>284</v>
      </c>
      <c r="E17" s="835"/>
      <c r="F17" s="249" t="s">
        <v>585</v>
      </c>
      <c r="G17" s="257">
        <v>43.87</v>
      </c>
    </row>
    <row r="18" spans="2:7" ht="27" customHeight="1">
      <c r="B18" s="833" t="s">
        <v>586</v>
      </c>
      <c r="C18" s="249" t="s">
        <v>285</v>
      </c>
      <c r="D18" s="834" t="s">
        <v>286</v>
      </c>
      <c r="E18" s="835"/>
      <c r="F18" s="249" t="s">
        <v>166</v>
      </c>
      <c r="G18" s="257">
        <v>5144.99</v>
      </c>
    </row>
    <row r="19" spans="2:7" ht="27" customHeight="1">
      <c r="B19" s="833"/>
      <c r="C19" s="249" t="s">
        <v>287</v>
      </c>
      <c r="D19" s="834" t="s">
        <v>288</v>
      </c>
      <c r="E19" s="835"/>
      <c r="F19" s="249" t="s">
        <v>166</v>
      </c>
      <c r="G19" s="257">
        <v>4285.2299999999996</v>
      </c>
    </row>
    <row r="20" spans="2:7" ht="27" customHeight="1">
      <c r="B20" s="833"/>
      <c r="C20" s="249" t="s">
        <v>289</v>
      </c>
      <c r="D20" s="834" t="s">
        <v>290</v>
      </c>
      <c r="E20" s="835"/>
      <c r="F20" s="249" t="s">
        <v>166</v>
      </c>
      <c r="G20" s="257">
        <v>4235.59</v>
      </c>
    </row>
    <row r="21" spans="2:7" ht="27" customHeight="1">
      <c r="B21" s="833"/>
      <c r="C21" s="249" t="s">
        <v>291</v>
      </c>
      <c r="D21" s="834" t="s">
        <v>292</v>
      </c>
      <c r="E21" s="835"/>
      <c r="F21" s="249" t="s">
        <v>166</v>
      </c>
      <c r="G21" s="257">
        <v>3163.12</v>
      </c>
    </row>
    <row r="22" spans="2:7" ht="27" customHeight="1">
      <c r="B22" s="833" t="s">
        <v>587</v>
      </c>
      <c r="C22" s="249" t="s">
        <v>293</v>
      </c>
      <c r="D22" s="834" t="s">
        <v>282</v>
      </c>
      <c r="E22" s="835"/>
      <c r="F22" s="249" t="s">
        <v>585</v>
      </c>
      <c r="G22" s="257">
        <v>132.91999999999999</v>
      </c>
    </row>
    <row r="23" spans="2:7" ht="27" customHeight="1">
      <c r="B23" s="833"/>
      <c r="C23" s="249" t="s">
        <v>294</v>
      </c>
      <c r="D23" s="834" t="s">
        <v>284</v>
      </c>
      <c r="E23" s="835"/>
      <c r="F23" s="249" t="s">
        <v>585</v>
      </c>
      <c r="G23" s="257">
        <v>212.02</v>
      </c>
    </row>
    <row r="24" spans="2:7">
      <c r="B24" s="253" t="s">
        <v>264</v>
      </c>
    </row>
  </sheetData>
  <mergeCells count="21">
    <mergeCell ref="B6:B8"/>
    <mergeCell ref="B4:B5"/>
    <mergeCell ref="C4:C5"/>
    <mergeCell ref="D4:D5"/>
    <mergeCell ref="E4:E5"/>
    <mergeCell ref="F4:G4"/>
    <mergeCell ref="B22:B23"/>
    <mergeCell ref="D22:E22"/>
    <mergeCell ref="D23:E23"/>
    <mergeCell ref="D13:E13"/>
    <mergeCell ref="B14:B15"/>
    <mergeCell ref="D14:E14"/>
    <mergeCell ref="D15:E15"/>
    <mergeCell ref="B16:B17"/>
    <mergeCell ref="D16:E16"/>
    <mergeCell ref="D17:E17"/>
    <mergeCell ref="B18:B21"/>
    <mergeCell ref="D18:E18"/>
    <mergeCell ref="D19:E19"/>
    <mergeCell ref="D20:E20"/>
    <mergeCell ref="D21:E21"/>
  </mergeCells>
  <pageMargins left="0.19685039370078741" right="0.19685039370078741" top="1.2" bottom="0.6692913385826772" header="0.25" footer="0.19685039370078741"/>
  <pageSetup paperSize="9" scale="65" fitToHeight="0" orientation="portrait" horizontalDpi="1200" verticalDpi="1200" r:id="rId1"/>
  <headerFooter>
    <oddHeader>&amp;C&amp;"Arial,Negrito"&amp;12&amp;G
&amp;16RELATÓRIO DE CUSTOS GERAIS</oddHeader>
    <oddFooter>&amp;C&amp;"Arial,Negrito"&amp;10
&amp;12&amp;P&amp;11
&amp;G</oddFooter>
    <firstHeader>&amp;C&amp;"Arial,Negrito"&amp;G
RELATÓRIO DE CUSTOS GERAIS E BENEFÍCIOS E DESPESAS INDIRETAS - BDI</firstHeader>
    <firstFooter>&amp;C
&amp;"Arial,Negrito"&amp;8&amp;P&amp;"Arial,Normal"&amp;11
&amp;G</firstFooter>
  </headerFooter>
  <rowBreaks count="3" manualBreakCount="3">
    <brk id="25" min="1" max="13" man="1"/>
    <brk id="51" max="16383" man="1"/>
    <brk id="75" min="1" max="13"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9C63D-9B48-4E72-917F-C4FC26007B4D}">
  <sheetPr>
    <tabColor rgb="FF00B050"/>
  </sheetPr>
  <dimension ref="A1:B109"/>
  <sheetViews>
    <sheetView workbookViewId="0">
      <selection sqref="A1:A3"/>
    </sheetView>
  </sheetViews>
  <sheetFormatPr defaultRowHeight="15"/>
  <cols>
    <col min="1" max="1" width="46.140625" style="72" customWidth="1"/>
    <col min="2" max="2" width="21.7109375" style="73" customWidth="1"/>
  </cols>
  <sheetData>
    <row r="1" spans="1:2" ht="15" customHeight="1">
      <c r="A1" s="837" t="s">
        <v>147</v>
      </c>
      <c r="B1" s="837" t="s">
        <v>146</v>
      </c>
    </row>
    <row r="2" spans="1:2">
      <c r="A2" s="837"/>
      <c r="B2" s="837"/>
    </row>
    <row r="3" spans="1:2">
      <c r="A3" s="837"/>
      <c r="B3" s="837"/>
    </row>
    <row r="4" spans="1:2">
      <c r="A4" s="75" t="str">
        <f>'TC 07-2023'!C4</f>
        <v>Advogado júnior</v>
      </c>
      <c r="B4" s="74" t="str">
        <f>'TC 07-2023'!B4</f>
        <v>P8001</v>
      </c>
    </row>
    <row r="5" spans="1:2">
      <c r="A5" s="75" t="str">
        <f>'TC 07-2023'!C5</f>
        <v>Advogado pleno</v>
      </c>
      <c r="B5" s="74" t="str">
        <f>'TC 07-2023'!B5</f>
        <v>P8002</v>
      </c>
    </row>
    <row r="6" spans="1:2">
      <c r="A6" s="75" t="str">
        <f>'TC 07-2023'!C6</f>
        <v>Advogado sênior</v>
      </c>
      <c r="B6" s="74" t="str">
        <f>'TC 07-2023'!B6</f>
        <v>P8003</v>
      </c>
    </row>
    <row r="7" spans="1:2">
      <c r="A7" s="75" t="str">
        <f>'TC 07-2023'!C7</f>
        <v>Analista de desenvolvimento de sistemas júnior</v>
      </c>
      <c r="B7" s="74" t="str">
        <f>'TC 07-2023'!B7</f>
        <v>P8007</v>
      </c>
    </row>
    <row r="8" spans="1:2">
      <c r="A8" s="75" t="str">
        <f>'TC 07-2023'!C8</f>
        <v>Analista de desenvolvimento de sistemas pleno</v>
      </c>
      <c r="B8" s="74" t="str">
        <f>'TC 07-2023'!B8</f>
        <v>P8008</v>
      </c>
    </row>
    <row r="9" spans="1:2">
      <c r="A9" s="75" t="str">
        <f>'TC 07-2023'!C9</f>
        <v>Analista de desenvolvimento de sistemas sênior</v>
      </c>
      <c r="B9" s="74" t="str">
        <f>'TC 07-2023'!B9</f>
        <v>P8009</v>
      </c>
    </row>
    <row r="10" spans="1:2">
      <c r="A10" s="75" t="str">
        <f>'TC 07-2023'!C10</f>
        <v>Arquiteto júnior</v>
      </c>
      <c r="B10" s="74" t="str">
        <f>'TC 07-2023'!B10</f>
        <v>P8013</v>
      </c>
    </row>
    <row r="11" spans="1:2">
      <c r="A11" s="75" t="str">
        <f>'TC 07-2023'!C11</f>
        <v>Arquiteto pleno</v>
      </c>
      <c r="B11" s="74" t="str">
        <f>'TC 07-2023'!B11</f>
        <v>P8014</v>
      </c>
    </row>
    <row r="12" spans="1:2">
      <c r="A12" s="75" t="str">
        <f>'TC 07-2023'!C12</f>
        <v>Arquiteto sênior</v>
      </c>
      <c r="B12" s="74" t="str">
        <f>'TC 07-2023'!B12</f>
        <v>P8015</v>
      </c>
    </row>
    <row r="13" spans="1:2">
      <c r="A13" s="75" t="str">
        <f>'TC 07-2023'!C13</f>
        <v>Assistente social júnior</v>
      </c>
      <c r="B13" s="74" t="str">
        <f>'TC 07-2023'!B13</f>
        <v>P8019</v>
      </c>
    </row>
    <row r="14" spans="1:2">
      <c r="A14" s="75" t="str">
        <f>'TC 07-2023'!C14</f>
        <v>Assistente social pleno</v>
      </c>
      <c r="B14" s="74" t="str">
        <f>'TC 07-2023'!B14</f>
        <v>P8020</v>
      </c>
    </row>
    <row r="15" spans="1:2">
      <c r="A15" s="75" t="str">
        <f>'TC 07-2023'!C15</f>
        <v>Assistente social sênior</v>
      </c>
      <c r="B15" s="74" t="str">
        <f>'TC 07-2023'!B15</f>
        <v>P8021</v>
      </c>
    </row>
    <row r="16" spans="1:2">
      <c r="A16" s="75" t="str">
        <f>'TC 07-2023'!C16</f>
        <v>Auxiliar</v>
      </c>
      <c r="B16" s="74" t="str">
        <f>'TC 07-2023'!B16</f>
        <v>P8025</v>
      </c>
    </row>
    <row r="17" spans="1:2">
      <c r="A17" s="75" t="str">
        <f>'TC 07-2023'!C17</f>
        <v>Auxiliar administrativo</v>
      </c>
      <c r="B17" s="74" t="str">
        <f>'TC 07-2023'!B17</f>
        <v>P8026</v>
      </c>
    </row>
    <row r="18" spans="1:2">
      <c r="A18" s="75" t="str">
        <f>'TC 07-2023'!C18</f>
        <v>Auxiliar de laboratório</v>
      </c>
      <c r="B18" s="74" t="str">
        <f>'TC 07-2023'!B18</f>
        <v>P8027</v>
      </c>
    </row>
    <row r="19" spans="1:2">
      <c r="A19" s="75" t="str">
        <f>'TC 07-2023'!C19</f>
        <v>Auxiliar de topografia</v>
      </c>
      <c r="B19" s="74" t="str">
        <f>'TC 07-2023'!B19</f>
        <v>P8028</v>
      </c>
    </row>
    <row r="20" spans="1:2">
      <c r="A20" s="75" t="str">
        <f>'TC 07-2023'!C20</f>
        <v>Biólogo júnior</v>
      </c>
      <c r="B20" s="74" t="str">
        <f>'TC 07-2023'!B20</f>
        <v>P8032</v>
      </c>
    </row>
    <row r="21" spans="1:2">
      <c r="A21" s="75" t="str">
        <f>'TC 07-2023'!C21</f>
        <v>Biólogo pleno</v>
      </c>
      <c r="B21" s="74" t="str">
        <f>'TC 07-2023'!B21</f>
        <v>P8033</v>
      </c>
    </row>
    <row r="22" spans="1:2">
      <c r="A22" s="75" t="str">
        <f>'TC 07-2023'!C22</f>
        <v>Biólogo sênior</v>
      </c>
      <c r="B22" s="74" t="str">
        <f>'TC 07-2023'!B22</f>
        <v>P8034</v>
      </c>
    </row>
    <row r="23" spans="1:2">
      <c r="A23" s="75" t="str">
        <f>'TC 07-2023'!C23</f>
        <v>Chefe de escritório</v>
      </c>
      <c r="B23" s="74" t="str">
        <f>'TC 07-2023'!B23</f>
        <v>P8038</v>
      </c>
    </row>
    <row r="24" spans="1:2">
      <c r="A24" s="75" t="str">
        <f>'TC 07-2023'!C24</f>
        <v>Contador júnior</v>
      </c>
      <c r="B24" s="74" t="str">
        <f>'TC 07-2023'!B24</f>
        <v>P8040</v>
      </c>
    </row>
    <row r="25" spans="1:2">
      <c r="A25" s="75" t="str">
        <f>'TC 07-2023'!C25</f>
        <v>Contador pleno</v>
      </c>
      <c r="B25" s="74" t="str">
        <f>'TC 07-2023'!B25</f>
        <v>P8041</v>
      </c>
    </row>
    <row r="26" spans="1:2">
      <c r="A26" s="75" t="str">
        <f>'TC 07-2023'!C26</f>
        <v>Contador sênior</v>
      </c>
      <c r="B26" s="74" t="str">
        <f>'TC 07-2023'!B26</f>
        <v>P8042</v>
      </c>
    </row>
    <row r="27" spans="1:2">
      <c r="A27" s="75" t="str">
        <f>'TC 07-2023'!C27</f>
        <v xml:space="preserve">Coordenador ambiental </v>
      </c>
      <c r="B27" s="74" t="str">
        <f>'TC 07-2023'!B27</f>
        <v>P8044</v>
      </c>
    </row>
    <row r="28" spans="1:2">
      <c r="A28" s="75" t="str">
        <f>'TC 07-2023'!C28</f>
        <v>Economista júnior</v>
      </c>
      <c r="B28" s="74" t="str">
        <f>'TC 07-2023'!B28</f>
        <v>P8045</v>
      </c>
    </row>
    <row r="29" spans="1:2">
      <c r="A29" s="75" t="str">
        <f>'TC 07-2023'!C29</f>
        <v>Economista pleno</v>
      </c>
      <c r="B29" s="74" t="str">
        <f>'TC 07-2023'!B29</f>
        <v>P8046</v>
      </c>
    </row>
    <row r="30" spans="1:2">
      <c r="A30" s="75" t="str">
        <f>'TC 07-2023'!C30</f>
        <v>Economista sênior</v>
      </c>
      <c r="B30" s="74" t="str">
        <f>'TC 07-2023'!B30</f>
        <v>P8047</v>
      </c>
    </row>
    <row r="31" spans="1:2">
      <c r="A31" s="75" t="str">
        <f>'TC 07-2023'!C31</f>
        <v>Engenheiro agrônomo júnior</v>
      </c>
      <c r="B31" s="74" t="str">
        <f>'TC 07-2023'!B31</f>
        <v>P8054</v>
      </c>
    </row>
    <row r="32" spans="1:2">
      <c r="A32" s="75" t="str">
        <f>'TC 07-2023'!C32</f>
        <v>Engenheiro agrônomo pleno</v>
      </c>
      <c r="B32" s="74" t="str">
        <f>'TC 07-2023'!B32</f>
        <v>P8055</v>
      </c>
    </row>
    <row r="33" spans="1:2">
      <c r="A33" s="75" t="str">
        <f>'TC 07-2023'!C33</f>
        <v>Engenheiro agrônomo sênior</v>
      </c>
      <c r="B33" s="74" t="str">
        <f>'TC 07-2023'!B33</f>
        <v>P8056</v>
      </c>
    </row>
    <row r="34" spans="1:2">
      <c r="A34" s="75" t="str">
        <f>'TC 07-2023'!C34</f>
        <v>Engenheiro ambiental júnior</v>
      </c>
      <c r="B34" s="74" t="str">
        <f>'TC 07-2023'!B34</f>
        <v>P8057</v>
      </c>
    </row>
    <row r="35" spans="1:2">
      <c r="A35" s="75" t="str">
        <f>'TC 07-2023'!C35</f>
        <v>Engenheiro ambiental pleno</v>
      </c>
      <c r="B35" s="74" t="str">
        <f>'TC 07-2023'!B35</f>
        <v>P8058</v>
      </c>
    </row>
    <row r="36" spans="1:2">
      <c r="A36" s="75" t="str">
        <f>'TC 07-2023'!C36</f>
        <v>Engenheiro ambiental sênior</v>
      </c>
      <c r="B36" s="74" t="str">
        <f>'TC 07-2023'!B36</f>
        <v>P8059</v>
      </c>
    </row>
    <row r="37" spans="1:2">
      <c r="A37" s="75" t="str">
        <f>'TC 07-2023'!C37</f>
        <v>Engenheiro consultor especial</v>
      </c>
      <c r="B37" s="74" t="str">
        <f>'TC 07-2023'!B37</f>
        <v>P8060</v>
      </c>
    </row>
    <row r="38" spans="1:2">
      <c r="A38" s="75" t="str">
        <f>'TC 07-2023'!C38</f>
        <v>Engenheiro coordenador</v>
      </c>
      <c r="B38" s="74" t="str">
        <f>'TC 07-2023'!B38</f>
        <v>P8061</v>
      </c>
    </row>
    <row r="39" spans="1:2">
      <c r="A39" s="75" t="str">
        <f>'TC 07-2023'!C39</f>
        <v>Engenheiro de pesca júnior</v>
      </c>
      <c r="B39" s="74" t="str">
        <f>'TC 07-2023'!B39</f>
        <v>P8062</v>
      </c>
    </row>
    <row r="40" spans="1:2">
      <c r="A40" s="75" t="str">
        <f>'TC 07-2023'!C40</f>
        <v>Engenheiro de pesca pleno</v>
      </c>
      <c r="B40" s="74" t="str">
        <f>'TC 07-2023'!B40</f>
        <v>P8063</v>
      </c>
    </row>
    <row r="41" spans="1:2">
      <c r="A41" s="75" t="str">
        <f>'TC 07-2023'!C41</f>
        <v>Engenheiro de pesca sênior</v>
      </c>
      <c r="B41" s="74" t="str">
        <f>'TC 07-2023'!B41</f>
        <v>P8064</v>
      </c>
    </row>
    <row r="42" spans="1:2">
      <c r="A42" s="75" t="str">
        <f>'TC 07-2023'!C42</f>
        <v>Engenheiro de projetos júnior</v>
      </c>
      <c r="B42" s="74" t="str">
        <f>'TC 07-2023'!B42</f>
        <v>P8065</v>
      </c>
    </row>
    <row r="43" spans="1:2">
      <c r="A43" s="75" t="str">
        <f>'TC 07-2023'!C43</f>
        <v>Engenheiro de projetos pleno</v>
      </c>
      <c r="B43" s="74" t="str">
        <f>'TC 07-2023'!B43</f>
        <v>P8066</v>
      </c>
    </row>
    <row r="44" spans="1:2">
      <c r="A44" s="75" t="str">
        <f>'TC 07-2023'!C44</f>
        <v>Engenheiro de projetos sênior</v>
      </c>
      <c r="B44" s="74" t="str">
        <f>'TC 07-2023'!B44</f>
        <v>P8067</v>
      </c>
    </row>
    <row r="45" spans="1:2">
      <c r="A45" s="75" t="str">
        <f>'TC 07-2023'!C45</f>
        <v>Engenheiro florestal júnior</v>
      </c>
      <c r="B45" s="74" t="str">
        <f>'TC 07-2023'!B45</f>
        <v>P8068</v>
      </c>
    </row>
    <row r="46" spans="1:2">
      <c r="A46" s="75" t="str">
        <f>'TC 07-2023'!C46</f>
        <v>Engenheiro florestal pleno</v>
      </c>
      <c r="B46" s="74" t="str">
        <f>'TC 07-2023'!B46</f>
        <v>P8069</v>
      </c>
    </row>
    <row r="47" spans="1:2">
      <c r="A47" s="75" t="str">
        <f>'TC 07-2023'!C47</f>
        <v>Engenheiro florestal sênior</v>
      </c>
      <c r="B47" s="74" t="str">
        <f>'TC 07-2023'!B47</f>
        <v>P8070</v>
      </c>
    </row>
    <row r="48" spans="1:2">
      <c r="A48" s="75" t="str">
        <f>'TC 07-2023'!C48</f>
        <v>Geólogo júnior</v>
      </c>
      <c r="B48" s="74" t="str">
        <f>'TC 07-2023'!B48</f>
        <v>P8080</v>
      </c>
    </row>
    <row r="49" spans="1:2">
      <c r="A49" s="75" t="str">
        <f>'TC 07-2023'!C49</f>
        <v>Geólogo pleno</v>
      </c>
      <c r="B49" s="74" t="str">
        <f>'TC 07-2023'!B49</f>
        <v>P8081</v>
      </c>
    </row>
    <row r="50" spans="1:2">
      <c r="A50" s="75" t="str">
        <f>'TC 07-2023'!C50</f>
        <v>Geólogo sênior</v>
      </c>
      <c r="B50" s="74" t="str">
        <f>'TC 07-2023'!B50</f>
        <v>P8082</v>
      </c>
    </row>
    <row r="51" spans="1:2">
      <c r="A51" s="75" t="str">
        <f>'TC 07-2023'!C51</f>
        <v>Jornalista júnior</v>
      </c>
      <c r="B51" s="74" t="str">
        <f>'TC 07-2023'!B51</f>
        <v>P8092</v>
      </c>
    </row>
    <row r="52" spans="1:2">
      <c r="A52" s="75" t="str">
        <f>'TC 07-2023'!C52</f>
        <v>Jornalista pleno</v>
      </c>
      <c r="B52" s="74" t="str">
        <f>'TC 07-2023'!B52</f>
        <v>P8093</v>
      </c>
    </row>
    <row r="53" spans="1:2">
      <c r="A53" s="75" t="str">
        <f>'TC 07-2023'!C53</f>
        <v>Jornalista sênior</v>
      </c>
      <c r="B53" s="74" t="str">
        <f>'TC 07-2023'!B53</f>
        <v>P8094</v>
      </c>
    </row>
    <row r="54" spans="1:2">
      <c r="A54" s="75" t="str">
        <f>'TC 07-2023'!C54</f>
        <v>Laboratorista</v>
      </c>
      <c r="B54" s="74" t="str">
        <f>'TC 07-2023'!B54</f>
        <v>P8098</v>
      </c>
    </row>
    <row r="55" spans="1:2">
      <c r="A55" s="75" t="str">
        <f>'TC 07-2023'!C55</f>
        <v>Médico veterinário</v>
      </c>
      <c r="B55" s="74" t="str">
        <f>'TC 07-2023'!B55</f>
        <v>P8102</v>
      </c>
    </row>
    <row r="56" spans="1:2">
      <c r="A56" s="75" t="str">
        <f>'TC 07-2023'!C56</f>
        <v>Meteorologista júnior</v>
      </c>
      <c r="B56" s="74" t="str">
        <f>'TC 07-2023'!B56</f>
        <v>P8106</v>
      </c>
    </row>
    <row r="57" spans="1:2">
      <c r="A57" s="75" t="str">
        <f>'TC 07-2023'!C57</f>
        <v>Meteorologista pleno</v>
      </c>
      <c r="B57" s="74" t="str">
        <f>'TC 07-2023'!B57</f>
        <v>P8107</v>
      </c>
    </row>
    <row r="58" spans="1:2">
      <c r="A58" s="75" t="str">
        <f>'TC 07-2023'!C58</f>
        <v>Meteorologista sênior</v>
      </c>
      <c r="B58" s="74" t="str">
        <f>'TC 07-2023'!B58</f>
        <v>P8108</v>
      </c>
    </row>
    <row r="59" spans="1:2">
      <c r="A59" s="75" t="str">
        <f>'TC 07-2023'!C59</f>
        <v>Motorista de caminhão</v>
      </c>
      <c r="B59" s="74" t="str">
        <f>'TC 07-2023'!B59</f>
        <v>P8112</v>
      </c>
    </row>
    <row r="60" spans="1:2">
      <c r="A60" s="75" t="str">
        <f>'TC 07-2023'!C60</f>
        <v>Motorista de veículo leve</v>
      </c>
      <c r="B60" s="74" t="str">
        <f>'TC 07-2023'!B60</f>
        <v>P8113</v>
      </c>
    </row>
    <row r="61" spans="1:2">
      <c r="A61" s="75" t="str">
        <f>'TC 07-2023'!C61</f>
        <v>Oceanógrafo júnior</v>
      </c>
      <c r="B61" s="74" t="str">
        <f>'TC 07-2023'!B61</f>
        <v>P8117</v>
      </c>
    </row>
    <row r="62" spans="1:2">
      <c r="A62" s="75" t="str">
        <f>'TC 07-2023'!C62</f>
        <v>Oceanógrafo pleno</v>
      </c>
      <c r="B62" s="74" t="str">
        <f>'TC 07-2023'!B62</f>
        <v>P8118</v>
      </c>
    </row>
    <row r="63" spans="1:2">
      <c r="A63" s="75" t="str">
        <f>'TC 07-2023'!C63</f>
        <v>Oceanógrafo sênior</v>
      </c>
      <c r="B63" s="74" t="str">
        <f>'TC 07-2023'!B63</f>
        <v>P8119</v>
      </c>
    </row>
    <row r="64" spans="1:2">
      <c r="A64" s="75" t="str">
        <f>'TC 07-2023'!C64</f>
        <v>Pedagogo júnior</v>
      </c>
      <c r="B64" s="74" t="str">
        <f>'TC 07-2023'!B64</f>
        <v>P8129</v>
      </c>
    </row>
    <row r="65" spans="1:2">
      <c r="A65" s="75" t="str">
        <f>'TC 07-2023'!C65</f>
        <v>Pedagogo pleno</v>
      </c>
      <c r="B65" s="74" t="str">
        <f>'TC 07-2023'!B65</f>
        <v>P8130</v>
      </c>
    </row>
    <row r="66" spans="1:2">
      <c r="A66" s="75" t="str">
        <f>'TC 07-2023'!C66</f>
        <v>Pedagogo sênior</v>
      </c>
      <c r="B66" s="74" t="str">
        <f>'TC 07-2023'!B66</f>
        <v>P8131</v>
      </c>
    </row>
    <row r="67" spans="1:2">
      <c r="A67" s="75" t="str">
        <f>'TC 07-2023'!C67</f>
        <v>Secretária</v>
      </c>
      <c r="B67" s="74" t="str">
        <f>'TC 07-2023'!B67</f>
        <v>P8135</v>
      </c>
    </row>
    <row r="68" spans="1:2">
      <c r="A68" s="75" t="str">
        <f>'TC 07-2023'!C68</f>
        <v>Sondador</v>
      </c>
      <c r="B68" s="74" t="str">
        <f>'TC 07-2023'!B68</f>
        <v>P8139</v>
      </c>
    </row>
    <row r="69" spans="1:2">
      <c r="A69" s="75" t="str">
        <f>'TC 07-2023'!C69</f>
        <v>Técnico ambiental</v>
      </c>
      <c r="B69" s="74" t="str">
        <f>'TC 07-2023'!B69</f>
        <v>P8143</v>
      </c>
    </row>
    <row r="70" spans="1:2">
      <c r="A70" s="75" t="str">
        <f>'TC 07-2023'!C70</f>
        <v>Técnico de obras</v>
      </c>
      <c r="B70" s="74" t="str">
        <f>'TC 07-2023'!B70</f>
        <v>P8147</v>
      </c>
    </row>
    <row r="71" spans="1:2">
      <c r="A71" s="75" t="str">
        <f>'TC 07-2023'!C71</f>
        <v>Técnico de segurança do trabalho</v>
      </c>
      <c r="B71" s="74" t="str">
        <f>'TC 07-2023'!B71</f>
        <v>P8151</v>
      </c>
    </row>
    <row r="72" spans="1:2">
      <c r="A72" s="75" t="str">
        <f>'TC 07-2023'!C72</f>
        <v>Técnico em geoprocessamento</v>
      </c>
      <c r="B72" s="74" t="str">
        <f>'TC 07-2023'!B72</f>
        <v>P8155</v>
      </c>
    </row>
    <row r="73" spans="1:2">
      <c r="A73" s="75" t="str">
        <f>'TC 07-2023'!C73</f>
        <v>Técnico em informática - programador</v>
      </c>
      <c r="B73" s="74" t="str">
        <f>'TC 07-2023'!B73</f>
        <v>P8159</v>
      </c>
    </row>
    <row r="74" spans="1:2">
      <c r="A74" s="75" t="str">
        <f>'TC 07-2023'!C74</f>
        <v>Topógrafo</v>
      </c>
      <c r="B74" s="74" t="str">
        <f>'TC 07-2023'!B74</f>
        <v>P8163</v>
      </c>
    </row>
    <row r="75" spans="1:2">
      <c r="A75" s="75" t="str">
        <f>'TC 07-2023'!C75</f>
        <v>Arquivista júnior</v>
      </c>
      <c r="B75" s="74" t="str">
        <f>'TC 07-2023'!B75</f>
        <v>P8167</v>
      </c>
    </row>
    <row r="76" spans="1:2">
      <c r="A76" s="75" t="str">
        <f>'TC 07-2023'!C76</f>
        <v>Arquivista pleno</v>
      </c>
      <c r="B76" s="74" t="str">
        <f>'TC 07-2023'!B76</f>
        <v>P8168</v>
      </c>
    </row>
    <row r="77" spans="1:2">
      <c r="A77" s="75" t="str">
        <f>'TC 07-2023'!C77</f>
        <v>Arquivista sênior</v>
      </c>
      <c r="B77" s="74" t="str">
        <f>'TC 07-2023'!B77</f>
        <v>P8169</v>
      </c>
    </row>
    <row r="78" spans="1:2">
      <c r="A78" s="75" t="str">
        <f>'TC 07-2023'!C78</f>
        <v>Administrador júnior</v>
      </c>
      <c r="B78" s="74" t="str">
        <f>'TC 07-2023'!B78</f>
        <v>P8173</v>
      </c>
    </row>
    <row r="79" spans="1:2">
      <c r="A79" s="75" t="str">
        <f>'TC 07-2023'!C79</f>
        <v>Administrador pleno</v>
      </c>
      <c r="B79" s="74" t="str">
        <f>'TC 07-2023'!B79</f>
        <v>P8174</v>
      </c>
    </row>
    <row r="80" spans="1:2">
      <c r="A80" s="75" t="str">
        <f>'TC 07-2023'!C80</f>
        <v>Administrador sênior</v>
      </c>
      <c r="B80" s="74" t="str">
        <f>'TC 07-2023'!B80</f>
        <v>P8175</v>
      </c>
    </row>
    <row r="81" spans="1:2">
      <c r="A81" s="75" t="str">
        <f>'TC 07-2023'!C81</f>
        <v>Engenheiro agrimensor júnior</v>
      </c>
      <c r="B81" s="74" t="str">
        <f>'TC 07-2023'!B81</f>
        <v>P8180</v>
      </c>
    </row>
    <row r="82" spans="1:2">
      <c r="A82" s="75" t="str">
        <f>'TC 07-2023'!C82</f>
        <v>Engenheiro agrimensor pleno</v>
      </c>
      <c r="B82" s="74" t="str">
        <f>'TC 07-2023'!B82</f>
        <v>P8181</v>
      </c>
    </row>
    <row r="83" spans="1:2">
      <c r="A83" s="75" t="str">
        <f>'TC 07-2023'!C83</f>
        <v>Engenheiro agrimensor sênior</v>
      </c>
      <c r="B83" s="74" t="str">
        <f>'TC 07-2023'!B83</f>
        <v>P8182</v>
      </c>
    </row>
    <row r="84" spans="1:2">
      <c r="A84" s="75" t="str">
        <f>'TC 07-2023'!C84</f>
        <v>Geógrafo júnior</v>
      </c>
      <c r="B84" s="74" t="str">
        <f>'TC 07-2023'!B84</f>
        <v>P8183</v>
      </c>
    </row>
    <row r="85" spans="1:2">
      <c r="A85" s="75" t="str">
        <f>'TC 07-2023'!C85</f>
        <v>Geógrafo pleno</v>
      </c>
      <c r="B85" s="74" t="str">
        <f>'TC 07-2023'!B85</f>
        <v>P8184</v>
      </c>
    </row>
    <row r="86" spans="1:2">
      <c r="A86" s="75" t="str">
        <f>'TC 07-2023'!C86</f>
        <v>Geógrafo sênior</v>
      </c>
      <c r="B86" s="74" t="str">
        <f>'TC 07-2023'!B86</f>
        <v>P8185</v>
      </c>
    </row>
    <row r="87" spans="1:2">
      <c r="A87" s="75" t="str">
        <f>'TC 07-2023'!C87</f>
        <v>Antropólogo júnior</v>
      </c>
      <c r="B87" s="74" t="str">
        <f>'TC 07-2023'!B87</f>
        <v>P8186</v>
      </c>
    </row>
    <row r="88" spans="1:2">
      <c r="A88" s="75" t="str">
        <f>'TC 07-2023'!C88</f>
        <v>Antropólogo pleno</v>
      </c>
      <c r="B88" s="74" t="str">
        <f>'TC 07-2023'!B88</f>
        <v>P8187</v>
      </c>
    </row>
    <row r="89" spans="1:2">
      <c r="A89" s="75" t="str">
        <f>'TC 07-2023'!C89</f>
        <v>Antropólogo sênior</v>
      </c>
      <c r="B89" s="74" t="str">
        <f>'TC 07-2023'!B89</f>
        <v>P8188</v>
      </c>
    </row>
    <row r="90" spans="1:2">
      <c r="A90" s="75" t="str">
        <f>'TC 07-2023'!C90</f>
        <v>Arqueólogo júnior</v>
      </c>
      <c r="B90" s="74" t="str">
        <f>'TC 07-2023'!B90</f>
        <v>P8189</v>
      </c>
    </row>
    <row r="91" spans="1:2">
      <c r="A91" s="75" t="str">
        <f>'TC 07-2023'!C91</f>
        <v>Arqueólogo pleno</v>
      </c>
      <c r="B91" s="74" t="str">
        <f>'TC 07-2023'!B91</f>
        <v>P8190</v>
      </c>
    </row>
    <row r="92" spans="1:2">
      <c r="A92" s="75" t="str">
        <f>'TC 07-2023'!C92</f>
        <v>Arqueólogo sênior</v>
      </c>
      <c r="B92" s="74" t="str">
        <f>'TC 07-2023'!B92</f>
        <v>P8191</v>
      </c>
    </row>
    <row r="93" spans="1:2">
      <c r="A93" s="75" t="str">
        <f>'TC 07-2023'!C93</f>
        <v>Historiador júnior</v>
      </c>
      <c r="B93" s="74" t="str">
        <f>'TC 07-2023'!B93</f>
        <v>P8192</v>
      </c>
    </row>
    <row r="94" spans="1:2">
      <c r="A94" s="75" t="str">
        <f>'TC 07-2023'!C94</f>
        <v>Historiador pleno</v>
      </c>
      <c r="B94" s="74" t="str">
        <f>'TC 07-2023'!B94</f>
        <v>P8193</v>
      </c>
    </row>
    <row r="95" spans="1:2">
      <c r="A95" s="75" t="str">
        <f>'TC 07-2023'!C95</f>
        <v>Historiador sênior</v>
      </c>
      <c r="B95" s="74" t="str">
        <f>'TC 07-2023'!B95</f>
        <v>P8194</v>
      </c>
    </row>
    <row r="96" spans="1:2">
      <c r="A96" s="75" t="str">
        <f>'TC 07-2023'!C96</f>
        <v>Paleontólogo júnior</v>
      </c>
      <c r="B96" s="74" t="str">
        <f>'TC 07-2023'!B96</f>
        <v>P8195</v>
      </c>
    </row>
    <row r="97" spans="1:2">
      <c r="A97" s="75" t="str">
        <f>'TC 07-2023'!C97</f>
        <v>Paleontólogo pleno</v>
      </c>
      <c r="B97" s="74" t="str">
        <f>'TC 07-2023'!B97</f>
        <v>P8196</v>
      </c>
    </row>
    <row r="98" spans="1:2">
      <c r="A98" s="75" t="str">
        <f>'TC 07-2023'!C98</f>
        <v>Paleontólogo sênior</v>
      </c>
      <c r="B98" s="74" t="str">
        <f>'TC 07-2023'!B98</f>
        <v>P8197</v>
      </c>
    </row>
    <row r="99" spans="1:2">
      <c r="A99" s="75" t="str">
        <f>'TC 07-2023'!C99</f>
        <v>Sociólogo júnior</v>
      </c>
      <c r="B99" s="74" t="str">
        <f>'TC 07-2023'!B99</f>
        <v>P8198</v>
      </c>
    </row>
    <row r="100" spans="1:2">
      <c r="A100" s="75" t="str">
        <f>'TC 07-2023'!C100</f>
        <v>Sociólogo pleno</v>
      </c>
      <c r="B100" s="74" t="str">
        <f>'TC 07-2023'!B100</f>
        <v>P8199</v>
      </c>
    </row>
    <row r="101" spans="1:2">
      <c r="A101" s="75" t="str">
        <f>'TC 07-2023'!C101</f>
        <v>Sociólogo sênior</v>
      </c>
      <c r="B101" s="74" t="str">
        <f>'TC 07-2023'!B101</f>
        <v>P8200</v>
      </c>
    </row>
    <row r="102" spans="1:2">
      <c r="A102" s="85"/>
      <c r="B102" s="86"/>
    </row>
    <row r="104" spans="1:2" ht="15.75" thickBot="1">
      <c r="A104" s="78" t="s">
        <v>266</v>
      </c>
      <c r="B104"/>
    </row>
    <row r="105" spans="1:2">
      <c r="A105" s="838" t="s">
        <v>268</v>
      </c>
      <c r="B105" s="840" t="s">
        <v>267</v>
      </c>
    </row>
    <row r="106" spans="1:2" ht="15.75" thickBot="1">
      <c r="A106" s="839"/>
      <c r="B106" s="841"/>
    </row>
    <row r="107" spans="1:2">
      <c r="A107" s="80" t="s">
        <v>271</v>
      </c>
      <c r="B107" s="79" t="s">
        <v>270</v>
      </c>
    </row>
    <row r="108" spans="1:2">
      <c r="A108" s="76" t="s">
        <v>274</v>
      </c>
      <c r="B108" s="81" t="s">
        <v>273</v>
      </c>
    </row>
    <row r="109" spans="1:2" ht="15.75" thickBot="1">
      <c r="A109" s="77" t="s">
        <v>276</v>
      </c>
      <c r="B109" s="82" t="s">
        <v>275</v>
      </c>
    </row>
  </sheetData>
  <mergeCells count="4">
    <mergeCell ref="A1:A3"/>
    <mergeCell ref="B1:B3"/>
    <mergeCell ref="A105:A106"/>
    <mergeCell ref="B105:B106"/>
  </mergeCells>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B855C-19FB-420B-8CE7-3B374F56867D}">
  <sheetPr>
    <tabColor rgb="FF00B050"/>
  </sheetPr>
  <dimension ref="A1:L7"/>
  <sheetViews>
    <sheetView workbookViewId="0">
      <selection sqref="A1:A2"/>
    </sheetView>
  </sheetViews>
  <sheetFormatPr defaultRowHeight="15"/>
  <cols>
    <col min="1" max="1" width="9.140625" style="109"/>
    <col min="2" max="2" width="54.140625" style="109" customWidth="1"/>
    <col min="3" max="3" width="11.5703125" style="109" customWidth="1"/>
    <col min="4" max="7" width="12.42578125" style="109" customWidth="1"/>
    <col min="8" max="9" width="12" style="109" customWidth="1"/>
    <col min="10" max="10" width="25.7109375" style="109" customWidth="1"/>
    <col min="11" max="12" width="13" style="109" customWidth="1"/>
    <col min="13" max="16384" width="9.140625" style="109"/>
  </cols>
  <sheetData>
    <row r="1" spans="1:12" ht="41.25" customHeight="1">
      <c r="A1" s="789" t="s">
        <v>299</v>
      </c>
      <c r="B1" s="789" t="s">
        <v>300</v>
      </c>
      <c r="C1" s="107" t="s">
        <v>365</v>
      </c>
      <c r="D1" s="789" t="s">
        <v>301</v>
      </c>
      <c r="E1" s="789" t="s">
        <v>302</v>
      </c>
      <c r="F1" s="789" t="s">
        <v>303</v>
      </c>
      <c r="G1" s="789" t="s">
        <v>304</v>
      </c>
      <c r="H1" s="789" t="s">
        <v>305</v>
      </c>
      <c r="I1" s="789"/>
      <c r="J1" s="108" t="s">
        <v>312</v>
      </c>
      <c r="K1" s="789" t="s">
        <v>306</v>
      </c>
      <c r="L1" s="789"/>
    </row>
    <row r="2" spans="1:12" ht="16.5" customHeight="1">
      <c r="A2" s="789"/>
      <c r="B2" s="789"/>
      <c r="C2" s="107"/>
      <c r="D2" s="789"/>
      <c r="E2" s="789"/>
      <c r="F2" s="789"/>
      <c r="G2" s="789"/>
      <c r="H2" s="107" t="s">
        <v>307</v>
      </c>
      <c r="I2" s="107" t="s">
        <v>269</v>
      </c>
      <c r="J2" s="110" t="s">
        <v>313</v>
      </c>
      <c r="K2" s="107" t="s">
        <v>307</v>
      </c>
      <c r="L2" s="107" t="s">
        <v>269</v>
      </c>
    </row>
    <row r="3" spans="1:12" ht="33.75" customHeight="1">
      <c r="A3" s="111" t="s">
        <v>295</v>
      </c>
      <c r="B3" s="112" t="s">
        <v>296</v>
      </c>
      <c r="C3" s="114" t="s">
        <v>316</v>
      </c>
      <c r="D3" s="113">
        <v>9641.1290000000008</v>
      </c>
      <c r="E3" s="114">
        <v>0.77129999999999999</v>
      </c>
      <c r="F3" s="114">
        <v>0.15690000000000001</v>
      </c>
      <c r="G3" s="114">
        <v>0.48209999999999997</v>
      </c>
      <c r="H3" s="111">
        <v>1.4103000000000001</v>
      </c>
      <c r="I3" s="111">
        <v>0.92820000000000003</v>
      </c>
      <c r="J3" s="119">
        <f>Dados!$C$11</f>
        <v>1.1387937010993363</v>
      </c>
      <c r="K3" s="111">
        <f>ROUND(H3*J3,4)</f>
        <v>1.6060000000000001</v>
      </c>
      <c r="L3" s="111">
        <f>ROUND(I3*J3,4)</f>
        <v>1.0569999999999999</v>
      </c>
    </row>
    <row r="4" spans="1:12" ht="33.75" customHeight="1">
      <c r="A4" s="111" t="s">
        <v>297</v>
      </c>
      <c r="B4" s="112" t="s">
        <v>298</v>
      </c>
      <c r="C4" s="114" t="s">
        <v>316</v>
      </c>
      <c r="D4" s="113">
        <v>6467.2437</v>
      </c>
      <c r="E4" s="114">
        <v>0.51739999999999997</v>
      </c>
      <c r="F4" s="114">
        <v>0.1053</v>
      </c>
      <c r="G4" s="114">
        <v>0.32340000000000002</v>
      </c>
      <c r="H4" s="111">
        <v>0.94610000000000005</v>
      </c>
      <c r="I4" s="111">
        <v>0.62270000000000003</v>
      </c>
      <c r="J4" s="119">
        <f>Dados!$C$11</f>
        <v>1.1387937010993363</v>
      </c>
      <c r="K4" s="111">
        <f>ROUND(H4*J4,4)</f>
        <v>1.0773999999999999</v>
      </c>
      <c r="L4" s="111">
        <f>ROUND(I4*J4,4)</f>
        <v>0.70909999999999995</v>
      </c>
    </row>
    <row r="5" spans="1:12">
      <c r="B5" s="115"/>
      <c r="C5" s="115"/>
    </row>
    <row r="6" spans="1:12" ht="15.75">
      <c r="B6" s="116"/>
      <c r="C6" s="116"/>
    </row>
    <row r="7" spans="1:12">
      <c r="B7" s="117"/>
      <c r="C7" s="117"/>
    </row>
  </sheetData>
  <mergeCells count="8">
    <mergeCell ref="H1:I1"/>
    <mergeCell ref="K1:L1"/>
    <mergeCell ref="A1:A2"/>
    <mergeCell ref="B1:B2"/>
    <mergeCell ref="D1:D2"/>
    <mergeCell ref="E1:E2"/>
    <mergeCell ref="F1:F2"/>
    <mergeCell ref="G1:G2"/>
  </mergeCells>
  <pageMargins left="0.511811024" right="0.511811024" top="0.78740157499999996" bottom="0.78740157499999996" header="0.31496062000000002" footer="0.31496062000000002"/>
  <pageSetup paperSize="9"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E3DAD-C3BD-4952-A429-D97B5C36E63A}">
  <sheetPr>
    <tabColor rgb="FF002060"/>
    <pageSetUpPr fitToPage="1"/>
  </sheetPr>
  <dimension ref="B1:AS27"/>
  <sheetViews>
    <sheetView showGridLines="0" topLeftCell="G1" zoomScale="115" zoomScaleNormal="115" workbookViewId="0">
      <selection activeCell="G7" sqref="G7"/>
    </sheetView>
  </sheetViews>
  <sheetFormatPr defaultRowHeight="12.75"/>
  <cols>
    <col min="1" max="1" width="2.140625" style="190" customWidth="1"/>
    <col min="2" max="2" width="10" style="190" customWidth="1"/>
    <col min="3" max="3" width="34.85546875" style="190" customWidth="1"/>
    <col min="4" max="4" width="42.85546875" style="190" customWidth="1"/>
    <col min="5" max="6" width="18" style="261" hidden="1" customWidth="1"/>
    <col min="7" max="7" width="18.85546875" style="190" customWidth="1"/>
    <col min="8" max="8" width="10.5703125" style="513" customWidth="1"/>
    <col min="9" max="9" width="9" style="190" customWidth="1"/>
    <col min="10" max="10" width="9.85546875" style="190" customWidth="1"/>
    <col min="11" max="11" width="9" style="190" customWidth="1"/>
    <col min="12" max="12" width="11" style="190" customWidth="1"/>
    <col min="13" max="19" width="4.140625" style="510" customWidth="1"/>
    <col min="20" max="21" width="4.140625" style="189" customWidth="1"/>
    <col min="22" max="38" width="4.140625" style="510" customWidth="1"/>
    <col min="39" max="39" width="5" style="510" customWidth="1"/>
    <col min="40" max="40" width="4.140625" style="510" customWidth="1"/>
    <col min="41" max="42" width="4.5703125" style="510" customWidth="1"/>
    <col min="43" max="43" width="4.140625" style="510" customWidth="1"/>
    <col min="44" max="16384" width="9.140625" style="190"/>
  </cols>
  <sheetData>
    <row r="1" spans="2:45">
      <c r="G1" s="506"/>
      <c r="H1" s="507"/>
      <c r="I1" s="508"/>
      <c r="J1" s="509"/>
      <c r="K1" s="509"/>
      <c r="L1" s="509"/>
      <c r="T1" s="510"/>
      <c r="U1" s="510"/>
    </row>
    <row r="2" spans="2:45" ht="25.5" customHeight="1">
      <c r="B2" s="652" t="s">
        <v>799</v>
      </c>
      <c r="C2" s="651"/>
      <c r="D2" s="652"/>
      <c r="E2" s="653" t="s">
        <v>570</v>
      </c>
      <c r="F2" s="653">
        <f>Dados!C5</f>
        <v>4360</v>
      </c>
      <c r="G2" s="652"/>
      <c r="H2" s="654"/>
      <c r="I2" s="652"/>
      <c r="J2" s="652"/>
      <c r="K2" s="652"/>
      <c r="L2" s="652"/>
      <c r="M2" s="652"/>
      <c r="N2" s="652"/>
      <c r="O2" s="652"/>
      <c r="P2" s="652"/>
      <c r="Q2" s="652"/>
      <c r="R2" s="652"/>
      <c r="S2" s="652"/>
      <c r="T2" s="652"/>
      <c r="U2" s="652"/>
      <c r="V2" s="652"/>
      <c r="W2" s="652"/>
      <c r="X2" s="652"/>
      <c r="Y2" s="651"/>
      <c r="Z2" s="651"/>
      <c r="AA2" s="651"/>
      <c r="AB2" s="651"/>
      <c r="AC2" s="651"/>
      <c r="AD2" s="651"/>
      <c r="AE2" s="651"/>
      <c r="AF2" s="651"/>
      <c r="AG2" s="651"/>
      <c r="AH2" s="651"/>
      <c r="AI2" s="651"/>
      <c r="AJ2" s="651"/>
      <c r="AK2" s="651"/>
      <c r="AL2" s="651"/>
      <c r="AM2" s="651"/>
      <c r="AN2" s="651"/>
      <c r="AO2" s="651"/>
      <c r="AP2" s="651"/>
      <c r="AQ2" s="651"/>
    </row>
    <row r="3" spans="2:45" ht="15">
      <c r="B3" s="486"/>
      <c r="C3" s="487"/>
      <c r="D3" s="487"/>
      <c r="E3" s="486"/>
      <c r="F3" s="486"/>
      <c r="G3" s="487"/>
      <c r="H3" s="488"/>
      <c r="I3" s="487"/>
      <c r="J3" s="487"/>
      <c r="K3" s="487"/>
      <c r="L3" s="487"/>
      <c r="M3" s="489"/>
      <c r="N3" s="489"/>
      <c r="O3" s="489"/>
      <c r="P3" s="489"/>
      <c r="Q3" s="489"/>
      <c r="R3" s="489"/>
      <c r="S3" s="489"/>
      <c r="T3" s="489"/>
      <c r="U3" s="489"/>
      <c r="V3" s="489"/>
      <c r="W3" s="489"/>
      <c r="X3" s="489"/>
    </row>
    <row r="4" spans="2:45" ht="43.5" customHeight="1">
      <c r="B4" s="731" t="s">
        <v>334</v>
      </c>
      <c r="C4" s="731" t="s">
        <v>439</v>
      </c>
      <c r="D4" s="731" t="s">
        <v>440</v>
      </c>
      <c r="E4" s="490"/>
      <c r="F4" s="490"/>
      <c r="G4" s="731" t="s">
        <v>441</v>
      </c>
      <c r="H4" s="732" t="s">
        <v>164</v>
      </c>
      <c r="I4" s="729" t="s">
        <v>442</v>
      </c>
      <c r="J4" s="729"/>
      <c r="K4" s="729"/>
      <c r="L4" s="491" t="s">
        <v>752</v>
      </c>
      <c r="M4" s="730" t="s">
        <v>443</v>
      </c>
      <c r="N4" s="730"/>
      <c r="O4" s="730"/>
      <c r="P4" s="730"/>
      <c r="Q4" s="730"/>
      <c r="R4" s="730"/>
      <c r="S4" s="730"/>
      <c r="T4" s="730"/>
      <c r="U4" s="730"/>
      <c r="V4" s="730"/>
      <c r="W4" s="730"/>
      <c r="X4" s="492" t="s">
        <v>265</v>
      </c>
      <c r="Y4" s="728" t="s">
        <v>444</v>
      </c>
      <c r="Z4" s="728"/>
      <c r="AA4" s="728"/>
      <c r="AB4" s="728" t="s">
        <v>445</v>
      </c>
      <c r="AC4" s="728"/>
      <c r="AD4" s="728"/>
      <c r="AE4" s="728"/>
      <c r="AF4" s="728" t="s">
        <v>446</v>
      </c>
      <c r="AG4" s="728"/>
      <c r="AH4" s="728" t="s">
        <v>447</v>
      </c>
      <c r="AI4" s="728"/>
      <c r="AJ4" s="572" t="s">
        <v>746</v>
      </c>
      <c r="AK4" s="573" t="s">
        <v>265</v>
      </c>
      <c r="AL4" s="574" t="s">
        <v>448</v>
      </c>
      <c r="AM4" s="725" t="s">
        <v>449</v>
      </c>
      <c r="AN4" s="726"/>
      <c r="AO4" s="727"/>
      <c r="AP4" s="574" t="s">
        <v>450</v>
      </c>
      <c r="AQ4" s="574" t="s">
        <v>751</v>
      </c>
    </row>
    <row r="5" spans="2:45" ht="18.75" customHeight="1">
      <c r="B5" s="731"/>
      <c r="C5" s="731"/>
      <c r="D5" s="731"/>
      <c r="E5" s="490"/>
      <c r="F5" s="490"/>
      <c r="G5" s="731"/>
      <c r="H5" s="732"/>
      <c r="I5" s="556" t="s">
        <v>451</v>
      </c>
      <c r="J5" s="556" t="s">
        <v>452</v>
      </c>
      <c r="K5" s="556" t="s">
        <v>774</v>
      </c>
      <c r="L5" s="556" t="s">
        <v>452</v>
      </c>
      <c r="M5" s="493">
        <v>1</v>
      </c>
      <c r="N5" s="493">
        <v>2</v>
      </c>
      <c r="O5" s="493">
        <v>3</v>
      </c>
      <c r="P5" s="493">
        <v>4</v>
      </c>
      <c r="Q5" s="493">
        <v>5</v>
      </c>
      <c r="R5" s="493">
        <v>6</v>
      </c>
      <c r="S5" s="493">
        <v>7</v>
      </c>
      <c r="T5" s="493">
        <v>8</v>
      </c>
      <c r="U5" s="493">
        <v>9</v>
      </c>
      <c r="V5" s="493">
        <v>10</v>
      </c>
      <c r="W5" s="493">
        <v>11</v>
      </c>
      <c r="X5" s="493">
        <v>12</v>
      </c>
      <c r="Y5" s="493">
        <v>13</v>
      </c>
      <c r="Z5" s="493">
        <v>14</v>
      </c>
      <c r="AA5" s="493">
        <v>15</v>
      </c>
      <c r="AB5" s="493">
        <v>16</v>
      </c>
      <c r="AC5" s="493">
        <v>17</v>
      </c>
      <c r="AD5" s="493">
        <v>18</v>
      </c>
      <c r="AE5" s="493">
        <v>19</v>
      </c>
      <c r="AF5" s="493">
        <v>20</v>
      </c>
      <c r="AG5" s="493">
        <v>21</v>
      </c>
      <c r="AH5" s="493">
        <v>22</v>
      </c>
      <c r="AI5" s="493">
        <v>23</v>
      </c>
      <c r="AJ5" s="493">
        <v>24</v>
      </c>
      <c r="AK5" s="493">
        <v>25</v>
      </c>
      <c r="AL5" s="493">
        <v>26</v>
      </c>
      <c r="AM5" s="493">
        <v>27</v>
      </c>
      <c r="AN5" s="493">
        <v>28</v>
      </c>
      <c r="AO5" s="493">
        <v>29</v>
      </c>
      <c r="AP5" s="493">
        <v>30</v>
      </c>
      <c r="AQ5" s="493">
        <v>31</v>
      </c>
    </row>
    <row r="6" spans="2:45" ht="24.75" customHeight="1">
      <c r="B6" s="548">
        <f>'Alocação MO'!B4</f>
        <v>1</v>
      </c>
      <c r="C6" s="549" t="str">
        <f>'Alocação MO'!C4</f>
        <v>Plano de Trabalho</v>
      </c>
      <c r="D6" s="547" t="s">
        <v>658</v>
      </c>
      <c r="E6" s="542">
        <f ca="1">G6</f>
        <v>151690.42000000001</v>
      </c>
      <c r="F6" s="542">
        <f ca="1">E6/$F$2</f>
        <v>34.791380733944955</v>
      </c>
      <c r="G6" s="536">
        <f ca="1">ROUND(VLOOKUP(B6,Recursos!B:J,9,FALSE)*H6,2)</f>
        <v>151690.42000000001</v>
      </c>
      <c r="H6" s="543">
        <v>1</v>
      </c>
      <c r="I6" s="538">
        <v>1</v>
      </c>
      <c r="J6" s="539">
        <v>0.5</v>
      </c>
      <c r="K6" s="544">
        <f>(J6+I6)-1</f>
        <v>0.5</v>
      </c>
      <c r="L6" s="545">
        <v>0.5</v>
      </c>
      <c r="M6" s="603">
        <f t="shared" ref="M6:AB19" si="0">IF(M$5=$K6,0,IF($K6+$L6=M$5,1,IF(AND(M$5&lt;=$K6+$L6,M$5&gt;=$I6),0,"")))</f>
        <v>1</v>
      </c>
      <c r="N6" s="604" t="str">
        <f t="shared" si="0"/>
        <v/>
      </c>
      <c r="O6" s="604" t="str">
        <f t="shared" si="0"/>
        <v/>
      </c>
      <c r="P6" s="604" t="str">
        <f t="shared" si="0"/>
        <v/>
      </c>
      <c r="Q6" s="604" t="str">
        <f t="shared" si="0"/>
        <v/>
      </c>
      <c r="R6" s="604" t="str">
        <f t="shared" si="0"/>
        <v/>
      </c>
      <c r="S6" s="604" t="str">
        <f t="shared" si="0"/>
        <v/>
      </c>
      <c r="T6" s="604" t="str">
        <f t="shared" si="0"/>
        <v/>
      </c>
      <c r="U6" s="604" t="str">
        <f t="shared" si="0"/>
        <v/>
      </c>
      <c r="V6" s="604" t="str">
        <f t="shared" si="0"/>
        <v/>
      </c>
      <c r="W6" s="605" t="str">
        <f t="shared" si="0"/>
        <v/>
      </c>
      <c r="X6" s="552" t="str">
        <f t="shared" si="0"/>
        <v/>
      </c>
      <c r="Y6" s="603" t="str">
        <f t="shared" si="0"/>
        <v/>
      </c>
      <c r="Z6" s="604" t="str">
        <f t="shared" si="0"/>
        <v/>
      </c>
      <c r="AA6" s="605" t="str">
        <f t="shared" si="0"/>
        <v/>
      </c>
      <c r="AB6" s="603" t="str">
        <f t="shared" si="0"/>
        <v/>
      </c>
      <c r="AC6" s="604" t="str">
        <f t="shared" ref="AC6:AQ21" si="1">IF(AC$5=$K6,0,IF($K6+$L6=AC$5,1,IF(AND(AC$5&lt;=$K6+$L6,AC$5&gt;=$I6),0,"")))</f>
        <v/>
      </c>
      <c r="AD6" s="604" t="str">
        <f t="shared" si="1"/>
        <v/>
      </c>
      <c r="AE6" s="605" t="str">
        <f t="shared" si="1"/>
        <v/>
      </c>
      <c r="AF6" s="603" t="str">
        <f t="shared" si="1"/>
        <v/>
      </c>
      <c r="AG6" s="605" t="str">
        <f t="shared" si="1"/>
        <v/>
      </c>
      <c r="AH6" s="603" t="str">
        <f t="shared" si="1"/>
        <v/>
      </c>
      <c r="AI6" s="605" t="str">
        <f t="shared" si="1"/>
        <v/>
      </c>
      <c r="AJ6" s="552" t="str">
        <f t="shared" si="1"/>
        <v/>
      </c>
      <c r="AK6" s="552" t="str">
        <f t="shared" si="1"/>
        <v/>
      </c>
      <c r="AL6" s="552" t="str">
        <f t="shared" si="1"/>
        <v/>
      </c>
      <c r="AM6" s="603" t="str">
        <f t="shared" si="1"/>
        <v/>
      </c>
      <c r="AN6" s="604" t="str">
        <f t="shared" si="1"/>
        <v/>
      </c>
      <c r="AO6" s="605" t="str">
        <f t="shared" si="1"/>
        <v/>
      </c>
      <c r="AP6" s="552" t="str">
        <f t="shared" si="1"/>
        <v/>
      </c>
      <c r="AQ6" s="552" t="str">
        <f t="shared" si="1"/>
        <v/>
      </c>
      <c r="AR6" s="190">
        <v>1</v>
      </c>
      <c r="AS6" s="306" t="s">
        <v>428</v>
      </c>
    </row>
    <row r="7" spans="2:45" ht="24.75" customHeight="1">
      <c r="B7" s="712">
        <f>'Alocação MO'!B5</f>
        <v>2</v>
      </c>
      <c r="C7" s="714" t="str">
        <f>'Alocação MO'!C5</f>
        <v>Dimensão de Mercado e Demanda (EMD)</v>
      </c>
      <c r="D7" s="593" t="s">
        <v>765</v>
      </c>
      <c r="E7" s="702">
        <f ca="1">SUM(G7:G8)</f>
        <v>1847550.22</v>
      </c>
      <c r="F7" s="702">
        <f ca="1">E7/$F$2</f>
        <v>423.75005045871558</v>
      </c>
      <c r="G7" s="575">
        <f ca="1">ROUND(VLOOKUP(B7,Recursos!B:J,9,FALSE)*H7,2)</f>
        <v>369510.04</v>
      </c>
      <c r="H7" s="576">
        <v>0.2</v>
      </c>
      <c r="I7" s="577">
        <v>1</v>
      </c>
      <c r="J7" s="578">
        <v>1</v>
      </c>
      <c r="K7" s="579">
        <f>(J7+I7)-1</f>
        <v>1</v>
      </c>
      <c r="L7" s="580">
        <v>1</v>
      </c>
      <c r="M7" s="606">
        <f t="shared" si="0"/>
        <v>0</v>
      </c>
      <c r="N7" s="607">
        <f t="shared" si="0"/>
        <v>1</v>
      </c>
      <c r="O7" s="607" t="str">
        <f t="shared" si="0"/>
        <v/>
      </c>
      <c r="P7" s="607" t="str">
        <f t="shared" si="0"/>
        <v/>
      </c>
      <c r="Q7" s="607" t="str">
        <f t="shared" si="0"/>
        <v/>
      </c>
      <c r="R7" s="607" t="str">
        <f t="shared" si="0"/>
        <v/>
      </c>
      <c r="S7" s="607" t="str">
        <f t="shared" si="0"/>
        <v/>
      </c>
      <c r="T7" s="607" t="str">
        <f t="shared" si="0"/>
        <v/>
      </c>
      <c r="U7" s="607" t="str">
        <f t="shared" si="0"/>
        <v/>
      </c>
      <c r="V7" s="607" t="str">
        <f t="shared" si="0"/>
        <v/>
      </c>
      <c r="W7" s="608" t="str">
        <f t="shared" si="0"/>
        <v/>
      </c>
      <c r="X7" s="581" t="str">
        <f t="shared" si="0"/>
        <v/>
      </c>
      <c r="Y7" s="606" t="str">
        <f t="shared" si="0"/>
        <v/>
      </c>
      <c r="Z7" s="607" t="str">
        <f t="shared" si="0"/>
        <v/>
      </c>
      <c r="AA7" s="608" t="str">
        <f t="shared" si="0"/>
        <v/>
      </c>
      <c r="AB7" s="606" t="str">
        <f t="shared" si="0"/>
        <v/>
      </c>
      <c r="AC7" s="607" t="str">
        <f t="shared" si="1"/>
        <v/>
      </c>
      <c r="AD7" s="607" t="str">
        <f t="shared" si="1"/>
        <v/>
      </c>
      <c r="AE7" s="608" t="str">
        <f t="shared" si="1"/>
        <v/>
      </c>
      <c r="AF7" s="606" t="str">
        <f t="shared" si="1"/>
        <v/>
      </c>
      <c r="AG7" s="608" t="str">
        <f t="shared" si="1"/>
        <v/>
      </c>
      <c r="AH7" s="606" t="str">
        <f t="shared" si="1"/>
        <v/>
      </c>
      <c r="AI7" s="608" t="str">
        <f t="shared" si="1"/>
        <v/>
      </c>
      <c r="AJ7" s="581" t="str">
        <f t="shared" si="1"/>
        <v/>
      </c>
      <c r="AK7" s="581" t="str">
        <f t="shared" si="1"/>
        <v/>
      </c>
      <c r="AL7" s="581" t="str">
        <f t="shared" si="1"/>
        <v/>
      </c>
      <c r="AM7" s="606" t="str">
        <f t="shared" si="1"/>
        <v/>
      </c>
      <c r="AN7" s="607" t="str">
        <f t="shared" si="1"/>
        <v/>
      </c>
      <c r="AO7" s="608" t="str">
        <f t="shared" si="1"/>
        <v/>
      </c>
      <c r="AP7" s="581" t="str">
        <f t="shared" si="1"/>
        <v/>
      </c>
      <c r="AQ7" s="581" t="str">
        <f t="shared" si="1"/>
        <v/>
      </c>
      <c r="AR7" s="190">
        <v>2</v>
      </c>
      <c r="AS7" s="306" t="s">
        <v>768</v>
      </c>
    </row>
    <row r="8" spans="2:45" ht="27" customHeight="1">
      <c r="B8" s="713"/>
      <c r="C8" s="715"/>
      <c r="D8" s="625" t="s">
        <v>753</v>
      </c>
      <c r="E8" s="703"/>
      <c r="F8" s="703"/>
      <c r="G8" s="582">
        <f ca="1">ROUND(VLOOKUP(B7,Recursos!B:J,9,FALSE)*H8,2)</f>
        <v>1478040.18</v>
      </c>
      <c r="H8" s="583">
        <v>0.8</v>
      </c>
      <c r="I8" s="584">
        <v>2</v>
      </c>
      <c r="J8" s="585">
        <v>3</v>
      </c>
      <c r="K8" s="584">
        <f>(J8+I8)-1</f>
        <v>4</v>
      </c>
      <c r="L8" s="586">
        <v>2</v>
      </c>
      <c r="M8" s="609" t="str">
        <f t="shared" si="0"/>
        <v/>
      </c>
      <c r="N8" s="610">
        <f t="shared" si="0"/>
        <v>0</v>
      </c>
      <c r="O8" s="610">
        <f t="shared" si="0"/>
        <v>0</v>
      </c>
      <c r="P8" s="610">
        <f t="shared" si="0"/>
        <v>0</v>
      </c>
      <c r="Q8" s="610">
        <f t="shared" si="0"/>
        <v>0</v>
      </c>
      <c r="R8" s="610">
        <f t="shared" si="0"/>
        <v>1</v>
      </c>
      <c r="S8" s="610" t="str">
        <f t="shared" si="0"/>
        <v/>
      </c>
      <c r="T8" s="610" t="str">
        <f t="shared" si="0"/>
        <v/>
      </c>
      <c r="U8" s="610" t="str">
        <f t="shared" si="0"/>
        <v/>
      </c>
      <c r="V8" s="610" t="str">
        <f t="shared" si="0"/>
        <v/>
      </c>
      <c r="W8" s="611" t="str">
        <f t="shared" si="0"/>
        <v/>
      </c>
      <c r="X8" s="587" t="str">
        <f t="shared" si="0"/>
        <v/>
      </c>
      <c r="Y8" s="609" t="str">
        <f t="shared" si="0"/>
        <v/>
      </c>
      <c r="Z8" s="610" t="str">
        <f t="shared" si="0"/>
        <v/>
      </c>
      <c r="AA8" s="611" t="str">
        <f t="shared" si="0"/>
        <v/>
      </c>
      <c r="AB8" s="609" t="str">
        <f t="shared" si="0"/>
        <v/>
      </c>
      <c r="AC8" s="610" t="str">
        <f t="shared" si="1"/>
        <v/>
      </c>
      <c r="AD8" s="610" t="str">
        <f t="shared" si="1"/>
        <v/>
      </c>
      <c r="AE8" s="611" t="str">
        <f t="shared" si="1"/>
        <v/>
      </c>
      <c r="AF8" s="609" t="str">
        <f t="shared" si="1"/>
        <v/>
      </c>
      <c r="AG8" s="611" t="str">
        <f t="shared" si="1"/>
        <v/>
      </c>
      <c r="AH8" s="609" t="str">
        <f t="shared" si="1"/>
        <v/>
      </c>
      <c r="AI8" s="611" t="str">
        <f t="shared" si="1"/>
        <v/>
      </c>
      <c r="AJ8" s="587" t="str">
        <f t="shared" si="1"/>
        <v/>
      </c>
      <c r="AK8" s="587" t="str">
        <f t="shared" si="1"/>
        <v/>
      </c>
      <c r="AL8" s="587" t="str">
        <f t="shared" si="1"/>
        <v/>
      </c>
      <c r="AM8" s="609" t="str">
        <f t="shared" si="1"/>
        <v/>
      </c>
      <c r="AN8" s="610" t="str">
        <f t="shared" si="1"/>
        <v/>
      </c>
      <c r="AO8" s="611" t="str">
        <f t="shared" si="1"/>
        <v/>
      </c>
      <c r="AP8" s="587" t="str">
        <f t="shared" si="1"/>
        <v/>
      </c>
      <c r="AQ8" s="587" t="str">
        <f t="shared" si="1"/>
        <v/>
      </c>
      <c r="AR8" s="306">
        <v>2</v>
      </c>
      <c r="AS8" s="511" t="s">
        <v>429</v>
      </c>
    </row>
    <row r="9" spans="2:45" ht="27" customHeight="1">
      <c r="B9" s="708">
        <v>3</v>
      </c>
      <c r="C9" s="716" t="s">
        <v>659</v>
      </c>
      <c r="D9" s="527" t="s">
        <v>764</v>
      </c>
      <c r="E9" s="704">
        <f ca="1">SUM(G9:G10)</f>
        <v>2242223.44</v>
      </c>
      <c r="F9" s="704">
        <f ca="1">E9/$F$2</f>
        <v>514.27143119266054</v>
      </c>
      <c r="G9" s="514">
        <f ca="1">ROUND(VLOOKUP(B9,Recursos!B:J,9,FALSE)*H9,2)</f>
        <v>224222.34</v>
      </c>
      <c r="H9" s="515">
        <v>0.1</v>
      </c>
      <c r="I9" s="516">
        <v>1</v>
      </c>
      <c r="J9" s="517">
        <v>1</v>
      </c>
      <c r="K9" s="516">
        <f>(J9+I9)-1</f>
        <v>1</v>
      </c>
      <c r="L9" s="518">
        <v>1</v>
      </c>
      <c r="M9" s="612">
        <f t="shared" si="0"/>
        <v>0</v>
      </c>
      <c r="N9" s="613">
        <f t="shared" si="0"/>
        <v>1</v>
      </c>
      <c r="O9" s="613" t="str">
        <f t="shared" si="0"/>
        <v/>
      </c>
      <c r="P9" s="613" t="str">
        <f t="shared" si="0"/>
        <v/>
      </c>
      <c r="Q9" s="613" t="str">
        <f t="shared" si="0"/>
        <v/>
      </c>
      <c r="R9" s="613" t="str">
        <f t="shared" si="0"/>
        <v/>
      </c>
      <c r="S9" s="613" t="str">
        <f t="shared" si="0"/>
        <v/>
      </c>
      <c r="T9" s="613" t="str">
        <f t="shared" si="0"/>
        <v/>
      </c>
      <c r="U9" s="613" t="str">
        <f t="shared" si="0"/>
        <v/>
      </c>
      <c r="V9" s="613" t="str">
        <f t="shared" si="0"/>
        <v/>
      </c>
      <c r="W9" s="614" t="str">
        <f t="shared" si="0"/>
        <v/>
      </c>
      <c r="X9" s="554" t="str">
        <f t="shared" si="0"/>
        <v/>
      </c>
      <c r="Y9" s="612" t="str">
        <f t="shared" si="0"/>
        <v/>
      </c>
      <c r="Z9" s="613" t="str">
        <f t="shared" si="0"/>
        <v/>
      </c>
      <c r="AA9" s="614" t="str">
        <f t="shared" si="0"/>
        <v/>
      </c>
      <c r="AB9" s="612" t="str">
        <f t="shared" si="0"/>
        <v/>
      </c>
      <c r="AC9" s="613" t="str">
        <f t="shared" si="1"/>
        <v/>
      </c>
      <c r="AD9" s="613" t="str">
        <f t="shared" si="1"/>
        <v/>
      </c>
      <c r="AE9" s="614" t="str">
        <f t="shared" si="1"/>
        <v/>
      </c>
      <c r="AF9" s="612" t="str">
        <f t="shared" si="1"/>
        <v/>
      </c>
      <c r="AG9" s="614" t="str">
        <f t="shared" si="1"/>
        <v/>
      </c>
      <c r="AH9" s="612" t="str">
        <f t="shared" si="1"/>
        <v/>
      </c>
      <c r="AI9" s="614" t="str">
        <f t="shared" si="1"/>
        <v/>
      </c>
      <c r="AJ9" s="554" t="str">
        <f t="shared" si="1"/>
        <v/>
      </c>
      <c r="AK9" s="554" t="str">
        <f t="shared" si="1"/>
        <v/>
      </c>
      <c r="AL9" s="554" t="str">
        <f t="shared" si="1"/>
        <v/>
      </c>
      <c r="AM9" s="612" t="str">
        <f t="shared" si="1"/>
        <v/>
      </c>
      <c r="AN9" s="613" t="str">
        <f t="shared" si="1"/>
        <v/>
      </c>
      <c r="AO9" s="614" t="str">
        <f t="shared" si="1"/>
        <v/>
      </c>
      <c r="AP9" s="554" t="str">
        <f t="shared" si="1"/>
        <v/>
      </c>
      <c r="AQ9" s="554" t="str">
        <f t="shared" si="1"/>
        <v/>
      </c>
      <c r="AR9" s="306">
        <v>3</v>
      </c>
      <c r="AS9" s="306" t="s">
        <v>768</v>
      </c>
    </row>
    <row r="10" spans="2:45" ht="27" customHeight="1">
      <c r="B10" s="709"/>
      <c r="C10" s="717"/>
      <c r="D10" s="534" t="s">
        <v>753</v>
      </c>
      <c r="E10" s="705"/>
      <c r="F10" s="705"/>
      <c r="G10" s="519">
        <f ca="1">ROUND(VLOOKUP(B9,Recursos!B:J,9,FALSE)*H10,2)</f>
        <v>2018001.1</v>
      </c>
      <c r="H10" s="520">
        <v>0.9</v>
      </c>
      <c r="I10" s="521">
        <v>2</v>
      </c>
      <c r="J10" s="522">
        <v>5</v>
      </c>
      <c r="K10" s="523">
        <f t="shared" ref="K10:K20" si="2">(J10+I10)-1</f>
        <v>6</v>
      </c>
      <c r="L10" s="524">
        <v>2</v>
      </c>
      <c r="M10" s="615" t="str">
        <f t="shared" si="0"/>
        <v/>
      </c>
      <c r="N10" s="616">
        <f t="shared" si="0"/>
        <v>0</v>
      </c>
      <c r="O10" s="616">
        <f t="shared" si="0"/>
        <v>0</v>
      </c>
      <c r="P10" s="616">
        <f t="shared" si="0"/>
        <v>0</v>
      </c>
      <c r="Q10" s="616">
        <f t="shared" si="0"/>
        <v>0</v>
      </c>
      <c r="R10" s="616">
        <f t="shared" si="0"/>
        <v>0</v>
      </c>
      <c r="S10" s="616">
        <f t="shared" si="0"/>
        <v>0</v>
      </c>
      <c r="T10" s="616">
        <f t="shared" si="0"/>
        <v>1</v>
      </c>
      <c r="U10" s="616" t="str">
        <f t="shared" si="0"/>
        <v/>
      </c>
      <c r="V10" s="616" t="str">
        <f t="shared" si="0"/>
        <v/>
      </c>
      <c r="W10" s="617" t="str">
        <f t="shared" si="0"/>
        <v/>
      </c>
      <c r="X10" s="555" t="str">
        <f t="shared" si="0"/>
        <v/>
      </c>
      <c r="Y10" s="615" t="str">
        <f t="shared" si="0"/>
        <v/>
      </c>
      <c r="Z10" s="616" t="str">
        <f t="shared" si="0"/>
        <v/>
      </c>
      <c r="AA10" s="617" t="str">
        <f t="shared" si="0"/>
        <v/>
      </c>
      <c r="AB10" s="615" t="str">
        <f t="shared" si="0"/>
        <v/>
      </c>
      <c r="AC10" s="616" t="str">
        <f t="shared" si="1"/>
        <v/>
      </c>
      <c r="AD10" s="616" t="str">
        <f t="shared" si="1"/>
        <v/>
      </c>
      <c r="AE10" s="617" t="str">
        <f t="shared" si="1"/>
        <v/>
      </c>
      <c r="AF10" s="615" t="str">
        <f t="shared" si="1"/>
        <v/>
      </c>
      <c r="AG10" s="617" t="str">
        <f t="shared" si="1"/>
        <v/>
      </c>
      <c r="AH10" s="615" t="str">
        <f t="shared" si="1"/>
        <v/>
      </c>
      <c r="AI10" s="617" t="str">
        <f t="shared" si="1"/>
        <v/>
      </c>
      <c r="AJ10" s="555" t="str">
        <f t="shared" si="1"/>
        <v/>
      </c>
      <c r="AK10" s="555" t="str">
        <f t="shared" si="1"/>
        <v/>
      </c>
      <c r="AL10" s="555" t="str">
        <f t="shared" si="1"/>
        <v/>
      </c>
      <c r="AM10" s="615" t="str">
        <f t="shared" si="1"/>
        <v/>
      </c>
      <c r="AN10" s="616" t="str">
        <f t="shared" si="1"/>
        <v/>
      </c>
      <c r="AO10" s="617" t="str">
        <f t="shared" si="1"/>
        <v/>
      </c>
      <c r="AP10" s="555" t="str">
        <f t="shared" si="1"/>
        <v/>
      </c>
      <c r="AQ10" s="555" t="str">
        <f t="shared" si="1"/>
        <v/>
      </c>
      <c r="AR10" s="190">
        <v>3</v>
      </c>
      <c r="AS10" s="511" t="s">
        <v>429</v>
      </c>
    </row>
    <row r="11" spans="2:45" ht="27" customHeight="1">
      <c r="B11" s="720">
        <f>'Alocação MO'!B8</f>
        <v>4</v>
      </c>
      <c r="C11" s="710" t="str">
        <f>'Alocação MO'!C8</f>
        <v>Dimensão Operacional (EOP)</v>
      </c>
      <c r="D11" s="593" t="s">
        <v>766</v>
      </c>
      <c r="E11" s="702">
        <f ca="1">SUM(G11:G12)</f>
        <v>2444722.06</v>
      </c>
      <c r="F11" s="702">
        <f ca="1">E11/$F$2</f>
        <v>560.71606880733941</v>
      </c>
      <c r="G11" s="575">
        <f ca="1">ROUND(VLOOKUP(B11,Recursos!B:J,9,FALSE)*H11,2)</f>
        <v>488944.41</v>
      </c>
      <c r="H11" s="588">
        <v>0.2</v>
      </c>
      <c r="I11" s="577">
        <v>2</v>
      </c>
      <c r="J11" s="578">
        <v>1</v>
      </c>
      <c r="K11" s="577">
        <f>(J11+I11)-1</f>
        <v>2</v>
      </c>
      <c r="L11" s="580">
        <v>1</v>
      </c>
      <c r="M11" s="606" t="str">
        <f t="shared" si="0"/>
        <v/>
      </c>
      <c r="N11" s="607">
        <f t="shared" si="0"/>
        <v>0</v>
      </c>
      <c r="O11" s="607">
        <f t="shared" si="0"/>
        <v>1</v>
      </c>
      <c r="P11" s="607" t="str">
        <f t="shared" si="0"/>
        <v/>
      </c>
      <c r="Q11" s="607" t="str">
        <f t="shared" si="0"/>
        <v/>
      </c>
      <c r="R11" s="607" t="str">
        <f t="shared" si="0"/>
        <v/>
      </c>
      <c r="S11" s="607" t="str">
        <f t="shared" si="0"/>
        <v/>
      </c>
      <c r="T11" s="607" t="str">
        <f t="shared" si="0"/>
        <v/>
      </c>
      <c r="U11" s="607" t="str">
        <f t="shared" si="0"/>
        <v/>
      </c>
      <c r="V11" s="607" t="str">
        <f t="shared" si="0"/>
        <v/>
      </c>
      <c r="W11" s="608" t="str">
        <f t="shared" si="0"/>
        <v/>
      </c>
      <c r="X11" s="581" t="str">
        <f t="shared" si="0"/>
        <v/>
      </c>
      <c r="Y11" s="606" t="str">
        <f t="shared" si="0"/>
        <v/>
      </c>
      <c r="Z11" s="607" t="str">
        <f t="shared" si="0"/>
        <v/>
      </c>
      <c r="AA11" s="608" t="str">
        <f t="shared" si="0"/>
        <v/>
      </c>
      <c r="AB11" s="606" t="str">
        <f t="shared" si="0"/>
        <v/>
      </c>
      <c r="AC11" s="607" t="str">
        <f t="shared" si="1"/>
        <v/>
      </c>
      <c r="AD11" s="607" t="str">
        <f t="shared" si="1"/>
        <v/>
      </c>
      <c r="AE11" s="608" t="str">
        <f t="shared" si="1"/>
        <v/>
      </c>
      <c r="AF11" s="606" t="str">
        <f t="shared" si="1"/>
        <v/>
      </c>
      <c r="AG11" s="608" t="str">
        <f t="shared" si="1"/>
        <v/>
      </c>
      <c r="AH11" s="606" t="str">
        <f t="shared" si="1"/>
        <v/>
      </c>
      <c r="AI11" s="608" t="str">
        <f t="shared" si="1"/>
        <v/>
      </c>
      <c r="AJ11" s="581" t="str">
        <f t="shared" si="1"/>
        <v/>
      </c>
      <c r="AK11" s="581" t="str">
        <f t="shared" si="1"/>
        <v/>
      </c>
      <c r="AL11" s="581" t="str">
        <f t="shared" si="1"/>
        <v/>
      </c>
      <c r="AM11" s="606" t="str">
        <f t="shared" si="1"/>
        <v/>
      </c>
      <c r="AN11" s="607" t="str">
        <f t="shared" si="1"/>
        <v/>
      </c>
      <c r="AO11" s="608" t="str">
        <f t="shared" si="1"/>
        <v/>
      </c>
      <c r="AP11" s="581" t="str">
        <f t="shared" si="1"/>
        <v/>
      </c>
      <c r="AQ11" s="581" t="str">
        <f t="shared" si="1"/>
        <v/>
      </c>
      <c r="AR11" s="306">
        <v>4</v>
      </c>
      <c r="AS11" s="511" t="s">
        <v>768</v>
      </c>
    </row>
    <row r="12" spans="2:45" ht="27" customHeight="1">
      <c r="B12" s="721"/>
      <c r="C12" s="711"/>
      <c r="D12" s="625" t="s">
        <v>753</v>
      </c>
      <c r="E12" s="703"/>
      <c r="F12" s="703"/>
      <c r="G12" s="582">
        <f ca="1">ROUND(VLOOKUP(B11,Recursos!B:J,9,FALSE)*H12,2)</f>
        <v>1955777.65</v>
      </c>
      <c r="H12" s="583">
        <v>0.8</v>
      </c>
      <c r="I12" s="584">
        <v>3</v>
      </c>
      <c r="J12" s="585">
        <v>4</v>
      </c>
      <c r="K12" s="589">
        <f t="shared" si="2"/>
        <v>6</v>
      </c>
      <c r="L12" s="590">
        <v>2</v>
      </c>
      <c r="M12" s="609" t="str">
        <f t="shared" si="0"/>
        <v/>
      </c>
      <c r="N12" s="610" t="str">
        <f t="shared" si="0"/>
        <v/>
      </c>
      <c r="O12" s="610">
        <f t="shared" si="0"/>
        <v>0</v>
      </c>
      <c r="P12" s="610">
        <f t="shared" si="0"/>
        <v>0</v>
      </c>
      <c r="Q12" s="610">
        <f t="shared" si="0"/>
        <v>0</v>
      </c>
      <c r="R12" s="610">
        <f t="shared" si="0"/>
        <v>0</v>
      </c>
      <c r="S12" s="610">
        <f t="shared" si="0"/>
        <v>0</v>
      </c>
      <c r="T12" s="610">
        <f t="shared" si="0"/>
        <v>1</v>
      </c>
      <c r="U12" s="610" t="str">
        <f t="shared" si="0"/>
        <v/>
      </c>
      <c r="V12" s="610" t="str">
        <f t="shared" si="0"/>
        <v/>
      </c>
      <c r="W12" s="611" t="str">
        <f t="shared" si="0"/>
        <v/>
      </c>
      <c r="X12" s="587" t="str">
        <f t="shared" si="0"/>
        <v/>
      </c>
      <c r="Y12" s="609" t="str">
        <f t="shared" si="0"/>
        <v/>
      </c>
      <c r="Z12" s="610" t="str">
        <f t="shared" si="0"/>
        <v/>
      </c>
      <c r="AA12" s="611" t="str">
        <f t="shared" si="0"/>
        <v/>
      </c>
      <c r="AB12" s="609" t="str">
        <f t="shared" si="0"/>
        <v/>
      </c>
      <c r="AC12" s="610" t="str">
        <f t="shared" si="1"/>
        <v/>
      </c>
      <c r="AD12" s="610" t="str">
        <f t="shared" si="1"/>
        <v/>
      </c>
      <c r="AE12" s="611" t="str">
        <f t="shared" si="1"/>
        <v/>
      </c>
      <c r="AF12" s="609" t="str">
        <f t="shared" si="1"/>
        <v/>
      </c>
      <c r="AG12" s="611" t="str">
        <f t="shared" si="1"/>
        <v/>
      </c>
      <c r="AH12" s="609" t="str">
        <f t="shared" si="1"/>
        <v/>
      </c>
      <c r="AI12" s="611" t="str">
        <f t="shared" si="1"/>
        <v/>
      </c>
      <c r="AJ12" s="587" t="str">
        <f t="shared" si="1"/>
        <v/>
      </c>
      <c r="AK12" s="587" t="str">
        <f t="shared" si="1"/>
        <v/>
      </c>
      <c r="AL12" s="587" t="str">
        <f t="shared" si="1"/>
        <v/>
      </c>
      <c r="AM12" s="609" t="str">
        <f t="shared" si="1"/>
        <v/>
      </c>
      <c r="AN12" s="610" t="str">
        <f t="shared" si="1"/>
        <v/>
      </c>
      <c r="AO12" s="611" t="str">
        <f t="shared" si="1"/>
        <v/>
      </c>
      <c r="AP12" s="587" t="str">
        <f t="shared" si="1"/>
        <v/>
      </c>
      <c r="AQ12" s="587" t="str">
        <f t="shared" si="1"/>
        <v/>
      </c>
      <c r="AR12" s="190">
        <v>4</v>
      </c>
      <c r="AS12" s="511" t="s">
        <v>429</v>
      </c>
    </row>
    <row r="13" spans="2:45" ht="27" customHeight="1">
      <c r="B13" s="718">
        <f>'Alocação MO'!B9</f>
        <v>5</v>
      </c>
      <c r="C13" s="716" t="str">
        <f>'Alocação MO'!C9</f>
        <v>Dimensão Socioambiental (EMA)</v>
      </c>
      <c r="D13" s="527" t="s">
        <v>764</v>
      </c>
      <c r="E13" s="704">
        <f ca="1">SUM(G13:G14)</f>
        <v>1255614.42</v>
      </c>
      <c r="F13" s="704">
        <f ca="1">E13/$F$2</f>
        <v>287.98495871559629</v>
      </c>
      <c r="G13" s="514">
        <f ca="1">ROUND(VLOOKUP(B13,Recursos!B:J,9,FALSE)*H13,2)</f>
        <v>125561.44</v>
      </c>
      <c r="H13" s="515">
        <v>0.1</v>
      </c>
      <c r="I13" s="516">
        <v>1</v>
      </c>
      <c r="J13" s="517">
        <v>1</v>
      </c>
      <c r="K13" s="525">
        <f>(J13+I13)-1</f>
        <v>1</v>
      </c>
      <c r="L13" s="526">
        <v>1</v>
      </c>
      <c r="M13" s="612">
        <f t="shared" si="0"/>
        <v>0</v>
      </c>
      <c r="N13" s="613">
        <f t="shared" si="0"/>
        <v>1</v>
      </c>
      <c r="O13" s="613" t="str">
        <f t="shared" si="0"/>
        <v/>
      </c>
      <c r="P13" s="613" t="str">
        <f t="shared" si="0"/>
        <v/>
      </c>
      <c r="Q13" s="613" t="str">
        <f t="shared" si="0"/>
        <v/>
      </c>
      <c r="R13" s="613" t="str">
        <f t="shared" si="0"/>
        <v/>
      </c>
      <c r="S13" s="613" t="str">
        <f t="shared" si="0"/>
        <v/>
      </c>
      <c r="T13" s="613" t="str">
        <f t="shared" si="0"/>
        <v/>
      </c>
      <c r="U13" s="613" t="str">
        <f t="shared" si="0"/>
        <v/>
      </c>
      <c r="V13" s="613" t="str">
        <f t="shared" si="0"/>
        <v/>
      </c>
      <c r="W13" s="614" t="str">
        <f t="shared" si="0"/>
        <v/>
      </c>
      <c r="X13" s="554" t="str">
        <f t="shared" si="0"/>
        <v/>
      </c>
      <c r="Y13" s="612" t="str">
        <f t="shared" si="0"/>
        <v/>
      </c>
      <c r="Z13" s="613" t="str">
        <f t="shared" si="0"/>
        <v/>
      </c>
      <c r="AA13" s="614" t="str">
        <f t="shared" si="0"/>
        <v/>
      </c>
      <c r="AB13" s="612" t="str">
        <f t="shared" si="0"/>
        <v/>
      </c>
      <c r="AC13" s="613" t="str">
        <f t="shared" si="1"/>
        <v/>
      </c>
      <c r="AD13" s="613" t="str">
        <f t="shared" si="1"/>
        <v/>
      </c>
      <c r="AE13" s="614" t="str">
        <f t="shared" si="1"/>
        <v/>
      </c>
      <c r="AF13" s="612" t="str">
        <f t="shared" si="1"/>
        <v/>
      </c>
      <c r="AG13" s="614" t="str">
        <f t="shared" si="1"/>
        <v/>
      </c>
      <c r="AH13" s="612" t="str">
        <f t="shared" si="1"/>
        <v/>
      </c>
      <c r="AI13" s="614" t="str">
        <f t="shared" si="1"/>
        <v/>
      </c>
      <c r="AJ13" s="554" t="str">
        <f t="shared" si="1"/>
        <v/>
      </c>
      <c r="AK13" s="554" t="str">
        <f t="shared" si="1"/>
        <v/>
      </c>
      <c r="AL13" s="554" t="str">
        <f t="shared" si="1"/>
        <v/>
      </c>
      <c r="AM13" s="612" t="str">
        <f t="shared" si="1"/>
        <v/>
      </c>
      <c r="AN13" s="613" t="str">
        <f t="shared" si="1"/>
        <v/>
      </c>
      <c r="AO13" s="614" t="str">
        <f t="shared" si="1"/>
        <v/>
      </c>
      <c r="AP13" s="554" t="str">
        <f t="shared" si="1"/>
        <v/>
      </c>
      <c r="AQ13" s="554" t="str">
        <f t="shared" si="1"/>
        <v/>
      </c>
      <c r="AR13" s="190">
        <v>5</v>
      </c>
      <c r="AS13" s="306" t="s">
        <v>768</v>
      </c>
    </row>
    <row r="14" spans="2:45" ht="27" customHeight="1">
      <c r="B14" s="719"/>
      <c r="C14" s="717"/>
      <c r="D14" s="534" t="s">
        <v>753</v>
      </c>
      <c r="E14" s="705"/>
      <c r="F14" s="705"/>
      <c r="G14" s="519">
        <f ca="1">ROUND(VLOOKUP(B13,Recursos!B:J,9,FALSE)*H14,2)</f>
        <v>1130052.98</v>
      </c>
      <c r="H14" s="520">
        <v>0.9</v>
      </c>
      <c r="I14" s="521">
        <v>2</v>
      </c>
      <c r="J14" s="522">
        <v>3</v>
      </c>
      <c r="K14" s="523">
        <f t="shared" si="2"/>
        <v>4</v>
      </c>
      <c r="L14" s="524">
        <v>2</v>
      </c>
      <c r="M14" s="615" t="str">
        <f t="shared" si="0"/>
        <v/>
      </c>
      <c r="N14" s="616">
        <f t="shared" si="0"/>
        <v>0</v>
      </c>
      <c r="O14" s="616">
        <f t="shared" si="0"/>
        <v>0</v>
      </c>
      <c r="P14" s="616">
        <f t="shared" si="0"/>
        <v>0</v>
      </c>
      <c r="Q14" s="616">
        <f t="shared" si="0"/>
        <v>0</v>
      </c>
      <c r="R14" s="616">
        <f t="shared" si="0"/>
        <v>1</v>
      </c>
      <c r="S14" s="616" t="str">
        <f t="shared" si="0"/>
        <v/>
      </c>
      <c r="T14" s="616" t="str">
        <f t="shared" si="0"/>
        <v/>
      </c>
      <c r="U14" s="616" t="str">
        <f t="shared" si="0"/>
        <v/>
      </c>
      <c r="V14" s="616" t="str">
        <f t="shared" si="0"/>
        <v/>
      </c>
      <c r="W14" s="617" t="str">
        <f t="shared" si="0"/>
        <v/>
      </c>
      <c r="X14" s="555" t="str">
        <f t="shared" si="0"/>
        <v/>
      </c>
      <c r="Y14" s="615" t="str">
        <f t="shared" si="0"/>
        <v/>
      </c>
      <c r="Z14" s="616" t="str">
        <f t="shared" si="0"/>
        <v/>
      </c>
      <c r="AA14" s="617" t="str">
        <f t="shared" si="0"/>
        <v/>
      </c>
      <c r="AB14" s="615" t="str">
        <f t="shared" si="0"/>
        <v/>
      </c>
      <c r="AC14" s="616" t="str">
        <f t="shared" si="1"/>
        <v/>
      </c>
      <c r="AD14" s="616" t="str">
        <f t="shared" si="1"/>
        <v/>
      </c>
      <c r="AE14" s="617" t="str">
        <f t="shared" si="1"/>
        <v/>
      </c>
      <c r="AF14" s="615" t="str">
        <f t="shared" si="1"/>
        <v/>
      </c>
      <c r="AG14" s="617" t="str">
        <f t="shared" si="1"/>
        <v/>
      </c>
      <c r="AH14" s="615" t="str">
        <f t="shared" si="1"/>
        <v/>
      </c>
      <c r="AI14" s="617" t="str">
        <f t="shared" si="1"/>
        <v/>
      </c>
      <c r="AJ14" s="555" t="str">
        <f t="shared" si="1"/>
        <v/>
      </c>
      <c r="AK14" s="555" t="str">
        <f t="shared" si="1"/>
        <v/>
      </c>
      <c r="AL14" s="555" t="str">
        <f t="shared" si="1"/>
        <v/>
      </c>
      <c r="AM14" s="615" t="str">
        <f t="shared" si="1"/>
        <v/>
      </c>
      <c r="AN14" s="616" t="str">
        <f t="shared" si="1"/>
        <v/>
      </c>
      <c r="AO14" s="617" t="str">
        <f t="shared" si="1"/>
        <v/>
      </c>
      <c r="AP14" s="555" t="str">
        <f t="shared" si="1"/>
        <v/>
      </c>
      <c r="AQ14" s="555" t="str">
        <f t="shared" si="1"/>
        <v/>
      </c>
      <c r="AR14" s="190">
        <v>5</v>
      </c>
      <c r="AS14" s="511" t="s">
        <v>429</v>
      </c>
    </row>
    <row r="15" spans="2:45" ht="27" customHeight="1">
      <c r="B15" s="706">
        <f>'Alocação MO'!B10</f>
        <v>6</v>
      </c>
      <c r="C15" s="710" t="str">
        <f>'Alocação MO'!C10</f>
        <v>Dimensão Econômico-Financeira (MEF)</v>
      </c>
      <c r="D15" s="593" t="s">
        <v>767</v>
      </c>
      <c r="E15" s="702">
        <f ca="1">SUM(G15:G16)</f>
        <v>464360.52</v>
      </c>
      <c r="F15" s="702">
        <f ca="1">E15/$F$2</f>
        <v>106.50470642201836</v>
      </c>
      <c r="G15" s="575">
        <f ca="1">ROUND(VLOOKUP(B15,Recursos!B:J,9,FALSE)*H15,2)</f>
        <v>69654.080000000002</v>
      </c>
      <c r="H15" s="588">
        <v>0.15</v>
      </c>
      <c r="I15" s="577">
        <v>5</v>
      </c>
      <c r="J15" s="578">
        <v>1</v>
      </c>
      <c r="K15" s="591">
        <f>(J15+I15)-1</f>
        <v>5</v>
      </c>
      <c r="L15" s="592">
        <v>1</v>
      </c>
      <c r="M15" s="606" t="str">
        <f t="shared" si="0"/>
        <v/>
      </c>
      <c r="N15" s="607" t="str">
        <f t="shared" si="0"/>
        <v/>
      </c>
      <c r="O15" s="607" t="str">
        <f t="shared" si="0"/>
        <v/>
      </c>
      <c r="P15" s="607" t="str">
        <f t="shared" si="0"/>
        <v/>
      </c>
      <c r="Q15" s="607">
        <f t="shared" si="0"/>
        <v>0</v>
      </c>
      <c r="R15" s="607">
        <f t="shared" si="0"/>
        <v>1</v>
      </c>
      <c r="S15" s="607" t="str">
        <f t="shared" si="0"/>
        <v/>
      </c>
      <c r="T15" s="607" t="str">
        <f t="shared" si="0"/>
        <v/>
      </c>
      <c r="U15" s="607" t="str">
        <f t="shared" si="0"/>
        <v/>
      </c>
      <c r="V15" s="607" t="str">
        <f t="shared" si="0"/>
        <v/>
      </c>
      <c r="W15" s="608" t="str">
        <f t="shared" si="0"/>
        <v/>
      </c>
      <c r="X15" s="581" t="str">
        <f t="shared" si="0"/>
        <v/>
      </c>
      <c r="Y15" s="606" t="str">
        <f t="shared" si="0"/>
        <v/>
      </c>
      <c r="Z15" s="607" t="str">
        <f t="shared" si="0"/>
        <v/>
      </c>
      <c r="AA15" s="608" t="str">
        <f t="shared" si="0"/>
        <v/>
      </c>
      <c r="AB15" s="606" t="str">
        <f t="shared" si="0"/>
        <v/>
      </c>
      <c r="AC15" s="607" t="str">
        <f t="shared" si="1"/>
        <v/>
      </c>
      <c r="AD15" s="607" t="str">
        <f t="shared" si="1"/>
        <v/>
      </c>
      <c r="AE15" s="608" t="str">
        <f t="shared" si="1"/>
        <v/>
      </c>
      <c r="AF15" s="606" t="str">
        <f t="shared" si="1"/>
        <v/>
      </c>
      <c r="AG15" s="608" t="str">
        <f t="shared" si="1"/>
        <v/>
      </c>
      <c r="AH15" s="606" t="str">
        <f t="shared" si="1"/>
        <v/>
      </c>
      <c r="AI15" s="608" t="str">
        <f t="shared" si="1"/>
        <v/>
      </c>
      <c r="AJ15" s="581" t="str">
        <f t="shared" si="1"/>
        <v/>
      </c>
      <c r="AK15" s="581" t="str">
        <f t="shared" si="1"/>
        <v/>
      </c>
      <c r="AL15" s="581" t="str">
        <f t="shared" si="1"/>
        <v/>
      </c>
      <c r="AM15" s="606" t="str">
        <f t="shared" si="1"/>
        <v/>
      </c>
      <c r="AN15" s="607" t="str">
        <f t="shared" si="1"/>
        <v/>
      </c>
      <c r="AO15" s="608" t="str">
        <f t="shared" si="1"/>
        <v/>
      </c>
      <c r="AP15" s="581" t="str">
        <f t="shared" si="1"/>
        <v/>
      </c>
      <c r="AQ15" s="581" t="str">
        <f t="shared" si="1"/>
        <v/>
      </c>
      <c r="AR15" s="190">
        <v>6</v>
      </c>
      <c r="AS15" s="511" t="s">
        <v>769</v>
      </c>
    </row>
    <row r="16" spans="2:45" ht="27" customHeight="1">
      <c r="B16" s="707"/>
      <c r="C16" s="711"/>
      <c r="D16" s="625" t="s">
        <v>753</v>
      </c>
      <c r="E16" s="703"/>
      <c r="F16" s="703"/>
      <c r="G16" s="582">
        <f ca="1">ROUND(VLOOKUP(B15,Recursos!B:J,9,FALSE)*H16,2)</f>
        <v>394706.44</v>
      </c>
      <c r="H16" s="583">
        <v>0.85</v>
      </c>
      <c r="I16" s="589">
        <v>7</v>
      </c>
      <c r="J16" s="585">
        <v>1</v>
      </c>
      <c r="K16" s="589">
        <f t="shared" si="2"/>
        <v>7</v>
      </c>
      <c r="L16" s="590">
        <v>2</v>
      </c>
      <c r="M16" s="609" t="str">
        <f t="shared" si="0"/>
        <v/>
      </c>
      <c r="N16" s="610" t="str">
        <f t="shared" si="0"/>
        <v/>
      </c>
      <c r="O16" s="610" t="str">
        <f t="shared" si="0"/>
        <v/>
      </c>
      <c r="P16" s="610" t="str">
        <f t="shared" si="0"/>
        <v/>
      </c>
      <c r="Q16" s="610" t="str">
        <f t="shared" si="0"/>
        <v/>
      </c>
      <c r="R16" s="610" t="str">
        <f t="shared" si="0"/>
        <v/>
      </c>
      <c r="S16" s="610">
        <f t="shared" si="0"/>
        <v>0</v>
      </c>
      <c r="T16" s="610">
        <f t="shared" si="0"/>
        <v>0</v>
      </c>
      <c r="U16" s="610">
        <f t="shared" si="0"/>
        <v>1</v>
      </c>
      <c r="V16" s="610" t="str">
        <f t="shared" si="0"/>
        <v/>
      </c>
      <c r="W16" s="611" t="str">
        <f t="shared" si="0"/>
        <v/>
      </c>
      <c r="X16" s="587" t="str">
        <f t="shared" si="0"/>
        <v/>
      </c>
      <c r="Y16" s="609" t="str">
        <f t="shared" si="0"/>
        <v/>
      </c>
      <c r="Z16" s="610" t="str">
        <f t="shared" si="0"/>
        <v/>
      </c>
      <c r="AA16" s="611" t="str">
        <f t="shared" si="0"/>
        <v/>
      </c>
      <c r="AB16" s="609" t="str">
        <f t="shared" si="0"/>
        <v/>
      </c>
      <c r="AC16" s="610" t="str">
        <f t="shared" si="1"/>
        <v/>
      </c>
      <c r="AD16" s="610" t="str">
        <f t="shared" si="1"/>
        <v/>
      </c>
      <c r="AE16" s="611" t="str">
        <f t="shared" si="1"/>
        <v/>
      </c>
      <c r="AF16" s="609" t="str">
        <f t="shared" si="1"/>
        <v/>
      </c>
      <c r="AG16" s="611" t="str">
        <f t="shared" si="1"/>
        <v/>
      </c>
      <c r="AH16" s="609" t="str">
        <f t="shared" si="1"/>
        <v/>
      </c>
      <c r="AI16" s="611" t="str">
        <f t="shared" si="1"/>
        <v/>
      </c>
      <c r="AJ16" s="587" t="str">
        <f t="shared" si="1"/>
        <v/>
      </c>
      <c r="AK16" s="587" t="str">
        <f t="shared" si="1"/>
        <v/>
      </c>
      <c r="AL16" s="587" t="str">
        <f t="shared" si="1"/>
        <v/>
      </c>
      <c r="AM16" s="609" t="str">
        <f t="shared" si="1"/>
        <v/>
      </c>
      <c r="AN16" s="610" t="str">
        <f t="shared" si="1"/>
        <v/>
      </c>
      <c r="AO16" s="611" t="str">
        <f t="shared" si="1"/>
        <v/>
      </c>
      <c r="AP16" s="587" t="str">
        <f t="shared" si="1"/>
        <v/>
      </c>
      <c r="AQ16" s="587" t="str">
        <f t="shared" si="1"/>
        <v/>
      </c>
      <c r="AR16" s="190">
        <v>6</v>
      </c>
      <c r="AS16" s="511" t="s">
        <v>429</v>
      </c>
    </row>
    <row r="17" spans="2:45" ht="27" customHeight="1">
      <c r="B17" s="550">
        <f>'Alocação MO'!B11</f>
        <v>7</v>
      </c>
      <c r="C17" s="551" t="str">
        <f>'Alocação MO'!C11</f>
        <v>Dimensão Jurídico-Regulatória (EJR)</v>
      </c>
      <c r="D17" s="547" t="s">
        <v>753</v>
      </c>
      <c r="E17" s="535">
        <f t="shared" ref="E17" ca="1" si="3">SUM(G17:G17)</f>
        <v>229186.74</v>
      </c>
      <c r="F17" s="535">
        <f t="shared" ref="F17" ca="1" si="4">E17/$F$2</f>
        <v>52.56576605504587</v>
      </c>
      <c r="G17" s="536">
        <f ca="1">ROUND(VLOOKUP(B17,Recursos!B:J,9,FALSE)*H17,2)</f>
        <v>229186.74</v>
      </c>
      <c r="H17" s="537">
        <v>1</v>
      </c>
      <c r="I17" s="538">
        <v>7</v>
      </c>
      <c r="J17" s="539">
        <v>1</v>
      </c>
      <c r="K17" s="540">
        <f t="shared" si="2"/>
        <v>7</v>
      </c>
      <c r="L17" s="541">
        <v>2</v>
      </c>
      <c r="M17" s="603" t="str">
        <f t="shared" si="0"/>
        <v/>
      </c>
      <c r="N17" s="604" t="str">
        <f t="shared" si="0"/>
        <v/>
      </c>
      <c r="O17" s="604" t="str">
        <f t="shared" si="0"/>
        <v/>
      </c>
      <c r="P17" s="604" t="str">
        <f t="shared" si="0"/>
        <v/>
      </c>
      <c r="Q17" s="604" t="str">
        <f t="shared" si="0"/>
        <v/>
      </c>
      <c r="R17" s="604" t="str">
        <f t="shared" si="0"/>
        <v/>
      </c>
      <c r="S17" s="604">
        <f t="shared" si="0"/>
        <v>0</v>
      </c>
      <c r="T17" s="604">
        <f t="shared" si="0"/>
        <v>0</v>
      </c>
      <c r="U17" s="604">
        <f t="shared" si="0"/>
        <v>1</v>
      </c>
      <c r="V17" s="604" t="str">
        <f t="shared" si="0"/>
        <v/>
      </c>
      <c r="W17" s="605" t="str">
        <f t="shared" si="0"/>
        <v/>
      </c>
      <c r="X17" s="552" t="str">
        <f t="shared" si="0"/>
        <v/>
      </c>
      <c r="Y17" s="603" t="str">
        <f t="shared" si="0"/>
        <v/>
      </c>
      <c r="Z17" s="604" t="str">
        <f t="shared" si="0"/>
        <v/>
      </c>
      <c r="AA17" s="605" t="str">
        <f t="shared" si="0"/>
        <v/>
      </c>
      <c r="AB17" s="603" t="str">
        <f t="shared" si="0"/>
        <v/>
      </c>
      <c r="AC17" s="604" t="str">
        <f t="shared" si="1"/>
        <v/>
      </c>
      <c r="AD17" s="604" t="str">
        <f t="shared" si="1"/>
        <v/>
      </c>
      <c r="AE17" s="605" t="str">
        <f t="shared" si="1"/>
        <v/>
      </c>
      <c r="AF17" s="603" t="str">
        <f t="shared" si="1"/>
        <v/>
      </c>
      <c r="AG17" s="605" t="str">
        <f t="shared" si="1"/>
        <v/>
      </c>
      <c r="AH17" s="603" t="str">
        <f t="shared" si="1"/>
        <v/>
      </c>
      <c r="AI17" s="605" t="str">
        <f t="shared" si="1"/>
        <v/>
      </c>
      <c r="AJ17" s="552" t="str">
        <f t="shared" si="1"/>
        <v/>
      </c>
      <c r="AK17" s="552" t="str">
        <f t="shared" si="1"/>
        <v/>
      </c>
      <c r="AL17" s="552" t="str">
        <f t="shared" si="1"/>
        <v/>
      </c>
      <c r="AM17" s="603" t="str">
        <f t="shared" si="1"/>
        <v/>
      </c>
      <c r="AN17" s="604" t="str">
        <f t="shared" si="1"/>
        <v/>
      </c>
      <c r="AO17" s="605" t="str">
        <f t="shared" si="1"/>
        <v/>
      </c>
      <c r="AP17" s="552" t="str">
        <f t="shared" si="1"/>
        <v/>
      </c>
      <c r="AQ17" s="552" t="str">
        <f t="shared" si="1"/>
        <v/>
      </c>
      <c r="AR17" s="190">
        <v>7</v>
      </c>
      <c r="AS17" s="511" t="s">
        <v>429</v>
      </c>
    </row>
    <row r="18" spans="2:45" ht="40.5" customHeight="1">
      <c r="B18" s="708">
        <f>'Alocação MO'!B12</f>
        <v>8</v>
      </c>
      <c r="C18" s="716" t="str">
        <f>'Alocação MO'!C12</f>
        <v>Gestão de Projeto, Revisão de Estudos e Apoio às Fases</v>
      </c>
      <c r="D18" s="527" t="s">
        <v>760</v>
      </c>
      <c r="E18" s="704">
        <f ca="1">SUM(G18:G20)</f>
        <v>1330844.8</v>
      </c>
      <c r="F18" s="704">
        <f ca="1">E18/$F$2</f>
        <v>305.23963302752293</v>
      </c>
      <c r="G18" s="514">
        <f ca="1">ROUND(VLOOKUP(B18,Recursos!B:J,9,FALSE)*H18,2)</f>
        <v>798506.88</v>
      </c>
      <c r="H18" s="515">
        <v>0.6</v>
      </c>
      <c r="I18" s="516">
        <v>16</v>
      </c>
      <c r="J18" s="517">
        <v>2</v>
      </c>
      <c r="K18" s="525">
        <f t="shared" si="2"/>
        <v>17</v>
      </c>
      <c r="L18" s="526">
        <v>1</v>
      </c>
      <c r="M18" s="612" t="str">
        <f t="shared" si="0"/>
        <v/>
      </c>
      <c r="N18" s="613" t="str">
        <f t="shared" si="0"/>
        <v/>
      </c>
      <c r="O18" s="613" t="str">
        <f t="shared" si="0"/>
        <v/>
      </c>
      <c r="P18" s="613" t="str">
        <f t="shared" si="0"/>
        <v/>
      </c>
      <c r="Q18" s="613" t="str">
        <f t="shared" si="0"/>
        <v/>
      </c>
      <c r="R18" s="613" t="str">
        <f t="shared" si="0"/>
        <v/>
      </c>
      <c r="S18" s="613" t="str">
        <f t="shared" si="0"/>
        <v/>
      </c>
      <c r="T18" s="613" t="str">
        <f t="shared" si="0"/>
        <v/>
      </c>
      <c r="U18" s="613" t="str">
        <f t="shared" si="0"/>
        <v/>
      </c>
      <c r="V18" s="613" t="str">
        <f t="shared" si="0"/>
        <v/>
      </c>
      <c r="W18" s="614" t="str">
        <f t="shared" si="0"/>
        <v/>
      </c>
      <c r="X18" s="554" t="str">
        <f t="shared" si="0"/>
        <v/>
      </c>
      <c r="Y18" s="612" t="str">
        <f t="shared" si="0"/>
        <v/>
      </c>
      <c r="Z18" s="613" t="str">
        <f t="shared" si="0"/>
        <v/>
      </c>
      <c r="AA18" s="614" t="str">
        <f t="shared" si="0"/>
        <v/>
      </c>
      <c r="AB18" s="612">
        <f t="shared" si="0"/>
        <v>0</v>
      </c>
      <c r="AC18" s="613">
        <f t="shared" si="1"/>
        <v>0</v>
      </c>
      <c r="AD18" s="613">
        <f t="shared" si="1"/>
        <v>1</v>
      </c>
      <c r="AE18" s="614" t="str">
        <f t="shared" si="1"/>
        <v/>
      </c>
      <c r="AF18" s="612" t="str">
        <f t="shared" si="1"/>
        <v/>
      </c>
      <c r="AG18" s="614" t="str">
        <f t="shared" si="1"/>
        <v/>
      </c>
      <c r="AH18" s="612" t="str">
        <f t="shared" si="1"/>
        <v/>
      </c>
      <c r="AI18" s="614" t="str">
        <f t="shared" si="1"/>
        <v/>
      </c>
      <c r="AJ18" s="554" t="str">
        <f t="shared" si="1"/>
        <v/>
      </c>
      <c r="AK18" s="554" t="str">
        <f t="shared" si="1"/>
        <v/>
      </c>
      <c r="AL18" s="554" t="str">
        <f t="shared" si="1"/>
        <v/>
      </c>
      <c r="AM18" s="612" t="str">
        <f t="shared" si="1"/>
        <v/>
      </c>
      <c r="AN18" s="613" t="str">
        <f t="shared" si="1"/>
        <v/>
      </c>
      <c r="AO18" s="614" t="str">
        <f t="shared" si="1"/>
        <v/>
      </c>
      <c r="AP18" s="554" t="str">
        <f t="shared" si="1"/>
        <v/>
      </c>
      <c r="AQ18" s="554" t="str">
        <f t="shared" si="1"/>
        <v/>
      </c>
      <c r="AR18" s="190">
        <v>8</v>
      </c>
      <c r="AS18" s="511" t="s">
        <v>430</v>
      </c>
    </row>
    <row r="19" spans="2:45" ht="40.5" customHeight="1">
      <c r="B19" s="724"/>
      <c r="C19" s="723"/>
      <c r="D19" s="528" t="s">
        <v>758</v>
      </c>
      <c r="E19" s="722"/>
      <c r="F19" s="722"/>
      <c r="G19" s="529">
        <f ca="1">ROUND(VLOOKUP(B18,Recursos!B:J,9,FALSE)*H19,2)</f>
        <v>332711.2</v>
      </c>
      <c r="H19" s="530">
        <v>0.25</v>
      </c>
      <c r="I19" s="531">
        <v>22</v>
      </c>
      <c r="J19" s="532">
        <v>1</v>
      </c>
      <c r="K19" s="531">
        <f t="shared" si="2"/>
        <v>22</v>
      </c>
      <c r="L19" s="533">
        <v>1</v>
      </c>
      <c r="M19" s="618" t="str">
        <f t="shared" si="0"/>
        <v/>
      </c>
      <c r="N19" s="619" t="str">
        <f t="shared" si="0"/>
        <v/>
      </c>
      <c r="O19" s="619" t="str">
        <f t="shared" si="0"/>
        <v/>
      </c>
      <c r="P19" s="619" t="str">
        <f t="shared" si="0"/>
        <v/>
      </c>
      <c r="Q19" s="619" t="str">
        <f t="shared" si="0"/>
        <v/>
      </c>
      <c r="R19" s="619" t="str">
        <f t="shared" si="0"/>
        <v/>
      </c>
      <c r="S19" s="619" t="str">
        <f t="shared" si="0"/>
        <v/>
      </c>
      <c r="T19" s="619" t="str">
        <f t="shared" si="0"/>
        <v/>
      </c>
      <c r="U19" s="619" t="str">
        <f t="shared" si="0"/>
        <v/>
      </c>
      <c r="V19" s="619" t="str">
        <f t="shared" si="0"/>
        <v/>
      </c>
      <c r="W19" s="620" t="str">
        <f t="shared" si="0"/>
        <v/>
      </c>
      <c r="X19" s="494" t="str">
        <f t="shared" si="0"/>
        <v/>
      </c>
      <c r="Y19" s="618" t="str">
        <f t="shared" ref="M19:AB21" si="5">IF(Y$5=$K19,0,IF($K19+$L19=Y$5,1,IF(AND(Y$5&lt;=$K19+$L19,Y$5&gt;=$I19),0,"")))</f>
        <v/>
      </c>
      <c r="Z19" s="619" t="str">
        <f t="shared" si="5"/>
        <v/>
      </c>
      <c r="AA19" s="620" t="str">
        <f t="shared" si="5"/>
        <v/>
      </c>
      <c r="AB19" s="618" t="str">
        <f t="shared" si="5"/>
        <v/>
      </c>
      <c r="AC19" s="619" t="str">
        <f t="shared" si="1"/>
        <v/>
      </c>
      <c r="AD19" s="619" t="str">
        <f t="shared" si="1"/>
        <v/>
      </c>
      <c r="AE19" s="620" t="str">
        <f t="shared" si="1"/>
        <v/>
      </c>
      <c r="AF19" s="618" t="str">
        <f t="shared" si="1"/>
        <v/>
      </c>
      <c r="AG19" s="620" t="str">
        <f t="shared" si="1"/>
        <v/>
      </c>
      <c r="AH19" s="618">
        <f t="shared" si="1"/>
        <v>0</v>
      </c>
      <c r="AI19" s="620">
        <f t="shared" si="1"/>
        <v>1</v>
      </c>
      <c r="AJ19" s="494" t="str">
        <f t="shared" si="1"/>
        <v/>
      </c>
      <c r="AK19" s="494" t="str">
        <f t="shared" si="1"/>
        <v/>
      </c>
      <c r="AL19" s="494" t="str">
        <f t="shared" si="1"/>
        <v/>
      </c>
      <c r="AM19" s="618" t="str">
        <f t="shared" si="1"/>
        <v/>
      </c>
      <c r="AN19" s="619" t="str">
        <f t="shared" si="1"/>
        <v/>
      </c>
      <c r="AO19" s="620" t="str">
        <f t="shared" si="1"/>
        <v/>
      </c>
      <c r="AP19" s="494" t="str">
        <f t="shared" si="1"/>
        <v/>
      </c>
      <c r="AQ19" s="494" t="str">
        <f t="shared" si="1"/>
        <v/>
      </c>
      <c r="AR19" s="190">
        <v>8</v>
      </c>
      <c r="AS19" s="511" t="s">
        <v>431</v>
      </c>
    </row>
    <row r="20" spans="2:45" ht="40.5" customHeight="1">
      <c r="B20" s="709"/>
      <c r="C20" s="717"/>
      <c r="D20" s="534" t="s">
        <v>759</v>
      </c>
      <c r="E20" s="705"/>
      <c r="F20" s="705"/>
      <c r="G20" s="519">
        <f ca="1">ROUND(VLOOKUP(B18,Recursos!B:J,9,FALSE)*H20,2)</f>
        <v>199626.72</v>
      </c>
      <c r="H20" s="520">
        <v>0.15</v>
      </c>
      <c r="I20" s="523">
        <v>27</v>
      </c>
      <c r="J20" s="522">
        <v>0.5</v>
      </c>
      <c r="K20" s="523">
        <f t="shared" si="2"/>
        <v>26.5</v>
      </c>
      <c r="L20" s="524">
        <v>0.5</v>
      </c>
      <c r="M20" s="615" t="str">
        <f t="shared" si="5"/>
        <v/>
      </c>
      <c r="N20" s="616" t="str">
        <f t="shared" si="5"/>
        <v/>
      </c>
      <c r="O20" s="616" t="str">
        <f t="shared" si="5"/>
        <v/>
      </c>
      <c r="P20" s="616" t="str">
        <f t="shared" si="5"/>
        <v/>
      </c>
      <c r="Q20" s="616" t="str">
        <f t="shared" si="5"/>
        <v/>
      </c>
      <c r="R20" s="616" t="str">
        <f t="shared" si="5"/>
        <v/>
      </c>
      <c r="S20" s="616" t="str">
        <f t="shared" si="5"/>
        <v/>
      </c>
      <c r="T20" s="616" t="str">
        <f t="shared" si="5"/>
        <v/>
      </c>
      <c r="U20" s="616" t="str">
        <f t="shared" si="5"/>
        <v/>
      </c>
      <c r="V20" s="616" t="str">
        <f t="shared" si="5"/>
        <v/>
      </c>
      <c r="W20" s="617" t="str">
        <f t="shared" si="5"/>
        <v/>
      </c>
      <c r="X20" s="555" t="str">
        <f t="shared" si="5"/>
        <v/>
      </c>
      <c r="Y20" s="615" t="str">
        <f t="shared" si="5"/>
        <v/>
      </c>
      <c r="Z20" s="616" t="str">
        <f t="shared" si="5"/>
        <v/>
      </c>
      <c r="AA20" s="617" t="str">
        <f t="shared" si="5"/>
        <v/>
      </c>
      <c r="AB20" s="615" t="str">
        <f t="shared" si="5"/>
        <v/>
      </c>
      <c r="AC20" s="616" t="str">
        <f t="shared" si="1"/>
        <v/>
      </c>
      <c r="AD20" s="616" t="str">
        <f t="shared" si="1"/>
        <v/>
      </c>
      <c r="AE20" s="617" t="str">
        <f t="shared" si="1"/>
        <v/>
      </c>
      <c r="AF20" s="615" t="str">
        <f t="shared" si="1"/>
        <v/>
      </c>
      <c r="AG20" s="617" t="str">
        <f t="shared" si="1"/>
        <v/>
      </c>
      <c r="AH20" s="615" t="str">
        <f t="shared" si="1"/>
        <v/>
      </c>
      <c r="AI20" s="617" t="str">
        <f t="shared" si="1"/>
        <v/>
      </c>
      <c r="AJ20" s="555" t="str">
        <f t="shared" si="1"/>
        <v/>
      </c>
      <c r="AK20" s="555" t="str">
        <f t="shared" si="1"/>
        <v/>
      </c>
      <c r="AL20" s="555" t="str">
        <f t="shared" si="1"/>
        <v/>
      </c>
      <c r="AM20" s="615">
        <f t="shared" si="1"/>
        <v>1</v>
      </c>
      <c r="AN20" s="616" t="str">
        <f t="shared" si="1"/>
        <v/>
      </c>
      <c r="AO20" s="617" t="str">
        <f t="shared" si="1"/>
        <v/>
      </c>
      <c r="AP20" s="555" t="str">
        <f t="shared" si="1"/>
        <v/>
      </c>
      <c r="AQ20" s="555" t="str">
        <f t="shared" si="1"/>
        <v/>
      </c>
      <c r="AR20" s="190">
        <v>8</v>
      </c>
      <c r="AS20" s="511" t="s">
        <v>432</v>
      </c>
    </row>
    <row r="21" spans="2:45" ht="25.5" customHeight="1">
      <c r="B21" s="594">
        <v>9</v>
      </c>
      <c r="C21" s="595" t="s">
        <v>773</v>
      </c>
      <c r="D21" s="596" t="s">
        <v>772</v>
      </c>
      <c r="E21" s="597">
        <f t="shared" ref="E21" si="6">SUM(G21:G21)</f>
        <v>3365687.4961986789</v>
      </c>
      <c r="F21" s="597">
        <f>G21/1780</f>
        <v>1890.8356720217298</v>
      </c>
      <c r="G21" s="598">
        <f>[6]Cronograma!$P$13</f>
        <v>3365687.4961986789</v>
      </c>
      <c r="H21" s="599">
        <v>1</v>
      </c>
      <c r="I21" s="600">
        <v>16</v>
      </c>
      <c r="J21" s="601">
        <v>4</v>
      </c>
      <c r="K21" s="600">
        <f t="shared" ref="K21" si="7">(J21+I21)-1</f>
        <v>19</v>
      </c>
      <c r="L21" s="602">
        <v>1</v>
      </c>
      <c r="M21" s="621" t="str">
        <f t="shared" si="5"/>
        <v/>
      </c>
      <c r="N21" s="622" t="str">
        <f t="shared" si="5"/>
        <v/>
      </c>
      <c r="O21" s="622" t="str">
        <f t="shared" si="5"/>
        <v/>
      </c>
      <c r="P21" s="622" t="str">
        <f t="shared" si="5"/>
        <v/>
      </c>
      <c r="Q21" s="622" t="str">
        <f t="shared" si="5"/>
        <v/>
      </c>
      <c r="R21" s="622" t="str">
        <f t="shared" si="5"/>
        <v/>
      </c>
      <c r="S21" s="622" t="str">
        <f t="shared" si="5"/>
        <v/>
      </c>
      <c r="T21" s="622" t="str">
        <f t="shared" si="5"/>
        <v/>
      </c>
      <c r="U21" s="622" t="str">
        <f t="shared" si="5"/>
        <v/>
      </c>
      <c r="V21" s="622" t="str">
        <f t="shared" si="5"/>
        <v/>
      </c>
      <c r="W21" s="623" t="str">
        <f t="shared" si="5"/>
        <v/>
      </c>
      <c r="X21" s="553" t="str">
        <f t="shared" si="5"/>
        <v/>
      </c>
      <c r="Y21" s="621" t="str">
        <f t="shared" si="5"/>
        <v/>
      </c>
      <c r="Z21" s="622" t="str">
        <f t="shared" si="5"/>
        <v/>
      </c>
      <c r="AA21" s="623" t="str">
        <f t="shared" si="5"/>
        <v/>
      </c>
      <c r="AB21" s="621">
        <f t="shared" si="5"/>
        <v>0</v>
      </c>
      <c r="AC21" s="622">
        <f t="shared" si="1"/>
        <v>0</v>
      </c>
      <c r="AD21" s="622">
        <f t="shared" si="1"/>
        <v>0</v>
      </c>
      <c r="AE21" s="623">
        <f t="shared" si="1"/>
        <v>0</v>
      </c>
      <c r="AF21" s="621">
        <f t="shared" si="1"/>
        <v>1</v>
      </c>
      <c r="AG21" s="623" t="str">
        <f t="shared" si="1"/>
        <v/>
      </c>
      <c r="AH21" s="621" t="str">
        <f t="shared" si="1"/>
        <v/>
      </c>
      <c r="AI21" s="623" t="str">
        <f t="shared" si="1"/>
        <v/>
      </c>
      <c r="AJ21" s="553" t="str">
        <f t="shared" si="1"/>
        <v/>
      </c>
      <c r="AK21" s="553" t="str">
        <f t="shared" si="1"/>
        <v/>
      </c>
      <c r="AL21" s="553" t="str">
        <f t="shared" si="1"/>
        <v/>
      </c>
      <c r="AM21" s="621" t="str">
        <f t="shared" si="1"/>
        <v/>
      </c>
      <c r="AN21" s="622" t="str">
        <f t="shared" si="1"/>
        <v/>
      </c>
      <c r="AO21" s="623" t="str">
        <f t="shared" si="1"/>
        <v/>
      </c>
      <c r="AP21" s="553" t="str">
        <f t="shared" si="1"/>
        <v/>
      </c>
      <c r="AQ21" s="553" t="str">
        <f t="shared" si="1"/>
        <v/>
      </c>
      <c r="AR21" s="190">
        <v>9</v>
      </c>
      <c r="AS21" s="511" t="s">
        <v>430</v>
      </c>
    </row>
    <row r="22" spans="2:45" ht="70.5" customHeight="1">
      <c r="B22" s="737" t="s">
        <v>792</v>
      </c>
      <c r="C22" s="737"/>
      <c r="D22" s="737"/>
      <c r="E22" s="188"/>
      <c r="F22" s="188"/>
      <c r="G22" s="738">
        <f ca="1">SUM(G6:G21)</f>
        <v>13331880.116198679</v>
      </c>
      <c r="H22" s="739"/>
      <c r="I22" s="740" t="s">
        <v>453</v>
      </c>
      <c r="J22" s="741"/>
      <c r="K22" s="742"/>
      <c r="L22" s="495"/>
      <c r="M22" s="624">
        <f ca="1">SUMPRODUCT($G$6:$G$20,M$6:M$20)</f>
        <v>151690.42000000001</v>
      </c>
      <c r="N22" s="624">
        <f t="shared" ref="N22:AQ22" ca="1" si="8">SUMPRODUCT($G$6:$G$20,N$6:N$20)</f>
        <v>719293.82000000007</v>
      </c>
      <c r="O22" s="624">
        <f t="shared" ca="1" si="8"/>
        <v>488944.41</v>
      </c>
      <c r="P22" s="624">
        <f t="shared" ca="1" si="8"/>
        <v>0</v>
      </c>
      <c r="Q22" s="624">
        <f t="shared" ca="1" si="8"/>
        <v>0</v>
      </c>
      <c r="R22" s="624">
        <f t="shared" ca="1" si="8"/>
        <v>2677747.2400000002</v>
      </c>
      <c r="S22" s="624">
        <f t="shared" ca="1" si="8"/>
        <v>0</v>
      </c>
      <c r="T22" s="624">
        <f t="shared" ca="1" si="8"/>
        <v>3973778.75</v>
      </c>
      <c r="U22" s="624">
        <f t="shared" ca="1" si="8"/>
        <v>623893.17999999993</v>
      </c>
      <c r="V22" s="624">
        <f t="shared" ca="1" si="8"/>
        <v>0</v>
      </c>
      <c r="W22" s="624">
        <f t="shared" ca="1" si="8"/>
        <v>0</v>
      </c>
      <c r="X22" s="624">
        <f t="shared" ca="1" si="8"/>
        <v>0</v>
      </c>
      <c r="Y22" s="624">
        <f t="shared" ca="1" si="8"/>
        <v>0</v>
      </c>
      <c r="Z22" s="624">
        <f t="shared" ca="1" si="8"/>
        <v>0</v>
      </c>
      <c r="AA22" s="624">
        <f t="shared" ca="1" si="8"/>
        <v>0</v>
      </c>
      <c r="AB22" s="624">
        <f t="shared" ca="1" si="8"/>
        <v>0</v>
      </c>
      <c r="AC22" s="624">
        <f t="shared" ca="1" si="8"/>
        <v>0</v>
      </c>
      <c r="AD22" s="624">
        <f t="shared" ca="1" si="8"/>
        <v>798506.88</v>
      </c>
      <c r="AE22" s="624">
        <f t="shared" ca="1" si="8"/>
        <v>0</v>
      </c>
      <c r="AF22" s="624">
        <f t="shared" ca="1" si="8"/>
        <v>0</v>
      </c>
      <c r="AG22" s="624">
        <f t="shared" ca="1" si="8"/>
        <v>0</v>
      </c>
      <c r="AH22" s="624">
        <f t="shared" ca="1" si="8"/>
        <v>0</v>
      </c>
      <c r="AI22" s="624">
        <f t="shared" ca="1" si="8"/>
        <v>332711.2</v>
      </c>
      <c r="AJ22" s="624">
        <f t="shared" ca="1" si="8"/>
        <v>0</v>
      </c>
      <c r="AK22" s="624">
        <f t="shared" ca="1" si="8"/>
        <v>0</v>
      </c>
      <c r="AL22" s="624">
        <f t="shared" ca="1" si="8"/>
        <v>0</v>
      </c>
      <c r="AM22" s="624">
        <f t="shared" ca="1" si="8"/>
        <v>199626.72</v>
      </c>
      <c r="AN22" s="624">
        <f t="shared" ca="1" si="8"/>
        <v>0</v>
      </c>
      <c r="AO22" s="624">
        <f t="shared" ca="1" si="8"/>
        <v>0</v>
      </c>
      <c r="AP22" s="624">
        <f t="shared" ca="1" si="8"/>
        <v>0</v>
      </c>
      <c r="AQ22" s="624">
        <f t="shared" ca="1" si="8"/>
        <v>0</v>
      </c>
    </row>
    <row r="23" spans="2:45" ht="33" customHeight="1">
      <c r="B23" s="496"/>
      <c r="C23" s="496"/>
      <c r="D23" s="496"/>
      <c r="E23" s="497"/>
      <c r="F23" s="497"/>
      <c r="G23" s="568"/>
      <c r="H23" s="498"/>
      <c r="I23" s="733" t="s">
        <v>454</v>
      </c>
      <c r="J23" s="733"/>
      <c r="K23" s="733"/>
      <c r="L23" s="499"/>
      <c r="M23" s="500">
        <f ca="1">M22/$G22</f>
        <v>1.1378021605196636E-2</v>
      </c>
      <c r="N23" s="500">
        <f t="shared" ref="N23:AO23" ca="1" si="9">N22/$G22</f>
        <v>5.3952916897747533E-2</v>
      </c>
      <c r="O23" s="500">
        <f t="shared" ca="1" si="9"/>
        <v>3.6674827986633046E-2</v>
      </c>
      <c r="P23" s="500">
        <f t="shared" ca="1" si="9"/>
        <v>0</v>
      </c>
      <c r="Q23" s="500">
        <f t="shared" ca="1" si="9"/>
        <v>0</v>
      </c>
      <c r="R23" s="500">
        <f t="shared" ca="1" si="9"/>
        <v>0.2008529342194165</v>
      </c>
      <c r="S23" s="500">
        <f t="shared" ca="1" si="9"/>
        <v>0</v>
      </c>
      <c r="T23" s="500">
        <f t="shared" ca="1" si="9"/>
        <v>0.29806589283470425</v>
      </c>
      <c r="U23" s="500">
        <f t="shared" ca="1" si="9"/>
        <v>4.6797088974866258E-2</v>
      </c>
      <c r="V23" s="500">
        <f t="shared" ca="1" si="9"/>
        <v>0</v>
      </c>
      <c r="W23" s="500">
        <f t="shared" ca="1" si="9"/>
        <v>0</v>
      </c>
      <c r="X23" s="500">
        <f t="shared" ca="1" si="9"/>
        <v>0</v>
      </c>
      <c r="Y23" s="500">
        <f t="shared" ca="1" si="9"/>
        <v>0</v>
      </c>
      <c r="Z23" s="500">
        <f t="shared" ca="1" si="9"/>
        <v>0</v>
      </c>
      <c r="AA23" s="500">
        <f t="shared" ca="1" si="9"/>
        <v>0</v>
      </c>
      <c r="AB23" s="500">
        <f t="shared" ca="1" si="9"/>
        <v>0</v>
      </c>
      <c r="AC23" s="500">
        <f t="shared" ca="1" si="9"/>
        <v>0</v>
      </c>
      <c r="AD23" s="500">
        <f t="shared" ca="1" si="9"/>
        <v>5.9894543983319164E-2</v>
      </c>
      <c r="AE23" s="500">
        <f t="shared" ca="1" si="9"/>
        <v>0</v>
      </c>
      <c r="AF23" s="500">
        <f t="shared" ca="1" si="9"/>
        <v>0</v>
      </c>
      <c r="AG23" s="500">
        <f t="shared" ca="1" si="9"/>
        <v>0</v>
      </c>
      <c r="AH23" s="500">
        <f t="shared" ca="1" si="9"/>
        <v>0</v>
      </c>
      <c r="AI23" s="500">
        <f t="shared" ca="1" si="9"/>
        <v>2.4956059993049652E-2</v>
      </c>
      <c r="AJ23" s="500">
        <f t="shared" ca="1" si="9"/>
        <v>0</v>
      </c>
      <c r="AK23" s="500">
        <f t="shared" ca="1" si="9"/>
        <v>0</v>
      </c>
      <c r="AL23" s="500">
        <f t="shared" ca="1" si="9"/>
        <v>0</v>
      </c>
      <c r="AM23" s="500">
        <f t="shared" ca="1" si="9"/>
        <v>1.4973635995829791E-2</v>
      </c>
      <c r="AN23" s="500">
        <f t="shared" ca="1" si="9"/>
        <v>0</v>
      </c>
      <c r="AO23" s="500">
        <f t="shared" ca="1" si="9"/>
        <v>0</v>
      </c>
      <c r="AP23" s="500">
        <f t="shared" ref="AP23:AQ23" ca="1" si="10">AP22/$G22</f>
        <v>0</v>
      </c>
      <c r="AQ23" s="500">
        <f t="shared" ca="1" si="10"/>
        <v>0</v>
      </c>
    </row>
    <row r="24" spans="2:45" ht="64.5" customHeight="1">
      <c r="B24" s="501"/>
      <c r="C24" s="501"/>
      <c r="D24" s="501"/>
      <c r="E24" s="502"/>
      <c r="F24" s="502"/>
      <c r="G24" s="501"/>
      <c r="H24" s="503"/>
      <c r="I24" s="734" t="s">
        <v>455</v>
      </c>
      <c r="J24" s="735"/>
      <c r="K24" s="736"/>
      <c r="L24" s="504"/>
      <c r="M24" s="505">
        <f ca="1">M22</f>
        <v>151690.42000000001</v>
      </c>
      <c r="N24" s="505">
        <f ca="1">N22+M24</f>
        <v>870984.24000000011</v>
      </c>
      <c r="O24" s="505">
        <f t="shared" ref="O24:AO24" ca="1" si="11">O22+N24</f>
        <v>1359928.6500000001</v>
      </c>
      <c r="P24" s="505">
        <f t="shared" ca="1" si="11"/>
        <v>1359928.6500000001</v>
      </c>
      <c r="Q24" s="505">
        <f t="shared" ca="1" si="11"/>
        <v>1359928.6500000001</v>
      </c>
      <c r="R24" s="505">
        <f t="shared" ca="1" si="11"/>
        <v>4037675.8900000006</v>
      </c>
      <c r="S24" s="505">
        <f t="shared" ca="1" si="11"/>
        <v>4037675.8900000006</v>
      </c>
      <c r="T24" s="505">
        <f t="shared" ca="1" si="11"/>
        <v>8011454.6400000006</v>
      </c>
      <c r="U24" s="505">
        <f t="shared" ca="1" si="11"/>
        <v>8635347.8200000003</v>
      </c>
      <c r="V24" s="505">
        <f t="shared" ca="1" si="11"/>
        <v>8635347.8200000003</v>
      </c>
      <c r="W24" s="505">
        <f t="shared" ca="1" si="11"/>
        <v>8635347.8200000003</v>
      </c>
      <c r="X24" s="505">
        <f t="shared" ca="1" si="11"/>
        <v>8635347.8200000003</v>
      </c>
      <c r="Y24" s="505">
        <f ca="1">Y22+X24</f>
        <v>8635347.8200000003</v>
      </c>
      <c r="Z24" s="505">
        <f t="shared" ca="1" si="11"/>
        <v>8635347.8200000003</v>
      </c>
      <c r="AA24" s="505">
        <f t="shared" ca="1" si="11"/>
        <v>8635347.8200000003</v>
      </c>
      <c r="AB24" s="505">
        <f t="shared" ca="1" si="11"/>
        <v>8635347.8200000003</v>
      </c>
      <c r="AC24" s="505">
        <f t="shared" ca="1" si="11"/>
        <v>8635347.8200000003</v>
      </c>
      <c r="AD24" s="505">
        <f t="shared" ca="1" si="11"/>
        <v>9433854.7000000011</v>
      </c>
      <c r="AE24" s="505">
        <f t="shared" ca="1" si="11"/>
        <v>9433854.7000000011</v>
      </c>
      <c r="AF24" s="505">
        <f t="shared" ca="1" si="11"/>
        <v>9433854.7000000011</v>
      </c>
      <c r="AG24" s="505">
        <f t="shared" ca="1" si="11"/>
        <v>9433854.7000000011</v>
      </c>
      <c r="AH24" s="505">
        <f t="shared" ca="1" si="11"/>
        <v>9433854.7000000011</v>
      </c>
      <c r="AI24" s="505">
        <f t="shared" ca="1" si="11"/>
        <v>9766565.9000000004</v>
      </c>
      <c r="AJ24" s="505">
        <f t="shared" ca="1" si="11"/>
        <v>9766565.9000000004</v>
      </c>
      <c r="AK24" s="505">
        <f t="shared" ca="1" si="11"/>
        <v>9766565.9000000004</v>
      </c>
      <c r="AL24" s="505">
        <f t="shared" ca="1" si="11"/>
        <v>9766565.9000000004</v>
      </c>
      <c r="AM24" s="505">
        <f t="shared" ca="1" si="11"/>
        <v>9966192.620000001</v>
      </c>
      <c r="AN24" s="505">
        <f t="shared" ca="1" si="11"/>
        <v>9966192.620000001</v>
      </c>
      <c r="AO24" s="505">
        <f t="shared" ca="1" si="11"/>
        <v>9966192.620000001</v>
      </c>
      <c r="AP24" s="505">
        <f t="shared" ref="AP24" ca="1" si="12">AP22+AO24</f>
        <v>9966192.620000001</v>
      </c>
      <c r="AQ24" s="505">
        <f t="shared" ref="AQ24" ca="1" si="13">AQ22+AP24</f>
        <v>9966192.620000001</v>
      </c>
    </row>
    <row r="25" spans="2:45" ht="32.25" customHeight="1">
      <c r="B25" s="501"/>
      <c r="C25" s="501"/>
      <c r="D25" s="501"/>
      <c r="E25" s="502"/>
      <c r="F25" s="502"/>
      <c r="G25" s="501"/>
      <c r="H25" s="503"/>
      <c r="I25" s="733" t="s">
        <v>456</v>
      </c>
      <c r="J25" s="733"/>
      <c r="K25" s="733"/>
      <c r="L25" s="499"/>
      <c r="M25" s="500">
        <f t="shared" ref="M25:AO25" ca="1" si="14">M24/$G$22</f>
        <v>1.1378021605196636E-2</v>
      </c>
      <c r="N25" s="500">
        <f t="shared" ca="1" si="14"/>
        <v>6.5330938502944164E-2</v>
      </c>
      <c r="O25" s="500">
        <f t="shared" ca="1" si="14"/>
        <v>0.10200576648957722</v>
      </c>
      <c r="P25" s="500">
        <f t="shared" ca="1" si="14"/>
        <v>0.10200576648957722</v>
      </c>
      <c r="Q25" s="500">
        <f t="shared" ca="1" si="14"/>
        <v>0.10200576648957722</v>
      </c>
      <c r="R25" s="500">
        <f t="shared" ca="1" si="14"/>
        <v>0.30285870070899373</v>
      </c>
      <c r="S25" s="500">
        <f t="shared" ca="1" si="14"/>
        <v>0.30285870070899373</v>
      </c>
      <c r="T25" s="500">
        <f t="shared" ca="1" si="14"/>
        <v>0.60092459354369798</v>
      </c>
      <c r="U25" s="500">
        <f t="shared" ca="1" si="14"/>
        <v>0.64772168251856421</v>
      </c>
      <c r="V25" s="500">
        <f t="shared" ca="1" si="14"/>
        <v>0.64772168251856421</v>
      </c>
      <c r="W25" s="500">
        <f t="shared" ca="1" si="14"/>
        <v>0.64772168251856421</v>
      </c>
      <c r="X25" s="500">
        <f t="shared" ca="1" si="14"/>
        <v>0.64772168251856421</v>
      </c>
      <c r="Y25" s="500">
        <f t="shared" ca="1" si="14"/>
        <v>0.64772168251856421</v>
      </c>
      <c r="Z25" s="500">
        <f t="shared" ca="1" si="14"/>
        <v>0.64772168251856421</v>
      </c>
      <c r="AA25" s="500">
        <f t="shared" ca="1" si="14"/>
        <v>0.64772168251856421</v>
      </c>
      <c r="AB25" s="500">
        <f t="shared" ca="1" si="14"/>
        <v>0.64772168251856421</v>
      </c>
      <c r="AC25" s="500">
        <f t="shared" ca="1" si="14"/>
        <v>0.64772168251856421</v>
      </c>
      <c r="AD25" s="500">
        <f t="shared" ca="1" si="14"/>
        <v>0.70761622650188349</v>
      </c>
      <c r="AE25" s="500">
        <f t="shared" ca="1" si="14"/>
        <v>0.70761622650188349</v>
      </c>
      <c r="AF25" s="500">
        <f t="shared" ca="1" si="14"/>
        <v>0.70761622650188349</v>
      </c>
      <c r="AG25" s="500">
        <f t="shared" ca="1" si="14"/>
        <v>0.70761622650188349</v>
      </c>
      <c r="AH25" s="500">
        <f t="shared" ca="1" si="14"/>
        <v>0.70761622650188349</v>
      </c>
      <c r="AI25" s="500">
        <f t="shared" ca="1" si="14"/>
        <v>0.732572286494933</v>
      </c>
      <c r="AJ25" s="500">
        <f t="shared" ca="1" si="14"/>
        <v>0.732572286494933</v>
      </c>
      <c r="AK25" s="500">
        <f t="shared" ca="1" si="14"/>
        <v>0.732572286494933</v>
      </c>
      <c r="AL25" s="500">
        <f t="shared" ca="1" si="14"/>
        <v>0.732572286494933</v>
      </c>
      <c r="AM25" s="500">
        <f t="shared" ca="1" si="14"/>
        <v>0.7475459224907629</v>
      </c>
      <c r="AN25" s="500">
        <f t="shared" ca="1" si="14"/>
        <v>0.7475459224907629</v>
      </c>
      <c r="AO25" s="500">
        <f t="shared" ca="1" si="14"/>
        <v>0.7475459224907629</v>
      </c>
      <c r="AP25" s="500">
        <f t="shared" ref="AP25:AQ25" ca="1" si="15">AP24/$G$22</f>
        <v>0.7475459224907629</v>
      </c>
      <c r="AQ25" s="500">
        <f t="shared" ca="1" si="15"/>
        <v>0.7475459224907629</v>
      </c>
    </row>
    <row r="26" spans="2:45">
      <c r="D26" s="512"/>
    </row>
    <row r="27" spans="2:45">
      <c r="D27" s="512"/>
    </row>
  </sheetData>
  <mergeCells count="42">
    <mergeCell ref="I23:K23"/>
    <mergeCell ref="I24:K24"/>
    <mergeCell ref="I25:K25"/>
    <mergeCell ref="B22:D22"/>
    <mergeCell ref="G22:H22"/>
    <mergeCell ref="I22:K22"/>
    <mergeCell ref="F18:F20"/>
    <mergeCell ref="E18:E20"/>
    <mergeCell ref="C18:C20"/>
    <mergeCell ref="B18:B20"/>
    <mergeCell ref="AM4:AO4"/>
    <mergeCell ref="AH4:AI4"/>
    <mergeCell ref="I4:K4"/>
    <mergeCell ref="Y4:AA4"/>
    <mergeCell ref="M4:W4"/>
    <mergeCell ref="AB4:AE4"/>
    <mergeCell ref="AF4:AG4"/>
    <mergeCell ref="B4:B5"/>
    <mergeCell ref="C4:C5"/>
    <mergeCell ref="D4:D5"/>
    <mergeCell ref="G4:G5"/>
    <mergeCell ref="H4:H5"/>
    <mergeCell ref="B15:B16"/>
    <mergeCell ref="B9:B10"/>
    <mergeCell ref="C15:C16"/>
    <mergeCell ref="C11:C12"/>
    <mergeCell ref="B7:B8"/>
    <mergeCell ref="C7:C8"/>
    <mergeCell ref="C9:C10"/>
    <mergeCell ref="C13:C14"/>
    <mergeCell ref="B13:B14"/>
    <mergeCell ref="B11:B12"/>
    <mergeCell ref="E15:E16"/>
    <mergeCell ref="F15:F16"/>
    <mergeCell ref="E7:E8"/>
    <mergeCell ref="F7:F8"/>
    <mergeCell ref="E9:E10"/>
    <mergeCell ref="F9:F10"/>
    <mergeCell ref="E13:E14"/>
    <mergeCell ref="F13:F14"/>
    <mergeCell ref="E11:E12"/>
    <mergeCell ref="F11:F12"/>
  </mergeCells>
  <conditionalFormatting sqref="M6:AQ21">
    <cfRule type="notContainsBlanks" dxfId="1" priority="1">
      <formula>LEN(TRIM(M6))&gt;0</formula>
    </cfRule>
  </conditionalFormatting>
  <pageMargins left="0.51181102362204722" right="0.51181102362204722" top="0.78740157480314965" bottom="0.78740157480314965" header="0.31496062992125984" footer="0.31496062992125984"/>
  <pageSetup paperSize="8" scale="69" orientation="landscape" r:id="rId1"/>
  <ignoredErrors>
    <ignoredError sqref="G13:G20 G8:G10 G11:G1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2C673-3C77-481C-802A-FA7CC29131B8}">
  <sheetPr>
    <tabColor rgb="FF00B050"/>
  </sheetPr>
  <dimension ref="A1:F8"/>
  <sheetViews>
    <sheetView workbookViewId="0"/>
  </sheetViews>
  <sheetFormatPr defaultRowHeight="15"/>
  <cols>
    <col min="1" max="1" width="9.140625" style="109"/>
    <col min="2" max="2" width="54.140625" style="109" customWidth="1"/>
    <col min="3" max="3" width="8.7109375" style="109" customWidth="1"/>
    <col min="4" max="4" width="17.5703125" style="109" customWidth="1"/>
    <col min="5" max="5" width="17" style="109" customWidth="1"/>
    <col min="6" max="6" width="18.140625" style="109" customWidth="1"/>
    <col min="7" max="16384" width="9.140625" style="109"/>
  </cols>
  <sheetData>
    <row r="1" spans="1:6" ht="54.75" customHeight="1">
      <c r="A1" s="108" t="s">
        <v>299</v>
      </c>
      <c r="B1" s="108" t="s">
        <v>308</v>
      </c>
      <c r="C1" s="225" t="s">
        <v>365</v>
      </c>
      <c r="D1" s="118" t="s">
        <v>309</v>
      </c>
      <c r="E1" s="108" t="s">
        <v>315</v>
      </c>
      <c r="F1" s="107" t="s">
        <v>314</v>
      </c>
    </row>
    <row r="2" spans="1:6" ht="33.75" customHeight="1">
      <c r="A2" s="111" t="s">
        <v>310</v>
      </c>
      <c r="B2" s="112" t="s">
        <v>311</v>
      </c>
      <c r="C2" s="114" t="s">
        <v>316</v>
      </c>
      <c r="D2" s="111">
        <v>0.20069999999999999</v>
      </c>
      <c r="E2" s="119">
        <f>Dados!$C$11</f>
        <v>1.1387937010993363</v>
      </c>
      <c r="F2" s="111">
        <f>ROUND(D2*E2,4)</f>
        <v>0.2286</v>
      </c>
    </row>
    <row r="3" spans="1:6" ht="33.75" customHeight="1">
      <c r="A3" s="111" t="s">
        <v>317</v>
      </c>
      <c r="B3" s="112" t="s">
        <v>318</v>
      </c>
      <c r="C3" s="114" t="s">
        <v>316</v>
      </c>
      <c r="D3" s="111">
        <v>4.7278000000000002</v>
      </c>
      <c r="E3" s="119">
        <f>Dados!$C$11</f>
        <v>1.1387937010993363</v>
      </c>
      <c r="F3" s="111">
        <f>ROUND(D3*E3,4)</f>
        <v>5.3840000000000003</v>
      </c>
    </row>
    <row r="4" spans="1:6" ht="33.75" customHeight="1">
      <c r="A4" s="111" t="s">
        <v>319</v>
      </c>
      <c r="B4" s="112" t="s">
        <v>320</v>
      </c>
      <c r="C4" s="114" t="s">
        <v>316</v>
      </c>
      <c r="D4" s="111">
        <v>1.5410999999999999</v>
      </c>
      <c r="E4" s="119">
        <f>Dados!$C$11</f>
        <v>1.1387937010993363</v>
      </c>
      <c r="F4" s="111">
        <f>ROUND(D4*E4,4)</f>
        <v>1.7549999999999999</v>
      </c>
    </row>
    <row r="5" spans="1:6" ht="33.75" customHeight="1">
      <c r="A5" s="111" t="s">
        <v>321</v>
      </c>
      <c r="B5" s="112" t="s">
        <v>322</v>
      </c>
      <c r="C5" s="114" t="s">
        <v>316</v>
      </c>
      <c r="D5" s="111">
        <v>2.3220000000000001</v>
      </c>
      <c r="E5" s="119">
        <f>Dados!$C$11</f>
        <v>1.1387937010993363</v>
      </c>
      <c r="F5" s="111">
        <f>ROUND(D5*E5,4)</f>
        <v>2.6442999999999999</v>
      </c>
    </row>
    <row r="6" spans="1:6">
      <c r="B6" s="115"/>
      <c r="C6" s="115"/>
    </row>
    <row r="7" spans="1:6" ht="15.75">
      <c r="B7" s="116"/>
      <c r="C7" s="116"/>
    </row>
    <row r="8" spans="1:6">
      <c r="B8" s="117"/>
      <c r="C8" s="117"/>
    </row>
  </sheetData>
  <pageMargins left="0.511811024" right="0.511811024" top="0.78740157499999996" bottom="0.78740157499999996" header="0.31496062000000002" footer="0.31496062000000002"/>
  <pageSetup paperSize="9"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E24BC-CE36-4C36-A48E-FB18C10F71A1}">
  <sheetPr>
    <tabColor rgb="FF002060"/>
    <outlinePr summaryBelow="0" summaryRight="0"/>
  </sheetPr>
  <dimension ref="A1:R110"/>
  <sheetViews>
    <sheetView view="pageBreakPreview" topLeftCell="A25" zoomScale="60" zoomScaleNormal="100" workbookViewId="0">
      <selection activeCell="G7" sqref="G7"/>
    </sheetView>
  </sheetViews>
  <sheetFormatPr defaultColWidth="14.42578125" defaultRowHeight="15.75" customHeight="1"/>
  <cols>
    <col min="1" max="1" width="5" style="438" customWidth="1"/>
    <col min="2" max="2" width="3.5703125" style="440" customWidth="1"/>
    <col min="3" max="3" width="9.42578125" style="440" customWidth="1"/>
    <col min="4" max="4" width="16.140625" style="438" bestFit="1" customWidth="1"/>
    <col min="5" max="5" width="45.42578125" style="440" customWidth="1"/>
    <col min="6" max="6" width="18.5703125" style="438" customWidth="1"/>
    <col min="7" max="7" width="15.5703125" style="442" customWidth="1"/>
    <col min="8" max="8" width="14" style="442" bestFit="1" customWidth="1"/>
    <col min="9" max="9" width="18.28515625" style="442" bestFit="1" customWidth="1"/>
    <col min="10" max="10" width="21.7109375" style="442" bestFit="1" customWidth="1"/>
    <col min="11" max="11" width="30.42578125" style="438" bestFit="1" customWidth="1"/>
    <col min="12" max="12" width="71.85546875" style="642" customWidth="1"/>
    <col min="13" max="16384" width="14.42578125" style="440"/>
  </cols>
  <sheetData>
    <row r="1" spans="1:18">
      <c r="B1" s="655" t="s">
        <v>457</v>
      </c>
      <c r="C1" s="656"/>
      <c r="D1" s="657"/>
      <c r="E1" s="658"/>
      <c r="F1" s="659"/>
      <c r="G1" s="660"/>
      <c r="H1" s="661"/>
      <c r="I1" s="661"/>
      <c r="J1" s="661"/>
      <c r="K1" s="661"/>
      <c r="L1" s="662"/>
    </row>
    <row r="2" spans="1:18">
      <c r="B2" s="663" t="s">
        <v>458</v>
      </c>
      <c r="C2" s="656"/>
      <c r="D2" s="664"/>
      <c r="E2" s="658"/>
      <c r="F2" s="665" t="str">
        <f>Dados!B9</f>
        <v>Data Base:</v>
      </c>
      <c r="G2" s="666">
        <f>Dados!C9</f>
        <v>45108</v>
      </c>
      <c r="H2" s="667" t="s">
        <v>459</v>
      </c>
      <c r="I2" s="667">
        <f>I18+I30+I55+I65+I81+I90+I5+I98</f>
        <v>6883205.0750504993</v>
      </c>
      <c r="J2" s="667">
        <f ca="1">J18+J30+J55+J65+J81+J90+J5+J98</f>
        <v>9966192.6281656176</v>
      </c>
      <c r="K2" s="668"/>
      <c r="L2" s="669"/>
    </row>
    <row r="3" spans="1:18" s="438" customFormat="1" ht="5.0999999999999996" customHeight="1">
      <c r="B3" s="439"/>
      <c r="C3" s="439"/>
      <c r="D3" s="439"/>
      <c r="E3" s="439"/>
      <c r="F3" s="439"/>
      <c r="G3" s="441"/>
      <c r="K3" s="441"/>
      <c r="L3" s="642"/>
    </row>
    <row r="4" spans="1:18" ht="30">
      <c r="B4" s="743" t="s">
        <v>334</v>
      </c>
      <c r="C4" s="744"/>
      <c r="D4" s="443" t="s">
        <v>437</v>
      </c>
      <c r="E4" s="443" t="s">
        <v>439</v>
      </c>
      <c r="F4" s="443" t="s">
        <v>365</v>
      </c>
      <c r="G4" s="443" t="s">
        <v>460</v>
      </c>
      <c r="H4" s="443" t="s">
        <v>461</v>
      </c>
      <c r="I4" s="443" t="s">
        <v>565</v>
      </c>
      <c r="J4" s="443" t="s">
        <v>566</v>
      </c>
      <c r="K4" s="443" t="s">
        <v>462</v>
      </c>
      <c r="L4" s="444" t="s">
        <v>463</v>
      </c>
      <c r="M4" s="445"/>
      <c r="N4" s="445"/>
      <c r="O4" s="445"/>
      <c r="P4" s="445"/>
      <c r="Q4" s="445"/>
      <c r="R4" s="445"/>
    </row>
    <row r="5" spans="1:18" ht="15" customHeight="1">
      <c r="A5" s="438">
        <v>1</v>
      </c>
      <c r="B5" s="469">
        <f>A5</f>
        <v>1</v>
      </c>
      <c r="C5" s="470" t="str">
        <f>'Resumo'!C9</f>
        <v>Plano de Trabalho</v>
      </c>
      <c r="D5" s="447"/>
      <c r="E5" s="448"/>
      <c r="F5" s="447"/>
      <c r="G5" s="449"/>
      <c r="H5" s="450"/>
      <c r="I5" s="451">
        <f>SUM(I6:I17)</f>
        <v>104765.8105775</v>
      </c>
      <c r="J5" s="451">
        <f ca="1">SUM(J6:J17)</f>
        <v>151690.41713516225</v>
      </c>
      <c r="K5" s="452"/>
      <c r="L5" s="643"/>
    </row>
    <row r="6" spans="1:18" ht="15" customHeight="1">
      <c r="A6" s="438">
        <f>A5</f>
        <v>1</v>
      </c>
      <c r="B6" s="471"/>
      <c r="C6" s="472" t="str">
        <f>'1.PdT'!B18</f>
        <v>P8061</v>
      </c>
      <c r="D6" s="453" t="s">
        <v>464</v>
      </c>
      <c r="E6" s="454" t="str">
        <f>IF($D6="PESSOAL",VLOOKUP($C6,'TC 07-2023'!$B:$Z,2,FALSE), IF($D6="EQUIPAMENTOS",VLOOKUP($C6,Equip.Info!$A:$L,2,FALSE),VLOOKUP($C6,Mat.Info!$A:$F,2,FALSE)))</f>
        <v>Engenheiro coordenador</v>
      </c>
      <c r="F6" s="453" t="str">
        <f>IF(D6="PESSOAL","mês", IF(OR(D6="EQUIPAMENTOS",D6="MATERIAL"),"h",""))</f>
        <v>mês</v>
      </c>
      <c r="G6" s="455">
        <f>IF($D6="PESSOAL",VLOOKUP($C6,'TC 07-2023'!$B:$Z,25,FALSE), IF($D6="EQUIPAMENTOS",VLOOKUP($C6,Equip.Info!$A:$L,11,FALSE),VLOOKUP($C6,Mat.Info!$A:$F,6,FALSE)))</f>
        <v>31759.96</v>
      </c>
      <c r="H6" s="456">
        <f>'1.PdT'!H18</f>
        <v>0.25</v>
      </c>
      <c r="I6" s="457">
        <f t="shared" ref="I6:I15" si="0">G6*H6</f>
        <v>7939.99</v>
      </c>
      <c r="J6" s="457">
        <f ca="1">I6*(1+Dados!$C$10)</f>
        <v>11496.311521</v>
      </c>
      <c r="K6" s="458" t="s">
        <v>465</v>
      </c>
      <c r="L6" s="466" t="str">
        <f>'1.PdT'!G18&amp;" "&amp;Recursos!E6&amp;" por 15 dias"</f>
        <v>1 Engenheiro coordenador por 15 dias</v>
      </c>
    </row>
    <row r="7" spans="1:18" ht="15" customHeight="1">
      <c r="A7" s="438">
        <f t="shared" ref="A7:A17" si="1">A6</f>
        <v>1</v>
      </c>
      <c r="B7" s="471"/>
      <c r="C7" s="472" t="str">
        <f>'1.PdT'!B19</f>
        <v>P8044</v>
      </c>
      <c r="D7" s="453" t="s">
        <v>464</v>
      </c>
      <c r="E7" s="454" t="str">
        <f>IF(D7="PESSOAL",VLOOKUP($C7,'TC 07-2023'!$B:$Z,2,FALSE), IF(D7="EQUIPAMENTOS",VLOOKUP($C7,Equip.Info!A:L,2,FALSE),VLOOKUP($C7,Mat.Info!A:F,2,FALSE)))</f>
        <v xml:space="preserve">Coordenador ambiental </v>
      </c>
      <c r="F7" s="453" t="str">
        <f t="shared" ref="F7:F15" si="2">IF(D7="PESSOAL","mês", IF(OR(D7="EQUIPAMENTOS",D7="MATERIAL"),"h",""))</f>
        <v>mês</v>
      </c>
      <c r="G7" s="455">
        <f>IF($D7="PESSOAL",VLOOKUP($C7,'TC 07-2023'!$B:$Z,25,FALSE), IF($D7="EQUIPAMENTOS",VLOOKUP($C7,Equip.Info!$A:$L,11,FALSE),VLOOKUP($C7,Mat.Info!$A:$F,6,FALSE)))</f>
        <v>31481.62</v>
      </c>
      <c r="H7" s="456">
        <f>'1.PdT'!H19</f>
        <v>0.5</v>
      </c>
      <c r="I7" s="457">
        <f t="shared" si="0"/>
        <v>15740.81</v>
      </c>
      <c r="J7" s="457">
        <f ca="1">I7*(1+Dados!$C$10)</f>
        <v>22791.118799</v>
      </c>
      <c r="K7" s="458" t="s">
        <v>465</v>
      </c>
      <c r="L7" s="466" t="str">
        <f>'1.PdT'!G19&amp;" "&amp;Recursos!E7&amp;" por 15 dias"</f>
        <v>1 Coordenador ambiental  por 15 dias</v>
      </c>
    </row>
    <row r="8" spans="1:18" ht="15" customHeight="1">
      <c r="A8" s="438">
        <f t="shared" si="1"/>
        <v>1</v>
      </c>
      <c r="B8" s="471"/>
      <c r="C8" s="472" t="str">
        <f>'1.PdT'!B20</f>
        <v>P8060</v>
      </c>
      <c r="D8" s="453" t="s">
        <v>464</v>
      </c>
      <c r="E8" s="454" t="str">
        <f>IF(D8="PESSOAL",VLOOKUP($C8,'TC 07-2023'!$B:$Z,2,FALSE), IF(D8="EQUIPAMENTOS",VLOOKUP($C8,Equip.Info!A:L,2,FALSE),VLOOKUP($C8,Mat.Info!A:F,2,FALSE)))</f>
        <v>Engenheiro consultor especial</v>
      </c>
      <c r="F8" s="453" t="str">
        <f t="shared" si="2"/>
        <v>mês</v>
      </c>
      <c r="G8" s="455">
        <f>IF($D8="PESSOAL",VLOOKUP($C8,'TC 07-2023'!$B:$Z,25,FALSE), IF($D8="EQUIPAMENTOS",VLOOKUP($C8,Equip.Info!$A:$L,11,FALSE),VLOOKUP($C8,Mat.Info!$A:$F,6,FALSE)))</f>
        <v>37906.68</v>
      </c>
      <c r="H8" s="456">
        <f>'1.PdT'!H20</f>
        <v>0.5</v>
      </c>
      <c r="I8" s="457">
        <f t="shared" si="0"/>
        <v>18953.34</v>
      </c>
      <c r="J8" s="457">
        <f ca="1">I8*(1+Dados!$C$10)</f>
        <v>27442.540986</v>
      </c>
      <c r="K8" s="458" t="s">
        <v>465</v>
      </c>
      <c r="L8" s="466" t="str">
        <f>'1.PdT'!G20&amp;" "&amp;Recursos!E8&amp;" por 15 dias"</f>
        <v>1 Engenheiro consultor especial por 15 dias</v>
      </c>
    </row>
    <row r="9" spans="1:18" ht="15" customHeight="1">
      <c r="A9" s="438">
        <f t="shared" si="1"/>
        <v>1</v>
      </c>
      <c r="B9" s="471"/>
      <c r="C9" s="472" t="str">
        <f>'1.PdT'!B21</f>
        <v>P8067</v>
      </c>
      <c r="D9" s="453" t="s">
        <v>464</v>
      </c>
      <c r="E9" s="454" t="str">
        <f>IF(D9="PESSOAL",VLOOKUP($C9,'TC 07-2023'!$B:$Z,2,FALSE), IF(D9="EQUIPAMENTOS",VLOOKUP($C9,Equip.Info!A:L,2,FALSE),VLOOKUP($C9,Mat.Info!A:F,2,FALSE)))</f>
        <v>Engenheiro de projetos sênior</v>
      </c>
      <c r="F9" s="453" t="str">
        <f t="shared" si="2"/>
        <v>mês</v>
      </c>
      <c r="G9" s="455">
        <f>IF($D9="PESSOAL",VLOOKUP($C9,'TC 07-2023'!$B:$Z,25,FALSE), IF($D9="EQUIPAMENTOS",VLOOKUP($C9,Equip.Info!$A:$L,11,FALSE),VLOOKUP($C9,Mat.Info!$A:$F,6,FALSE)))</f>
        <v>27604.86</v>
      </c>
      <c r="H9" s="456">
        <f>'1.PdT'!H21</f>
        <v>0.5</v>
      </c>
      <c r="I9" s="457">
        <f t="shared" si="0"/>
        <v>13802.43</v>
      </c>
      <c r="J9" s="457">
        <f ca="1">I9*(1+Dados!$C$10)</f>
        <v>19984.538397</v>
      </c>
      <c r="K9" s="458" t="s">
        <v>465</v>
      </c>
      <c r="L9" s="466" t="str">
        <f>'1.PdT'!G21&amp;" "&amp;Recursos!E9&amp;" por 15 dias"</f>
        <v>1 Engenheiro de projetos sênior por 15 dias</v>
      </c>
    </row>
    <row r="10" spans="1:18" ht="15" customHeight="1">
      <c r="A10" s="438">
        <f t="shared" si="1"/>
        <v>1</v>
      </c>
      <c r="B10" s="471"/>
      <c r="C10" s="472" t="str">
        <f>'1.PdT'!B22</f>
        <v>P8066</v>
      </c>
      <c r="D10" s="453" t="s">
        <v>464</v>
      </c>
      <c r="E10" s="454" t="str">
        <f>IF(D10="PESSOAL",VLOOKUP($C10,'TC 07-2023'!$B:$Z,2,FALSE), IF(D10="EQUIPAMENTOS",VLOOKUP($C10,Equip.Info!A:L,2,FALSE),VLOOKUP($C10,Mat.Info!A:F,2,FALSE)))</f>
        <v>Engenheiro de projetos pleno</v>
      </c>
      <c r="F10" s="453" t="str">
        <f t="shared" si="2"/>
        <v>mês</v>
      </c>
      <c r="G10" s="455">
        <f>IF($D10="PESSOAL",VLOOKUP($C10,'TC 07-2023'!$B:$Z,25,FALSE), IF($D10="EQUIPAMENTOS",VLOOKUP($C10,Equip.Info!$A:$L,11,FALSE),VLOOKUP($C10,Mat.Info!$A:$F,6,FALSE)))</f>
        <v>21969.16</v>
      </c>
      <c r="H10" s="456">
        <f>'1.PdT'!H22</f>
        <v>0.5</v>
      </c>
      <c r="I10" s="457">
        <f t="shared" si="0"/>
        <v>10984.58</v>
      </c>
      <c r="J10" s="457">
        <f ca="1">I10*(1+Dados!$C$10)</f>
        <v>15904.573381999999</v>
      </c>
      <c r="K10" s="458" t="s">
        <v>465</v>
      </c>
      <c r="L10" s="466" t="str">
        <f>'1.PdT'!G22&amp;" "&amp;Recursos!E10&amp;" por 15 dias"</f>
        <v>1 Engenheiro de projetos pleno por 15 dias</v>
      </c>
    </row>
    <row r="11" spans="1:18" ht="15" customHeight="1">
      <c r="A11" s="438">
        <f t="shared" si="1"/>
        <v>1</v>
      </c>
      <c r="B11" s="471"/>
      <c r="C11" s="472" t="str">
        <f>'1.PdT'!B23</f>
        <v>P8065</v>
      </c>
      <c r="D11" s="453" t="s">
        <v>464</v>
      </c>
      <c r="E11" s="454" t="str">
        <f>IF(D11="PESSOAL",VLOOKUP($C11,'TC 07-2023'!$B:$Z,2,FALSE), IF(D11="EQUIPAMENTOS",VLOOKUP($C11,Equip.Info!A:L,2,FALSE),VLOOKUP($C11,Mat.Info!A:F,2,FALSE)))</f>
        <v>Engenheiro de projetos júnior</v>
      </c>
      <c r="F11" s="453" t="str">
        <f t="shared" si="2"/>
        <v>mês</v>
      </c>
      <c r="G11" s="455">
        <f>IF($D11="PESSOAL",VLOOKUP($C11,'TC 07-2023'!$B:$Z,25,FALSE), IF($D11="EQUIPAMENTOS",VLOOKUP($C11,Equip.Info!$A:$L,11,FALSE),VLOOKUP($C11,Mat.Info!$A:$F,6,FALSE)))</f>
        <v>21162.82</v>
      </c>
      <c r="H11" s="456">
        <f>'1.PdT'!H23</f>
        <v>0.5</v>
      </c>
      <c r="I11" s="457">
        <f t="shared" si="0"/>
        <v>10581.41</v>
      </c>
      <c r="J11" s="457">
        <f ca="1">I11*(1+Dados!$C$10)</f>
        <v>15320.823538999999</v>
      </c>
      <c r="K11" s="458" t="s">
        <v>465</v>
      </c>
      <c r="L11" s="466" t="str">
        <f>'1.PdT'!G23&amp;" "&amp;Recursos!E11&amp;" por 15 dias"</f>
        <v>1 Engenheiro de projetos júnior por 15 dias</v>
      </c>
    </row>
    <row r="12" spans="1:18" ht="15" customHeight="1">
      <c r="A12" s="438">
        <f t="shared" si="1"/>
        <v>1</v>
      </c>
      <c r="B12" s="471"/>
      <c r="C12" s="472" t="str">
        <f>'1.PdT'!B24</f>
        <v>P8047</v>
      </c>
      <c r="D12" s="453" t="s">
        <v>464</v>
      </c>
      <c r="E12" s="454" t="str">
        <f>IF(D12="PESSOAL",VLOOKUP($C12,'TC 07-2023'!$B:$Z,2,FALSE), IF(D12="EQUIPAMENTOS",VLOOKUP($C12,Equip.Info!A:L,2,FALSE),VLOOKUP($C12,Mat.Info!A:F,2,FALSE)))</f>
        <v>Economista sênior</v>
      </c>
      <c r="F12" s="453" t="str">
        <f t="shared" si="2"/>
        <v>mês</v>
      </c>
      <c r="G12" s="455">
        <f>IF($D12="PESSOAL",VLOOKUP($C12,'TC 07-2023'!$B:$Z,25,FALSE), IF($D12="EQUIPAMENTOS",VLOOKUP($C12,Equip.Info!$A:$L,11,FALSE),VLOOKUP($C12,Mat.Info!$A:$F,6,FALSE)))</f>
        <v>19860.28</v>
      </c>
      <c r="H12" s="456">
        <f>'1.PdT'!H24</f>
        <v>0.5</v>
      </c>
      <c r="I12" s="457">
        <f t="shared" si="0"/>
        <v>9930.14</v>
      </c>
      <c r="J12" s="457">
        <f ca="1">I12*(1+Dados!$C$10)</f>
        <v>14377.849705999999</v>
      </c>
      <c r="K12" s="458" t="s">
        <v>465</v>
      </c>
      <c r="L12" s="466" t="str">
        <f>'1.PdT'!G24&amp;" "&amp;Recursos!E12&amp;" por 15 dias"</f>
        <v>1 Economista sênior por 15 dias</v>
      </c>
    </row>
    <row r="13" spans="1:18" ht="15" customHeight="1">
      <c r="A13" s="438">
        <f t="shared" si="1"/>
        <v>1</v>
      </c>
      <c r="B13" s="471"/>
      <c r="C13" s="472" t="str">
        <f>'1.PdT'!B25</f>
        <v>P8003</v>
      </c>
      <c r="D13" s="453" t="s">
        <v>464</v>
      </c>
      <c r="E13" s="454" t="str">
        <f>IF(D13="PESSOAL",VLOOKUP($C13,'TC 07-2023'!$B:$Z,2,FALSE), IF(D13="EQUIPAMENTOS",VLOOKUP($C13,Equip.Info!A:L,2,FALSE),VLOOKUP($C13,Mat.Info!A:F,2,FALSE)))</f>
        <v>Advogado sênior</v>
      </c>
      <c r="F13" s="453" t="str">
        <f t="shared" ref="F13" si="3">IF(D13="PESSOAL","mês", IF(OR(D13="EQUIPAMENTOS",D13="MATERIAL"),"h",""))</f>
        <v>mês</v>
      </c>
      <c r="G13" s="455">
        <f>IF($D13="PESSOAL",VLOOKUP($C13,'TC 07-2023'!$B:$Z,25,FALSE), IF($D13="EQUIPAMENTOS",VLOOKUP($C13,Equip.Info!$A:$L,11,FALSE),VLOOKUP($C13,Mat.Info!$A:$F,6,FALSE)))</f>
        <v>19214.900000000001</v>
      </c>
      <c r="H13" s="456">
        <f>'1.PdT'!H25</f>
        <v>0.5</v>
      </c>
      <c r="I13" s="457">
        <f t="shared" ref="I13" si="4">G13*H13</f>
        <v>9607.4500000000007</v>
      </c>
      <c r="J13" s="457">
        <f ca="1">I13*(1+Dados!$C$10)</f>
        <v>13910.626855</v>
      </c>
      <c r="K13" s="458" t="s">
        <v>465</v>
      </c>
      <c r="L13" s="466" t="str">
        <f>'1.PdT'!G25&amp;" "&amp;Recursos!E13&amp;" por 15 dias"</f>
        <v>1 Advogado sênior por 15 dias</v>
      </c>
    </row>
    <row r="14" spans="1:18" ht="15" customHeight="1">
      <c r="A14" s="438">
        <f t="shared" si="1"/>
        <v>1</v>
      </c>
      <c r="B14" s="473"/>
      <c r="C14" s="474" t="str">
        <f>'2.EMD'!$B$12</f>
        <v>EQ0768</v>
      </c>
      <c r="D14" s="453" t="s">
        <v>467</v>
      </c>
      <c r="E14" s="454" t="str">
        <f>IF(D14="PESSOAL",VLOOKUP($C14,'TC 07-2023'!$B:$Z,2,FALSE), IF(D14="EQUIPAMENTOS",VLOOKUP($C14,Equip.Info!A:L,2,FALSE),VLOOKUP($C14,Mat.Info!A:F,2,FALSE)))</f>
        <v>Desktop com monitor de 21", processador, placa de vídeo e memória compatíveis à CAD/SIG</v>
      </c>
      <c r="F14" s="453" t="str">
        <f t="shared" si="2"/>
        <v>h</v>
      </c>
      <c r="G14" s="455">
        <f>IF($D14="PESSOAL",VLOOKUP($C14,'TC 07-2023'!$B:$Z,25,FALSE), IF($D14="EQUIPAMENTOS",VLOOKUP($C14,Equip.Info!$A:$L,11,FALSE),VLOOKUP($C14,Mat.Info!$A:$F,6,FALSE)))</f>
        <v>1.6060000000000001</v>
      </c>
      <c r="H14" s="459">
        <f>'1.PdT'!F12</f>
        <v>684.33749999999998</v>
      </c>
      <c r="I14" s="457">
        <f t="shared" si="0"/>
        <v>1099.0460250000001</v>
      </c>
      <c r="J14" s="457">
        <f ca="1">I14*(1+Dados!$C$10)</f>
        <v>1591.3087395975001</v>
      </c>
      <c r="K14" s="458" t="s">
        <v>567</v>
      </c>
      <c r="L14" s="466" t="s">
        <v>568</v>
      </c>
    </row>
    <row r="15" spans="1:18" ht="25.5">
      <c r="A15" s="438">
        <f t="shared" si="1"/>
        <v>1</v>
      </c>
      <c r="B15" s="473"/>
      <c r="C15" s="474" t="str">
        <f>'2.EMD'!$B$31</f>
        <v>MT2561</v>
      </c>
      <c r="D15" s="453" t="s">
        <v>564</v>
      </c>
      <c r="E15" s="454" t="str">
        <f>IF(D15="PESSOAL",VLOOKUP($C15,'TC 07-2023'!$B:$Z,2,FALSE), IF(D15="EQUIPAMENTOS",VLOOKUP($C15,Equip.Info!A:L,2,FALSE),VLOOKUP($C15,Mat.Info!A:F,2,FALSE)))</f>
        <v>Sistema operacional e pacote office</v>
      </c>
      <c r="F15" s="453" t="str">
        <f t="shared" si="2"/>
        <v>h</v>
      </c>
      <c r="G15" s="455">
        <f>IF($D15="PESSOAL",VLOOKUP($C15,'TC 07-2023'!$B:$Z,25,FALSE), IF($D15="EQUIPAMENTOS",VLOOKUP($C15,Equip.Info!$A:$L,11,FALSE),VLOOKUP($C15,Mat.Info!$A:$F,6,FALSE)))</f>
        <v>0.2286</v>
      </c>
      <c r="H15" s="459">
        <f>'1.PdT'!I31</f>
        <v>684.33749999999998</v>
      </c>
      <c r="I15" s="457">
        <f t="shared" si="0"/>
        <v>156.43955249999999</v>
      </c>
      <c r="J15" s="457">
        <f ca="1">I15*(1+Dados!$C$10)</f>
        <v>226.50882806474999</v>
      </c>
      <c r="K15" s="458" t="s">
        <v>567</v>
      </c>
      <c r="L15" s="466" t="s">
        <v>569</v>
      </c>
    </row>
    <row r="16" spans="1:18" ht="25.5">
      <c r="A16" s="438">
        <f t="shared" si="1"/>
        <v>1</v>
      </c>
      <c r="B16" s="475"/>
      <c r="C16" s="476"/>
      <c r="D16" s="453" t="s">
        <v>660</v>
      </c>
      <c r="E16" s="454" t="s">
        <v>686</v>
      </c>
      <c r="F16" s="453" t="s">
        <v>683</v>
      </c>
      <c r="G16" s="455">
        <f>I16/H16</f>
        <v>906.33333333333337</v>
      </c>
      <c r="H16" s="456">
        <f>IF(D16="PASSAGENS",SUMIFS('Diárias e Passagens'!I:I,'Diárias e Passagens'!A:A,A16),SUMIFS('Diárias e Passagens'!M:M,'Diárias e Passagens'!A:A,A16))</f>
        <v>3</v>
      </c>
      <c r="I16" s="457">
        <f>IF(D16="PASSAGENS",SUMIFS('Diárias e Passagens'!K:K,'Diárias e Passagens'!A:A,A16),SUMIFS('Diárias e Passagens'!O:O,'Diárias e Passagens'!A:A,A16))</f>
        <v>2719</v>
      </c>
      <c r="J16" s="457">
        <f ca="1">I16*(1+Dados!$C$10)</f>
        <v>3936.8400999999999</v>
      </c>
      <c r="K16" s="460" t="s">
        <v>685</v>
      </c>
      <c r="L16" s="466" t="s">
        <v>684</v>
      </c>
    </row>
    <row r="17" spans="1:17" ht="15" customHeight="1">
      <c r="A17" s="438">
        <f t="shared" si="1"/>
        <v>1</v>
      </c>
      <c r="B17" s="475"/>
      <c r="C17" s="476"/>
      <c r="D17" s="453" t="s">
        <v>466</v>
      </c>
      <c r="E17" s="454" t="s">
        <v>687</v>
      </c>
      <c r="F17" s="453" t="s">
        <v>682</v>
      </c>
      <c r="G17" s="455">
        <f>I17/H17</f>
        <v>433.48999999999995</v>
      </c>
      <c r="H17" s="456">
        <f>IF(D17="PASSAGENS",SUMIFS('Diárias e Passagens'!I:I,'Diárias e Passagens'!A:A,A17),SUMIFS('Diárias e Passagens'!M:M,'Diárias e Passagens'!A:A,A17))</f>
        <v>7.5</v>
      </c>
      <c r="I17" s="457">
        <f>IF(D17="PASSAGENS",SUMIFS('Diárias e Passagens'!K:K,'Diárias e Passagens'!A:A,A17),SUMIFS('Diárias e Passagens'!O:O,'Diárias e Passagens'!A:A,A17))</f>
        <v>3251.1749999999997</v>
      </c>
      <c r="J17" s="457">
        <f ca="1">I17*(1+Dados!$C$10)</f>
        <v>4707.3762824999994</v>
      </c>
      <c r="K17" s="460" t="str">
        <f>Diárias!$I$6</f>
        <v>Decreto nº 11.117, 1º de julho De 2022</v>
      </c>
      <c r="L17" s="466" t="s">
        <v>719</v>
      </c>
      <c r="Q17" s="461"/>
    </row>
    <row r="18" spans="1:17" ht="15" customHeight="1">
      <c r="A18" s="438">
        <v>2</v>
      </c>
      <c r="B18" s="469">
        <f>A18</f>
        <v>2</v>
      </c>
      <c r="C18" s="470" t="str">
        <f>'Resumo'!C10</f>
        <v>Dimensão de Mercado e Demanda (EMD)</v>
      </c>
      <c r="D18" s="447"/>
      <c r="E18" s="448"/>
      <c r="F18" s="447"/>
      <c r="G18" s="449"/>
      <c r="H18" s="450"/>
      <c r="I18" s="451">
        <f>SUM(I19:I29)</f>
        <v>1276020.5947516665</v>
      </c>
      <c r="J18" s="451">
        <f ca="1">SUM(J19:J29)</f>
        <v>1847550.2191409378</v>
      </c>
      <c r="K18" s="452"/>
      <c r="L18" s="643"/>
    </row>
    <row r="19" spans="1:17" ht="15" customHeight="1">
      <c r="A19" s="438">
        <f>A18</f>
        <v>2</v>
      </c>
      <c r="B19" s="471"/>
      <c r="C19" s="472" t="str">
        <f>'2.EMD'!B18</f>
        <v>P8060</v>
      </c>
      <c r="D19" s="453" t="s">
        <v>464</v>
      </c>
      <c r="E19" s="454" t="str">
        <f>IF($D19="PESSOAL",VLOOKUP($C19,'TC 07-2023'!$B:$Z,2,FALSE), IF($D19="EQUIPAMENTOS",VLOOKUP($C19,Equip.Info!$A:$L,2,FALSE),VLOOKUP($C19,Mat.Info!$A:$F,2,FALSE)))</f>
        <v>Engenheiro consultor especial</v>
      </c>
      <c r="F19" s="453" t="str">
        <f>IF(D19="PESSOAL","mês", IF(OR(D19="EQUIPAMENTOS",D19="MATERIAL"),"h",""))</f>
        <v>mês</v>
      </c>
      <c r="G19" s="455">
        <f>IF($D19="PESSOAL",VLOOKUP($C19,'TC 07-2023'!$B:$Z,25,FALSE), IF($D19="EQUIPAMENTOS",VLOOKUP($C19,Equip.Info!$A:$L,11,FALSE),VLOOKUP($C19,Mat.Info!$A:$F,6,FALSE)))</f>
        <v>37906.68</v>
      </c>
      <c r="H19" s="459">
        <f>'2.EMD'!H18</f>
        <v>2.5</v>
      </c>
      <c r="I19" s="457">
        <f t="shared" ref="I19:I27" si="5">G19*H19</f>
        <v>94766.7</v>
      </c>
      <c r="J19" s="457">
        <f ca="1">I19*(1+Dados!$C$10)</f>
        <v>137212.70492999998</v>
      </c>
      <c r="K19" s="458" t="s">
        <v>465</v>
      </c>
      <c r="L19" s="466" t="str">
        <f>'2.EMD'!G18&amp;" "&amp;'2.EMD'!C18&amp;" por mês"</f>
        <v>1 Engenheiro consultor especial por mês</v>
      </c>
    </row>
    <row r="20" spans="1:17" ht="15" customHeight="1">
      <c r="A20" s="438">
        <f t="shared" ref="A20:A29" si="6">A19</f>
        <v>2</v>
      </c>
      <c r="B20" s="471"/>
      <c r="C20" s="472" t="str">
        <f>'2.EMD'!B19</f>
        <v>P8067</v>
      </c>
      <c r="D20" s="453" t="s">
        <v>464</v>
      </c>
      <c r="E20" s="454" t="str">
        <f>IF(D20="PESSOAL",VLOOKUP($C20,'TC 07-2023'!$B:$Z,2,FALSE), IF(D20="EQUIPAMENTOS",VLOOKUP($C20,Equip.Info!A:L,2,FALSE),VLOOKUP($C20,Mat.Info!A:F,2,FALSE)))</f>
        <v>Engenheiro de projetos sênior</v>
      </c>
      <c r="F20" s="453" t="str">
        <f t="shared" ref="F20:F27" si="7">IF(D20="PESSOAL","mês", IF(OR(D20="EQUIPAMENTOS",D20="MATERIAL"),"h",""))</f>
        <v>mês</v>
      </c>
      <c r="G20" s="455">
        <f>IF($D20="PESSOAL",VLOOKUP($C20,'TC 07-2023'!$B:$Z,25,FALSE), IF($D20="EQUIPAMENTOS",VLOOKUP($C20,Equip.Info!$A:$L,11,FALSE),VLOOKUP($C20,Mat.Info!$A:$F,6,FALSE)))</f>
        <v>27604.86</v>
      </c>
      <c r="H20" s="459">
        <f>'2.EMD'!H19</f>
        <v>10</v>
      </c>
      <c r="I20" s="457">
        <f t="shared" si="5"/>
        <v>276048.59999999998</v>
      </c>
      <c r="J20" s="457">
        <f ca="1">I20*(1+Dados!$C$10)</f>
        <v>399690.76793999993</v>
      </c>
      <c r="K20" s="458" t="s">
        <v>465</v>
      </c>
      <c r="L20" s="466" t="str">
        <f>'2.EMD'!G19&amp;" "&amp;'2.EMD'!C19&amp;" por mês"</f>
        <v>2 Engenheiro de projetos sênior por mês</v>
      </c>
    </row>
    <row r="21" spans="1:17" ht="15" customHeight="1">
      <c r="A21" s="438">
        <f t="shared" si="6"/>
        <v>2</v>
      </c>
      <c r="B21" s="471"/>
      <c r="C21" s="472" t="str">
        <f>'2.EMD'!B20</f>
        <v>P8066</v>
      </c>
      <c r="D21" s="453" t="s">
        <v>464</v>
      </c>
      <c r="E21" s="454" t="str">
        <f>IF(D21="PESSOAL",VLOOKUP($C21,'TC 07-2023'!$B:$Z,2,FALSE), IF(D21="EQUIPAMENTOS",VLOOKUP($C21,Equip.Info!A:L,2,FALSE),VLOOKUP($C21,Mat.Info!A:F,2,FALSE)))</f>
        <v>Engenheiro de projetos pleno</v>
      </c>
      <c r="F21" s="453" t="str">
        <f t="shared" si="7"/>
        <v>mês</v>
      </c>
      <c r="G21" s="455">
        <f>IF($D21="PESSOAL",VLOOKUP($C21,'TC 07-2023'!$B:$Z,25,FALSE), IF($D21="EQUIPAMENTOS",VLOOKUP($C21,Equip.Info!$A:$L,11,FALSE),VLOOKUP($C21,Mat.Info!$A:$F,6,FALSE)))</f>
        <v>21969.16</v>
      </c>
      <c r="H21" s="459">
        <f>'2.EMD'!H20</f>
        <v>15</v>
      </c>
      <c r="I21" s="457">
        <f t="shared" si="5"/>
        <v>329537.40000000002</v>
      </c>
      <c r="J21" s="457">
        <f ca="1">I21*(1+Dados!$C$10)</f>
        <v>477137.20146000001</v>
      </c>
      <c r="K21" s="458" t="s">
        <v>465</v>
      </c>
      <c r="L21" s="466" t="str">
        <f>'2.EMD'!G20&amp;" "&amp;'2.EMD'!C20&amp;" por mês"</f>
        <v>3 Engenheiro de projetos pleno por mês</v>
      </c>
    </row>
    <row r="22" spans="1:17" ht="15" customHeight="1">
      <c r="A22" s="438">
        <f t="shared" si="6"/>
        <v>2</v>
      </c>
      <c r="B22" s="471"/>
      <c r="C22" s="472" t="str">
        <f>'2.EMD'!B21</f>
        <v>P8065</v>
      </c>
      <c r="D22" s="453" t="s">
        <v>464</v>
      </c>
      <c r="E22" s="454" t="str">
        <f>IF(D22="PESSOAL",VLOOKUP($C22,'TC 07-2023'!$B:$Z,2,FALSE), IF(D22="EQUIPAMENTOS",VLOOKUP($C22,Equip.Info!A:L,2,FALSE),VLOOKUP($C22,Mat.Info!A:F,2,FALSE)))</f>
        <v>Engenheiro de projetos júnior</v>
      </c>
      <c r="F22" s="453" t="str">
        <f t="shared" si="7"/>
        <v>mês</v>
      </c>
      <c r="G22" s="455">
        <f>IF($D22="PESSOAL",VLOOKUP($C22,'TC 07-2023'!$B:$Z,25,FALSE), IF($D22="EQUIPAMENTOS",VLOOKUP($C22,Equip.Info!$A:$L,11,FALSE),VLOOKUP($C22,Mat.Info!$A:$F,6,FALSE)))</f>
        <v>21162.82</v>
      </c>
      <c r="H22" s="459">
        <f>'2.EMD'!H21</f>
        <v>10</v>
      </c>
      <c r="I22" s="457">
        <f t="shared" si="5"/>
        <v>211628.2</v>
      </c>
      <c r="J22" s="457">
        <f ca="1">I22*(1+Dados!$C$10)</f>
        <v>306416.47078000003</v>
      </c>
      <c r="K22" s="458" t="s">
        <v>465</v>
      </c>
      <c r="L22" s="466" t="str">
        <f>'2.EMD'!G21&amp;" "&amp;'2.EMD'!C21&amp;" por mês"</f>
        <v>2 Engenheiro de projetos júnior por mês</v>
      </c>
    </row>
    <row r="23" spans="1:17" ht="15" customHeight="1">
      <c r="A23" s="438">
        <f t="shared" si="6"/>
        <v>2</v>
      </c>
      <c r="B23" s="471"/>
      <c r="C23" s="472" t="str">
        <f>'2.EMD'!B22</f>
        <v>P8047</v>
      </c>
      <c r="D23" s="453" t="s">
        <v>464</v>
      </c>
      <c r="E23" s="454" t="str">
        <f>IF(D23="PESSOAL",VLOOKUP($C23,'TC 07-2023'!$B:$Z,2,FALSE), IF(D23="EQUIPAMENTOS",VLOOKUP($C23,Equip.Info!A:L,2,FALSE),VLOOKUP($C23,Mat.Info!A:F,2,FALSE)))</f>
        <v>Economista sênior</v>
      </c>
      <c r="F23" s="453" t="str">
        <f t="shared" si="7"/>
        <v>mês</v>
      </c>
      <c r="G23" s="455">
        <f>IF($D23="PESSOAL",VLOOKUP($C23,'TC 07-2023'!$B:$Z,25,FALSE), IF($D23="EQUIPAMENTOS",VLOOKUP($C23,Equip.Info!$A:$L,11,FALSE),VLOOKUP($C23,Mat.Info!$A:$F,6,FALSE)))</f>
        <v>19860.28</v>
      </c>
      <c r="H23" s="459">
        <f>'2.EMD'!H22</f>
        <v>5</v>
      </c>
      <c r="I23" s="457">
        <f t="shared" si="5"/>
        <v>99301.4</v>
      </c>
      <c r="J23" s="457">
        <f ca="1">I23*(1+Dados!$C$10)</f>
        <v>143778.49705999999</v>
      </c>
      <c r="K23" s="458" t="s">
        <v>465</v>
      </c>
      <c r="L23" s="466" t="str">
        <f>'2.EMD'!G22&amp;" "&amp;'2.EMD'!C22&amp;" por mês"</f>
        <v>1 Economista sênior por mês</v>
      </c>
    </row>
    <row r="24" spans="1:17" ht="15" customHeight="1">
      <c r="A24" s="438">
        <f t="shared" si="6"/>
        <v>2</v>
      </c>
      <c r="B24" s="471"/>
      <c r="C24" s="472" t="str">
        <f>'2.EMD'!B23</f>
        <v>P8046</v>
      </c>
      <c r="D24" s="453" t="s">
        <v>464</v>
      </c>
      <c r="E24" s="454" t="str">
        <f>IF(D24="PESSOAL",VLOOKUP($C24,'TC 07-2023'!$B:$Z,2,FALSE), IF(D24="EQUIPAMENTOS",VLOOKUP($C24,Equip.Info!A:L,2,FALSE),VLOOKUP($C24,Mat.Info!A:F,2,FALSE)))</f>
        <v>Economista pleno</v>
      </c>
      <c r="F24" s="453" t="str">
        <f t="shared" si="7"/>
        <v>mês</v>
      </c>
      <c r="G24" s="455">
        <f>IF($D24="PESSOAL",VLOOKUP($C24,'TC 07-2023'!$B:$Z,25,FALSE), IF($D24="EQUIPAMENTOS",VLOOKUP($C24,Equip.Info!$A:$L,11,FALSE),VLOOKUP($C24,Mat.Info!$A:$F,6,FALSE)))</f>
        <v>12060.72</v>
      </c>
      <c r="H24" s="459">
        <f>'2.EMD'!H23</f>
        <v>5</v>
      </c>
      <c r="I24" s="457">
        <f t="shared" si="5"/>
        <v>60303.6</v>
      </c>
      <c r="J24" s="457">
        <f ca="1">I24*(1+Dados!$C$10)</f>
        <v>87313.582439999998</v>
      </c>
      <c r="K24" s="458" t="s">
        <v>465</v>
      </c>
      <c r="L24" s="466" t="str">
        <f>'2.EMD'!G23&amp;" "&amp;'2.EMD'!C23&amp;" por mês"</f>
        <v>1 Economista pleno por mês</v>
      </c>
    </row>
    <row r="25" spans="1:17" ht="15" customHeight="1">
      <c r="A25" s="438">
        <f t="shared" si="6"/>
        <v>2</v>
      </c>
      <c r="B25" s="471"/>
      <c r="C25" s="472" t="str">
        <f>'2.EMD'!B24</f>
        <v>P8061</v>
      </c>
      <c r="D25" s="453" t="s">
        <v>464</v>
      </c>
      <c r="E25" s="454" t="str">
        <f>IF(D25="PESSOAL",VLOOKUP($C25,'TC 07-2023'!$B:$Z,2,FALSE), IF(D25="EQUIPAMENTOS",VLOOKUP($C25,Equip.Info!A:L,2,FALSE),VLOOKUP($C25,Mat.Info!A:F,2,FALSE)))</f>
        <v>Engenheiro coordenador</v>
      </c>
      <c r="F25" s="453" t="str">
        <f t="shared" ref="F25" si="8">IF(D25="PESSOAL","mês", IF(OR(D25="EQUIPAMENTOS",D25="MATERIAL"),"h",""))</f>
        <v>mês</v>
      </c>
      <c r="G25" s="455">
        <f>IF($D25="PESSOAL",VLOOKUP($C25,'TC 07-2023'!$B:$Z,25,FALSE), IF($D25="EQUIPAMENTOS",VLOOKUP($C25,Equip.Info!$A:$L,11,FALSE),VLOOKUP($C25,Mat.Info!$A:$F,6,FALSE)))</f>
        <v>31759.96</v>
      </c>
      <c r="H25" s="459">
        <f>'2.EMD'!H24</f>
        <v>5</v>
      </c>
      <c r="I25" s="457">
        <f t="shared" ref="I25" si="9">G25*H25</f>
        <v>158799.79999999999</v>
      </c>
      <c r="J25" s="457">
        <f ca="1">I25*(1+Dados!$C$10)</f>
        <v>229926.23041999998</v>
      </c>
      <c r="K25" s="458" t="s">
        <v>465</v>
      </c>
      <c r="L25" s="466" t="str">
        <f>'2.EMD'!G24&amp;" "&amp;'2.EMD'!C24&amp;" por mês"</f>
        <v>1 Engenheiro coordenador por mês</v>
      </c>
    </row>
    <row r="26" spans="1:17" ht="15" customHeight="1">
      <c r="A26" s="438">
        <f t="shared" si="6"/>
        <v>2</v>
      </c>
      <c r="B26" s="473"/>
      <c r="C26" s="474" t="str">
        <f>'2.EMD'!$B$12</f>
        <v>EQ0768</v>
      </c>
      <c r="D26" s="453" t="s">
        <v>467</v>
      </c>
      <c r="E26" s="454" t="str">
        <f>IF(D26="PESSOAL",VLOOKUP($C26,'TC 07-2023'!$B:$Z,2,FALSE), IF(D26="EQUIPAMENTOS",VLOOKUP($C26,Equip.Info!A:L,2,FALSE),VLOOKUP($C26,Mat.Info!A:F,2,FALSE)))</f>
        <v>Desktop com monitor de 21", processador, placa de vídeo e memória compatíveis à CAD/SIG</v>
      </c>
      <c r="F26" s="453" t="str">
        <f t="shared" si="7"/>
        <v>h</v>
      </c>
      <c r="G26" s="455">
        <f>IF($D26="PESSOAL",VLOOKUP($C26,'TC 07-2023'!$B:$Z,25,FALSE), IF($D26="EQUIPAMENTOS",VLOOKUP($C26,Equip.Info!$A:$L,11,FALSE),VLOOKUP($C26,Mat.Info!$A:$F,6,FALSE)))</f>
        <v>1.6060000000000001</v>
      </c>
      <c r="H26" s="459">
        <f>'2.EMD'!F12</f>
        <v>9580.7250000000004</v>
      </c>
      <c r="I26" s="457">
        <f t="shared" si="5"/>
        <v>15386.644350000002</v>
      </c>
      <c r="J26" s="457">
        <f ca="1">I26*(1+Dados!$C$10)</f>
        <v>22278.322354365002</v>
      </c>
      <c r="K26" s="458" t="s">
        <v>567</v>
      </c>
      <c r="L26" s="466" t="s">
        <v>568</v>
      </c>
    </row>
    <row r="27" spans="1:17" ht="25.5">
      <c r="A27" s="438">
        <f t="shared" si="6"/>
        <v>2</v>
      </c>
      <c r="B27" s="473"/>
      <c r="C27" s="474" t="str">
        <f>'2.EMD'!$B$31</f>
        <v>MT2561</v>
      </c>
      <c r="D27" s="453" t="s">
        <v>564</v>
      </c>
      <c r="E27" s="454" t="str">
        <f>IF(D27="PESSOAL",VLOOKUP($C27,'TC 07-2023'!$B:$Z,2,FALSE), IF(D27="EQUIPAMENTOS",VLOOKUP($C27,Equip.Info!A:L,2,FALSE),VLOOKUP($C27,Mat.Info!A:F,2,FALSE)))</f>
        <v>Sistema operacional e pacote office</v>
      </c>
      <c r="F27" s="453" t="str">
        <f t="shared" si="7"/>
        <v>h</v>
      </c>
      <c r="G27" s="455">
        <f>IF($D27="PESSOAL",VLOOKUP($C27,'TC 07-2023'!$B:$Z,25,FALSE), IF($D27="EQUIPAMENTOS",VLOOKUP($C27,Equip.Info!$A:$L,11,FALSE),VLOOKUP($C27,Mat.Info!$A:$F,6,FALSE)))</f>
        <v>0.2286</v>
      </c>
      <c r="H27" s="459">
        <f>'2.EMD'!I31</f>
        <v>9580.7250000000004</v>
      </c>
      <c r="I27" s="457">
        <f t="shared" si="5"/>
        <v>2190.1537349999999</v>
      </c>
      <c r="J27" s="457">
        <f ca="1">I27*(1+Dados!$C$10)</f>
        <v>3171.1235929064997</v>
      </c>
      <c r="K27" s="458" t="s">
        <v>567</v>
      </c>
      <c r="L27" s="466" t="s">
        <v>569</v>
      </c>
    </row>
    <row r="28" spans="1:17" ht="15" customHeight="1">
      <c r="A28" s="438">
        <f t="shared" si="6"/>
        <v>2</v>
      </c>
      <c r="B28" s="475"/>
      <c r="C28" s="476"/>
      <c r="D28" s="453" t="s">
        <v>660</v>
      </c>
      <c r="E28" s="454" t="s">
        <v>686</v>
      </c>
      <c r="F28" s="453" t="s">
        <v>683</v>
      </c>
      <c r="G28" s="455">
        <f>I28/H28</f>
        <v>875.59259259259284</v>
      </c>
      <c r="H28" s="456">
        <f>IF(D28="PASSAGENS",SUMIFS('Diárias e Passagens'!I:I,'Diárias e Passagens'!A:A,A28),SUMIFS('Diárias e Passagens'!M:M,'Diárias e Passagens'!A:A,A28))</f>
        <v>18</v>
      </c>
      <c r="I28" s="457">
        <f>IF(D28="PASSAGENS",SUMIFS('Diárias e Passagens'!K:K,'Diárias e Passagens'!A:A,A28),SUMIFS('Diárias e Passagens'!O:O,'Diárias e Passagens'!A:A,A28))</f>
        <v>15760.666666666672</v>
      </c>
      <c r="J28" s="457">
        <f ca="1">I28*(1+Dados!$C$10)</f>
        <v>22819.869266666672</v>
      </c>
      <c r="K28" s="460" t="s">
        <v>685</v>
      </c>
      <c r="L28" s="466" t="s">
        <v>738</v>
      </c>
    </row>
    <row r="29" spans="1:17" ht="15" customHeight="1">
      <c r="A29" s="438">
        <f t="shared" si="6"/>
        <v>2</v>
      </c>
      <c r="B29" s="475"/>
      <c r="C29" s="476"/>
      <c r="D29" s="453" t="s">
        <v>466</v>
      </c>
      <c r="E29" s="454" t="s">
        <v>687</v>
      </c>
      <c r="F29" s="453" t="s">
        <v>688</v>
      </c>
      <c r="G29" s="455">
        <f>I29/H29</f>
        <v>424.04931034482763</v>
      </c>
      <c r="H29" s="456">
        <f>IF(D29="PASSAGENS",SUMIFS('Diárias e Passagens'!I:I,'Diárias e Passagens'!A:A,A29),SUMIFS('Diárias e Passagens'!M:M,'Diárias e Passagens'!A:A,A29))</f>
        <v>29</v>
      </c>
      <c r="I29" s="457">
        <f>IF(D29="PASSAGENS",SUMIFS('Diárias e Passagens'!K:K,'Diárias e Passagens'!A:A,A29),SUMIFS('Diárias e Passagens'!O:O,'Diárias e Passagens'!A:A,A29))</f>
        <v>12297.430000000002</v>
      </c>
      <c r="J29" s="457">
        <f ca="1">I29*(1+Dados!$C$10)</f>
        <v>17805.448897000002</v>
      </c>
      <c r="K29" s="460" t="str">
        <f>Diárias!$I$6</f>
        <v>Decreto nº 11.117, 1º de julho De 2022</v>
      </c>
      <c r="L29" s="466" t="s">
        <v>739</v>
      </c>
      <c r="Q29" s="461"/>
    </row>
    <row r="30" spans="1:17" s="464" customFormat="1" ht="15" customHeight="1">
      <c r="A30" s="462">
        <v>3</v>
      </c>
      <c r="B30" s="469">
        <f>A30</f>
        <v>3</v>
      </c>
      <c r="C30" s="477" t="str">
        <f>'Resumo'!C11</f>
        <v>Dimensão de Engenharia (EEN)</v>
      </c>
      <c r="D30" s="447"/>
      <c r="E30" s="448"/>
      <c r="F30" s="447"/>
      <c r="G30" s="449"/>
      <c r="H30" s="450"/>
      <c r="I30" s="451">
        <f>SUM(I32:I54)</f>
        <v>1548603.8047476672</v>
      </c>
      <c r="J30" s="451">
        <f ca="1">SUM(J32:J54)</f>
        <v>2242223.4488941464</v>
      </c>
      <c r="K30" s="463"/>
      <c r="L30" s="644"/>
      <c r="Q30" s="465"/>
    </row>
    <row r="31" spans="1:17" s="464" customFormat="1" ht="15" customHeight="1">
      <c r="A31" s="462">
        <f>A30</f>
        <v>3</v>
      </c>
      <c r="B31" s="478"/>
      <c r="C31" s="479" t="str">
        <f>A31&amp;".1) Dimensão de Engenharia (EEN) - Trabalhos Iniciais, Recuperação, Manutenção e Conservação"</f>
        <v>3.1) Dimensão de Engenharia (EEN) - Trabalhos Iniciais, Recuperação, Manutenção e Conservação</v>
      </c>
      <c r="D31" s="447"/>
      <c r="E31" s="448"/>
      <c r="F31" s="447"/>
      <c r="G31" s="449"/>
      <c r="H31" s="450"/>
      <c r="I31" s="451"/>
      <c r="J31" s="451"/>
      <c r="K31" s="463"/>
      <c r="L31" s="644"/>
      <c r="Q31" s="465"/>
    </row>
    <row r="32" spans="1:17" ht="15" customHeight="1">
      <c r="A32" s="462">
        <f>A31</f>
        <v>3</v>
      </c>
      <c r="B32" s="471"/>
      <c r="C32" s="472" t="str">
        <f>'3.1.EEN'!B18</f>
        <v>P8060</v>
      </c>
      <c r="D32" s="453" t="s">
        <v>464</v>
      </c>
      <c r="E32" s="454" t="str">
        <f>IF(D32="PESSOAL",VLOOKUP($C32,'TC 07-2023'!$B:$Z,2,FALSE), IF(D32="EQUIPAMENTOS",VLOOKUP($C32,Equip.Info!A:L,2,FALSE),VLOOKUP($C32,Mat.Info!A:F,2,FALSE)))</f>
        <v>Engenheiro consultor especial</v>
      </c>
      <c r="F32" s="453" t="str">
        <f t="shared" ref="F32:F39" si="10">IF(D32="PESSOAL","mês", IF(OR(D32="EQUIPAMENTOS",D32="MATERIAL"),"h",""))</f>
        <v>mês</v>
      </c>
      <c r="G32" s="455">
        <f>IF($D32="PESSOAL",VLOOKUP($C32,'TC 07-2023'!$B:$Z,25,FALSE), IF($D32="EQUIPAMENTOS",VLOOKUP($C32,Equip.Info!$A:$L,11,FALSE),VLOOKUP($C32,Mat.Info!$A:$F,6,FALSE)))</f>
        <v>37906.68</v>
      </c>
      <c r="H32" s="459">
        <f>'3.1.EEN'!H18</f>
        <v>1.75</v>
      </c>
      <c r="I32" s="457">
        <f t="shared" ref="I32:I39" si="11">G32*H32</f>
        <v>66336.69</v>
      </c>
      <c r="J32" s="457">
        <f ca="1">I32*(1+Dados!$C$10)</f>
        <v>96048.893450999996</v>
      </c>
      <c r="K32" s="458" t="s">
        <v>465</v>
      </c>
      <c r="L32" s="466" t="str">
        <f>'3.1.EEN'!G18&amp;" "&amp;E32&amp;" por mês"</f>
        <v>1 Engenheiro consultor especial por mês</v>
      </c>
    </row>
    <row r="33" spans="1:17" ht="15" customHeight="1">
      <c r="A33" s="462">
        <f t="shared" ref="A33:A50" si="12">A32</f>
        <v>3</v>
      </c>
      <c r="B33" s="471"/>
      <c r="C33" s="472" t="str">
        <f>'3.1.EEN'!B19</f>
        <v>P8067</v>
      </c>
      <c r="D33" s="453" t="s">
        <v>464</v>
      </c>
      <c r="E33" s="454" t="str">
        <f>IF(D33="PESSOAL",VLOOKUP($C33,'TC 07-2023'!$B:$Z,2,FALSE), IF(D33="EQUIPAMENTOS",VLOOKUP($C33,Equip.Info!A:L,2,FALSE),VLOOKUP($C33,Mat.Info!A:F,2,FALSE)))</f>
        <v>Engenheiro de projetos sênior</v>
      </c>
      <c r="F33" s="453" t="str">
        <f t="shared" si="10"/>
        <v>mês</v>
      </c>
      <c r="G33" s="455">
        <f>IF($D33="PESSOAL",VLOOKUP($C33,'TC 07-2023'!$B:$Z,25,FALSE), IF($D33="EQUIPAMENTOS",VLOOKUP($C33,Equip.Info!$A:$L,11,FALSE),VLOOKUP($C33,Mat.Info!$A:$F,6,FALSE)))</f>
        <v>27604.86</v>
      </c>
      <c r="H33" s="459">
        <f>'3.1.EEN'!H19</f>
        <v>7</v>
      </c>
      <c r="I33" s="457">
        <f t="shared" si="11"/>
        <v>193234.02000000002</v>
      </c>
      <c r="J33" s="457">
        <f ca="1">I33*(1+Dados!$C$10)</f>
        <v>279783.53755800001</v>
      </c>
      <c r="K33" s="458" t="s">
        <v>465</v>
      </c>
      <c r="L33" s="466" t="str">
        <f>'3.1.EEN'!G19&amp;" "&amp;E33&amp;" por mês"</f>
        <v>1 Engenheiro de projetos sênior por mês</v>
      </c>
    </row>
    <row r="34" spans="1:17" ht="15" customHeight="1">
      <c r="A34" s="462">
        <f t="shared" si="12"/>
        <v>3</v>
      </c>
      <c r="B34" s="471"/>
      <c r="C34" s="472" t="str">
        <f>'3.1.EEN'!B20</f>
        <v>P8066</v>
      </c>
      <c r="D34" s="453" t="s">
        <v>464</v>
      </c>
      <c r="E34" s="454" t="str">
        <f>IF(D34="PESSOAL",VLOOKUP($C34,'TC 07-2023'!$B:$Z,2,FALSE), IF(D34="EQUIPAMENTOS",VLOOKUP($C34,Equip.Info!A:L,2,FALSE),VLOOKUP($C34,Mat.Info!A:F,2,FALSE)))</f>
        <v>Engenheiro de projetos pleno</v>
      </c>
      <c r="F34" s="453" t="str">
        <f t="shared" si="10"/>
        <v>mês</v>
      </c>
      <c r="G34" s="455">
        <f>IF($D34="PESSOAL",VLOOKUP($C34,'TC 07-2023'!$B:$Z,25,FALSE), IF($D34="EQUIPAMENTOS",VLOOKUP($C34,Equip.Info!$A:$L,11,FALSE),VLOOKUP($C34,Mat.Info!$A:$F,6,FALSE)))</f>
        <v>21969.16</v>
      </c>
      <c r="H34" s="459">
        <f>'3.1.EEN'!H20</f>
        <v>7</v>
      </c>
      <c r="I34" s="457">
        <f t="shared" si="11"/>
        <v>153784.12</v>
      </c>
      <c r="J34" s="457">
        <f ca="1">I34*(1+Dados!$C$10)</f>
        <v>222664.02734799997</v>
      </c>
      <c r="K34" s="458" t="s">
        <v>465</v>
      </c>
      <c r="L34" s="466" t="str">
        <f>'3.1.EEN'!G20&amp;" "&amp;E34&amp;" por mês"</f>
        <v>1 Engenheiro de projetos pleno por mês</v>
      </c>
    </row>
    <row r="35" spans="1:17" ht="15" customHeight="1">
      <c r="A35" s="462">
        <f t="shared" si="12"/>
        <v>3</v>
      </c>
      <c r="B35" s="471"/>
      <c r="C35" s="472" t="str">
        <f>'3.1.EEN'!B21</f>
        <v>P8065</v>
      </c>
      <c r="D35" s="453" t="s">
        <v>464</v>
      </c>
      <c r="E35" s="454" t="str">
        <f>IF(D35="PESSOAL",VLOOKUP($C35,'TC 07-2023'!$B:$Z,2,FALSE), IF(D35="EQUIPAMENTOS",VLOOKUP($C35,Equip.Info!A:L,2,FALSE),VLOOKUP($C35,Mat.Info!A:F,2,FALSE)))</f>
        <v>Engenheiro de projetos júnior</v>
      </c>
      <c r="F35" s="453" t="str">
        <f t="shared" si="10"/>
        <v>mês</v>
      </c>
      <c r="G35" s="455">
        <f>IF($D35="PESSOAL",VLOOKUP($C35,'TC 07-2023'!$B:$Z,25,FALSE), IF($D35="EQUIPAMENTOS",VLOOKUP($C35,Equip.Info!$A:$L,11,FALSE),VLOOKUP($C35,Mat.Info!$A:$F,6,FALSE)))</f>
        <v>21162.82</v>
      </c>
      <c r="H35" s="459">
        <f>'3.1.EEN'!H21</f>
        <v>7</v>
      </c>
      <c r="I35" s="457">
        <f t="shared" si="11"/>
        <v>148139.74</v>
      </c>
      <c r="J35" s="457">
        <f ca="1">I35*(1+Dados!$C$10)</f>
        <v>214491.52954599998</v>
      </c>
      <c r="K35" s="458" t="s">
        <v>465</v>
      </c>
      <c r="L35" s="466" t="str">
        <f>'3.1.EEN'!G21&amp;" "&amp;E35&amp;" por mês"</f>
        <v>1 Engenheiro de projetos júnior por mês</v>
      </c>
    </row>
    <row r="36" spans="1:17" ht="15" customHeight="1">
      <c r="A36" s="462">
        <f t="shared" si="12"/>
        <v>3</v>
      </c>
      <c r="B36" s="471"/>
      <c r="C36" s="472" t="str">
        <f>'3.1.EEN'!B22</f>
        <v>P8061</v>
      </c>
      <c r="D36" s="453" t="s">
        <v>464</v>
      </c>
      <c r="E36" s="454" t="str">
        <f>IF(D36="PESSOAL",VLOOKUP($C36,'TC 07-2023'!$B:$Z,2,FALSE), IF(D36="EQUIPAMENTOS",VLOOKUP($C36,Equip.Info!A:L,2,FALSE),VLOOKUP($C36,Mat.Info!A:F,2,FALSE)))</f>
        <v>Engenheiro coordenador</v>
      </c>
      <c r="F36" s="453" t="str">
        <f t="shared" ref="F36" si="13">IF(D36="PESSOAL","mês", IF(OR(D36="EQUIPAMENTOS",D36="MATERIAL"),"h",""))</f>
        <v>mês</v>
      </c>
      <c r="G36" s="455">
        <f>IF($D36="PESSOAL",VLOOKUP($C36,'TC 07-2023'!$B:$Z,25,FALSE), IF($D36="EQUIPAMENTOS",VLOOKUP($C36,Equip.Info!$A:$L,11,FALSE),VLOOKUP($C36,Mat.Info!$A:$F,6,FALSE)))</f>
        <v>31759.96</v>
      </c>
      <c r="H36" s="459">
        <f>'3.1.EEN'!H22</f>
        <v>3.5</v>
      </c>
      <c r="I36" s="457">
        <f t="shared" ref="I36" si="14">G36*H36</f>
        <v>111159.86</v>
      </c>
      <c r="J36" s="457">
        <f ca="1">I36*(1+Dados!$C$10)</f>
        <v>160948.361294</v>
      </c>
      <c r="K36" s="458" t="s">
        <v>465</v>
      </c>
      <c r="L36" s="466" t="str">
        <f>'3.1.EEN'!G22&amp;" "&amp;E36&amp;" por mês"</f>
        <v>1 Engenheiro coordenador por mês</v>
      </c>
    </row>
    <row r="37" spans="1:17" ht="15" customHeight="1">
      <c r="A37" s="462">
        <f t="shared" si="12"/>
        <v>3</v>
      </c>
      <c r="B37" s="473"/>
      <c r="C37" s="474" t="str">
        <f>'3.1.EEN'!$B$12</f>
        <v>EQ0768</v>
      </c>
      <c r="D37" s="453" t="s">
        <v>467</v>
      </c>
      <c r="E37" s="454" t="str">
        <f>IF(D37="PESSOAL",VLOOKUP($C37,'TC 07-2023'!$B:$Z,2,FALSE), IF(D37="EQUIPAMENTOS",VLOOKUP($C37,Equip.Info!A:L,2,FALSE),VLOOKUP($C37,Mat.Info!A:F,2,FALSE)))</f>
        <v>Desktop com monitor de 21", processador, placa de vídeo e memória compatíveis à CAD/SIG</v>
      </c>
      <c r="F37" s="453" t="str">
        <f t="shared" si="10"/>
        <v>h</v>
      </c>
      <c r="G37" s="455">
        <f>IF($D37="PESSOAL",VLOOKUP($C37,'TC 07-2023'!$B:$Z,25,FALSE), IF($D37="EQUIPAMENTOS",VLOOKUP($C37,Equip.Info!$A:$L,11,FALSE),VLOOKUP($C37,Mat.Info!$A:$F,6,FALSE)))</f>
        <v>1.6060000000000001</v>
      </c>
      <c r="H37" s="459">
        <f>'3.1.EEN'!F12</f>
        <v>4790.3625000000002</v>
      </c>
      <c r="I37" s="457">
        <f t="shared" si="11"/>
        <v>7693.3221750000012</v>
      </c>
      <c r="J37" s="457">
        <f ca="1">I37*(1+Dados!$C$10)</f>
        <v>11139.161177182501</v>
      </c>
      <c r="K37" s="458" t="s">
        <v>567</v>
      </c>
      <c r="L37" s="466" t="s">
        <v>568</v>
      </c>
    </row>
    <row r="38" spans="1:17" ht="25.5">
      <c r="A38" s="462">
        <f t="shared" si="12"/>
        <v>3</v>
      </c>
      <c r="B38" s="473"/>
      <c r="C38" s="474" t="str">
        <f>'3.1.EEN'!$B$31</f>
        <v>MT2561</v>
      </c>
      <c r="D38" s="453" t="s">
        <v>564</v>
      </c>
      <c r="E38" s="454" t="str">
        <f>IF(D38="PESSOAL",VLOOKUP($C38,'TC 07-2023'!$B:$Z,2,FALSE), IF(D38="EQUIPAMENTOS",VLOOKUP($C38,Equip.Info!A:L,2,FALSE),VLOOKUP($C38,Mat.Info!A:F,2,FALSE)))</f>
        <v>Sistema operacional e pacote office</v>
      </c>
      <c r="F38" s="453" t="str">
        <f t="shared" si="10"/>
        <v>h</v>
      </c>
      <c r="G38" s="455">
        <f>IF($D38="PESSOAL",VLOOKUP($C38,'TC 07-2023'!$B:$Z,25,FALSE), IF($D38="EQUIPAMENTOS",VLOOKUP($C38,Equip.Info!$A:$L,11,FALSE),VLOOKUP($C38,Mat.Info!$A:$F,6,FALSE)))</f>
        <v>0.2286</v>
      </c>
      <c r="H38" s="459">
        <f>'3.1.EEN'!I31</f>
        <v>4790.3625000000002</v>
      </c>
      <c r="I38" s="457">
        <f t="shared" si="11"/>
        <v>1095.0768674999999</v>
      </c>
      <c r="J38" s="457">
        <f ca="1">I38*(1+Dados!$C$10)</f>
        <v>1585.5617964532498</v>
      </c>
      <c r="K38" s="458" t="s">
        <v>567</v>
      </c>
      <c r="L38" s="466" t="s">
        <v>569</v>
      </c>
    </row>
    <row r="39" spans="1:17" ht="15" customHeight="1">
      <c r="A39" s="462">
        <f t="shared" si="12"/>
        <v>3</v>
      </c>
      <c r="B39" s="473"/>
      <c r="C39" s="474" t="str">
        <f>'3.1.EEN'!$B$32</f>
        <v>MT2557</v>
      </c>
      <c r="D39" s="453" t="s">
        <v>564</v>
      </c>
      <c r="E39" s="454" t="str">
        <f>IF(D39="PESSOAL",VLOOKUP($C39,'TC 07-2023'!$B:$Z,2,FALSE), IF(D39="EQUIPAMENTOS",VLOOKUP($C39,Equip.Info!A:L,2,FALSE),VLOOKUP($C39,Mat.Info!A:F,2,FALSE)))</f>
        <v>Software CAD para MAC/Windows 64bits</v>
      </c>
      <c r="F39" s="453" t="str">
        <f t="shared" si="10"/>
        <v>h</v>
      </c>
      <c r="G39" s="455">
        <f>IF($D39="PESSOAL",VLOOKUP($C39,'TC 07-2023'!$B:$Z,25,FALSE), IF($D39="EQUIPAMENTOS",VLOOKUP($C39,Equip.Info!$A:$L,11,FALSE),VLOOKUP($C39,Mat.Info!$A:$F,6,FALSE)))</f>
        <v>5.3840000000000003</v>
      </c>
      <c r="H39" s="459">
        <f>'3.1.EEN'!I32</f>
        <v>3832.29</v>
      </c>
      <c r="I39" s="457">
        <f t="shared" si="11"/>
        <v>20633.049360000001</v>
      </c>
      <c r="J39" s="457">
        <f ca="1">I39*(1+Dados!$C$10)</f>
        <v>29874.592168343999</v>
      </c>
      <c r="K39" s="458" t="s">
        <v>567</v>
      </c>
      <c r="L39" s="466" t="s">
        <v>740</v>
      </c>
    </row>
    <row r="40" spans="1:17" ht="15" customHeight="1">
      <c r="A40" s="462">
        <f t="shared" si="12"/>
        <v>3</v>
      </c>
      <c r="B40" s="475"/>
      <c r="C40" s="476" t="s">
        <v>717</v>
      </c>
      <c r="D40" s="453" t="s">
        <v>660</v>
      </c>
      <c r="E40" s="454" t="s">
        <v>686</v>
      </c>
      <c r="F40" s="453" t="s">
        <v>683</v>
      </c>
      <c r="G40" s="455">
        <f>I40/H40</f>
        <v>906.33333333333337</v>
      </c>
      <c r="H40" s="456">
        <f>IF(D40="PASSAGENS",SUMIFS('Diárias e Passagens'!I:I,'Diárias e Passagens'!A:A,A40),SUMIFS('Diárias e Passagens'!M:M,'Diárias e Passagens'!A:A,A40))</f>
        <v>2</v>
      </c>
      <c r="I40" s="457">
        <f>IF(D40="PASSAGENS",SUMIFS('Diárias e Passagens'!K:K,'Diárias e Passagens'!A:A,A40),SUMIFS('Diárias e Passagens'!O:O,'Diárias e Passagens'!A:A,A40))</f>
        <v>1812.6666666666667</v>
      </c>
      <c r="J40" s="457">
        <f ca="1">I40*(1+Dados!$C$10)</f>
        <v>2624.5600666666669</v>
      </c>
      <c r="K40" s="460" t="s">
        <v>685</v>
      </c>
      <c r="L40" s="466" t="s">
        <v>738</v>
      </c>
    </row>
    <row r="41" spans="1:17" ht="15" customHeight="1">
      <c r="A41" s="462">
        <f t="shared" si="12"/>
        <v>3</v>
      </c>
      <c r="B41" s="475"/>
      <c r="C41" s="476" t="s">
        <v>717</v>
      </c>
      <c r="D41" s="453" t="s">
        <v>466</v>
      </c>
      <c r="E41" s="454" t="s">
        <v>687</v>
      </c>
      <c r="F41" s="453" t="s">
        <v>682</v>
      </c>
      <c r="G41" s="455">
        <f>I41/H41</f>
        <v>433.48999999999995</v>
      </c>
      <c r="H41" s="456">
        <f>IF(D41="PASSAGENS",SUMIFS('Diárias e Passagens'!I:I,'Diárias e Passagens'!A:A,A41),SUMIFS('Diárias e Passagens'!M:M,'Diárias e Passagens'!A:A,A41))</f>
        <v>5</v>
      </c>
      <c r="I41" s="457">
        <f>IF(D41="PASSAGENS",SUMIFS('Diárias e Passagens'!K:K,'Diárias e Passagens'!A:A,A41),SUMIFS('Diárias e Passagens'!O:O,'Diárias e Passagens'!A:A,A41))</f>
        <v>2167.4499999999998</v>
      </c>
      <c r="J41" s="457">
        <f ca="1">I41*(1+Dados!$C$10)</f>
        <v>3138.2508549999998</v>
      </c>
      <c r="K41" s="460" t="str">
        <f>Diárias!$I$6</f>
        <v>Decreto nº 11.117, 1º de julho De 2022</v>
      </c>
      <c r="L41" s="466" t="s">
        <v>739</v>
      </c>
    </row>
    <row r="42" spans="1:17" s="464" customFormat="1" ht="15" customHeight="1">
      <c r="A42" s="462">
        <f t="shared" si="12"/>
        <v>3</v>
      </c>
      <c r="B42" s="478"/>
      <c r="C42" s="479" t="str">
        <f>A42&amp;".2) Dimensão de Engenharia (EEN) - Ampliação de Capacidade e Melhorias"</f>
        <v>3.2) Dimensão de Engenharia (EEN) - Ampliação de Capacidade e Melhorias</v>
      </c>
      <c r="D42" s="447"/>
      <c r="E42" s="448"/>
      <c r="F42" s="447"/>
      <c r="G42" s="449"/>
      <c r="H42" s="450"/>
      <c r="I42" s="451"/>
      <c r="J42" s="451"/>
      <c r="K42" s="463"/>
      <c r="L42" s="644"/>
      <c r="Q42" s="465"/>
    </row>
    <row r="43" spans="1:17" ht="15" customHeight="1">
      <c r="A43" s="462">
        <f t="shared" si="12"/>
        <v>3</v>
      </c>
      <c r="B43" s="471"/>
      <c r="C43" s="472" t="str">
        <f>'3.2.EEN'!B18</f>
        <v>P8060</v>
      </c>
      <c r="D43" s="453" t="s">
        <v>464</v>
      </c>
      <c r="E43" s="454" t="str">
        <f>IF(D43="PESSOAL",VLOOKUP($C43,'TC 07-2023'!$B:$Z,2,FALSE), IF(D43="EQUIPAMENTOS",VLOOKUP($C43,Equip.Info!A:L,2,FALSE),VLOOKUP($C43,Mat.Info!A:F,2,FALSE)))</f>
        <v>Engenheiro consultor especial</v>
      </c>
      <c r="F43" s="453" t="str">
        <f t="shared" ref="F43:F50" si="15">IF(D43="PESSOAL","mês", IF(OR(D43="EQUIPAMENTOS",D43="MATERIAL"),"h",""))</f>
        <v>mês</v>
      </c>
      <c r="G43" s="455">
        <f>IF($D43="PESSOAL",VLOOKUP($C43,'TC 07-2023'!$B:$Z,25,FALSE), IF($D43="EQUIPAMENTOS",VLOOKUP($C43,Equip.Info!$A:$L,11,FALSE),VLOOKUP($C43,Mat.Info!$A:$F,6,FALSE)))</f>
        <v>37906.68</v>
      </c>
      <c r="H43" s="459">
        <f>'3.2.EEN'!H18</f>
        <v>1.75</v>
      </c>
      <c r="I43" s="457">
        <f t="shared" ref="I43:I50" si="16">G43*H43</f>
        <v>66336.69</v>
      </c>
      <c r="J43" s="457">
        <f ca="1">I43*(1+Dados!$C$10)</f>
        <v>96048.893450999996</v>
      </c>
      <c r="K43" s="458" t="s">
        <v>465</v>
      </c>
      <c r="L43" s="466" t="str">
        <f>'3.2.EEN'!G18&amp;" "&amp;E43&amp;" por mês"</f>
        <v>1 Engenheiro consultor especial por mês</v>
      </c>
    </row>
    <row r="44" spans="1:17" ht="15" customHeight="1">
      <c r="A44" s="462">
        <f t="shared" si="12"/>
        <v>3</v>
      </c>
      <c r="B44" s="471"/>
      <c r="C44" s="472" t="str">
        <f>'3.2.EEN'!B19</f>
        <v>P8067</v>
      </c>
      <c r="D44" s="453" t="s">
        <v>464</v>
      </c>
      <c r="E44" s="454" t="str">
        <f>IF(D44="PESSOAL",VLOOKUP($C44,'TC 07-2023'!$B:$Z,2,FALSE), IF(D44="EQUIPAMENTOS",VLOOKUP($C44,Equip.Info!A:L,2,FALSE),VLOOKUP($C44,Mat.Info!A:F,2,FALSE)))</f>
        <v>Engenheiro de projetos sênior</v>
      </c>
      <c r="F44" s="453" t="str">
        <f t="shared" si="15"/>
        <v>mês</v>
      </c>
      <c r="G44" s="455">
        <f>IF($D44="PESSOAL",VLOOKUP($C44,'TC 07-2023'!$B:$Z,25,FALSE), IF($D44="EQUIPAMENTOS",VLOOKUP($C44,Equip.Info!$A:$L,11,FALSE),VLOOKUP($C44,Mat.Info!$A:$F,6,FALSE)))</f>
        <v>27604.86</v>
      </c>
      <c r="H44" s="459">
        <f>'3.2.EEN'!H19</f>
        <v>7</v>
      </c>
      <c r="I44" s="457">
        <f t="shared" si="16"/>
        <v>193234.02000000002</v>
      </c>
      <c r="J44" s="457">
        <f ca="1">I44*(1+Dados!$C$10)</f>
        <v>279783.53755800001</v>
      </c>
      <c r="K44" s="458" t="s">
        <v>465</v>
      </c>
      <c r="L44" s="466" t="str">
        <f>'3.2.EEN'!G19&amp;" "&amp;E44&amp;" por mês"</f>
        <v>1 Engenheiro de projetos sênior por mês</v>
      </c>
    </row>
    <row r="45" spans="1:17" ht="15" customHeight="1">
      <c r="A45" s="462">
        <f t="shared" si="12"/>
        <v>3</v>
      </c>
      <c r="B45" s="471"/>
      <c r="C45" s="472" t="str">
        <f>'3.2.EEN'!B20</f>
        <v>P8066</v>
      </c>
      <c r="D45" s="453" t="s">
        <v>464</v>
      </c>
      <c r="E45" s="454" t="str">
        <f>IF(D45="PESSOAL",VLOOKUP($C45,'TC 07-2023'!$B:$Z,2,FALSE), IF(D45="EQUIPAMENTOS",VLOOKUP($C45,Equip.Info!A:L,2,FALSE),VLOOKUP($C45,Mat.Info!A:F,2,FALSE)))</f>
        <v>Engenheiro de projetos pleno</v>
      </c>
      <c r="F45" s="453" t="str">
        <f t="shared" si="15"/>
        <v>mês</v>
      </c>
      <c r="G45" s="455">
        <f>IF($D45="PESSOAL",VLOOKUP($C45,'TC 07-2023'!$B:$Z,25,FALSE), IF($D45="EQUIPAMENTOS",VLOOKUP($C45,Equip.Info!$A:$L,11,FALSE),VLOOKUP($C45,Mat.Info!$A:$F,6,FALSE)))</f>
        <v>21969.16</v>
      </c>
      <c r="H45" s="459">
        <f>'3.2.EEN'!H20</f>
        <v>7</v>
      </c>
      <c r="I45" s="457">
        <f t="shared" si="16"/>
        <v>153784.12</v>
      </c>
      <c r="J45" s="457">
        <f ca="1">I45*(1+Dados!$C$10)</f>
        <v>222664.02734799997</v>
      </c>
      <c r="K45" s="458" t="s">
        <v>465</v>
      </c>
      <c r="L45" s="466" t="str">
        <f>'3.2.EEN'!G20&amp;" "&amp;E45&amp;" por mês"</f>
        <v>1 Engenheiro de projetos pleno por mês</v>
      </c>
    </row>
    <row r="46" spans="1:17" ht="15" customHeight="1">
      <c r="A46" s="462">
        <f t="shared" si="12"/>
        <v>3</v>
      </c>
      <c r="B46" s="471"/>
      <c r="C46" s="472" t="str">
        <f>'3.2.EEN'!B21</f>
        <v>P8065</v>
      </c>
      <c r="D46" s="453" t="s">
        <v>464</v>
      </c>
      <c r="E46" s="454" t="str">
        <f>IF(D46="PESSOAL",VLOOKUP($C46,'TC 07-2023'!$B:$Z,2,FALSE), IF(D46="EQUIPAMENTOS",VLOOKUP($C46,Equip.Info!A:L,2,FALSE),VLOOKUP($C46,Mat.Info!A:F,2,FALSE)))</f>
        <v>Engenheiro de projetos júnior</v>
      </c>
      <c r="F46" s="453" t="str">
        <f t="shared" si="15"/>
        <v>mês</v>
      </c>
      <c r="G46" s="455">
        <f>IF($D46="PESSOAL",VLOOKUP($C46,'TC 07-2023'!$B:$Z,25,FALSE), IF($D46="EQUIPAMENTOS",VLOOKUP($C46,Equip.Info!$A:$L,11,FALSE),VLOOKUP($C46,Mat.Info!$A:$F,6,FALSE)))</f>
        <v>21162.82</v>
      </c>
      <c r="H46" s="459">
        <f>'3.2.EEN'!H21</f>
        <v>7</v>
      </c>
      <c r="I46" s="457">
        <f t="shared" si="16"/>
        <v>148139.74</v>
      </c>
      <c r="J46" s="457">
        <f ca="1">I46*(1+Dados!$C$10)</f>
        <v>214491.52954599998</v>
      </c>
      <c r="K46" s="458" t="s">
        <v>465</v>
      </c>
      <c r="L46" s="466" t="str">
        <f>'3.2.EEN'!G21&amp;" "&amp;E46&amp;" por mês"</f>
        <v>1 Engenheiro de projetos júnior por mês</v>
      </c>
    </row>
    <row r="47" spans="1:17" ht="15" customHeight="1">
      <c r="A47" s="462">
        <f t="shared" si="12"/>
        <v>3</v>
      </c>
      <c r="B47" s="471"/>
      <c r="C47" s="472" t="str">
        <f>'3.2.EEN'!B22</f>
        <v>P8061</v>
      </c>
      <c r="D47" s="453" t="s">
        <v>464</v>
      </c>
      <c r="E47" s="454" t="str">
        <f>IF(D47="PESSOAL",VLOOKUP($C47,'TC 07-2023'!$B:$Z,2,FALSE), IF(D47="EQUIPAMENTOS",VLOOKUP($C47,Equip.Info!A:L,2,FALSE),VLOOKUP($C47,Mat.Info!A:F,2,FALSE)))</f>
        <v>Engenheiro coordenador</v>
      </c>
      <c r="F47" s="453" t="str">
        <f t="shared" si="15"/>
        <v>mês</v>
      </c>
      <c r="G47" s="455">
        <f>IF($D47="PESSOAL",VLOOKUP($C47,'TC 07-2023'!$B:$Z,25,FALSE), IF($D47="EQUIPAMENTOS",VLOOKUP($C47,Equip.Info!$A:$L,11,FALSE),VLOOKUP($C47,Mat.Info!$A:$F,6,FALSE)))</f>
        <v>31759.96</v>
      </c>
      <c r="H47" s="459">
        <f>'3.2.EEN'!H22</f>
        <v>3.5</v>
      </c>
      <c r="I47" s="457">
        <f t="shared" si="16"/>
        <v>111159.86</v>
      </c>
      <c r="J47" s="457">
        <f ca="1">I47*(1+Dados!$C$10)</f>
        <v>160948.361294</v>
      </c>
      <c r="K47" s="458" t="s">
        <v>465</v>
      </c>
      <c r="L47" s="466" t="str">
        <f>'3.2.EEN'!G22&amp;" "&amp;E47&amp;" por mês"</f>
        <v>1 Engenheiro coordenador por mês</v>
      </c>
    </row>
    <row r="48" spans="1:17" ht="15" customHeight="1">
      <c r="A48" s="462">
        <f t="shared" si="12"/>
        <v>3</v>
      </c>
      <c r="B48" s="473"/>
      <c r="C48" s="474" t="str">
        <f>'3.2.EEN'!B12</f>
        <v>EQ0768</v>
      </c>
      <c r="D48" s="453" t="s">
        <v>467</v>
      </c>
      <c r="E48" s="454" t="str">
        <f>IF(D48="PESSOAL",VLOOKUP($C48,'TC 07-2023'!$B:$Z,2,FALSE), IF(D48="EQUIPAMENTOS",VLOOKUP($C48,Equip.Info!A:L,2,FALSE),VLOOKUP($C48,Mat.Info!A:F,2,FALSE)))</f>
        <v>Desktop com monitor de 21", processador, placa de vídeo e memória compatíveis à CAD/SIG</v>
      </c>
      <c r="F48" s="453" t="str">
        <f t="shared" si="15"/>
        <v>h</v>
      </c>
      <c r="G48" s="455">
        <f>IF($D48="PESSOAL",VLOOKUP($C48,'TC 07-2023'!$B:$Z,25,FALSE), IF($D48="EQUIPAMENTOS",VLOOKUP($C48,Equip.Info!$A:$L,11,FALSE),VLOOKUP($C48,Mat.Info!$A:$F,6,FALSE)))</f>
        <v>1.6060000000000001</v>
      </c>
      <c r="H48" s="459">
        <f>'3.2.EEN'!F12</f>
        <v>4790.3625000000002</v>
      </c>
      <c r="I48" s="457">
        <f t="shared" si="16"/>
        <v>7693.3221750000012</v>
      </c>
      <c r="J48" s="457">
        <f ca="1">I48*(1+Dados!$C$10)</f>
        <v>11139.161177182501</v>
      </c>
      <c r="K48" s="458" t="s">
        <v>567</v>
      </c>
      <c r="L48" s="466" t="s">
        <v>568</v>
      </c>
    </row>
    <row r="49" spans="1:17" ht="25.5">
      <c r="A49" s="462">
        <f t="shared" si="12"/>
        <v>3</v>
      </c>
      <c r="B49" s="473"/>
      <c r="C49" s="474" t="str">
        <f>'3.2.EEN'!B31</f>
        <v>MT2561</v>
      </c>
      <c r="D49" s="453" t="s">
        <v>564</v>
      </c>
      <c r="E49" s="454" t="str">
        <f>IF(D49="PESSOAL",VLOOKUP($C49,'TC 07-2023'!$B:$Z,2,FALSE), IF(D49="EQUIPAMENTOS",VLOOKUP($C49,Equip.Info!A:L,2,FALSE),VLOOKUP($C49,Mat.Info!A:F,2,FALSE)))</f>
        <v>Sistema operacional e pacote office</v>
      </c>
      <c r="F49" s="453" t="str">
        <f t="shared" si="15"/>
        <v>h</v>
      </c>
      <c r="G49" s="455">
        <f>IF($D49="PESSOAL",VLOOKUP($C49,'TC 07-2023'!$B:$Z,25,FALSE), IF($D49="EQUIPAMENTOS",VLOOKUP($C49,Equip.Info!$A:$L,11,FALSE),VLOOKUP($C49,Mat.Info!$A:$F,6,FALSE)))</f>
        <v>0.2286</v>
      </c>
      <c r="H49" s="459">
        <f>'3.2.EEN'!I31</f>
        <v>4790.3625000000002</v>
      </c>
      <c r="I49" s="457">
        <f t="shared" si="16"/>
        <v>1095.0768674999999</v>
      </c>
      <c r="J49" s="457">
        <f ca="1">I49*(1+Dados!$C$10)</f>
        <v>1585.5617964532498</v>
      </c>
      <c r="K49" s="458" t="s">
        <v>567</v>
      </c>
      <c r="L49" s="466" t="s">
        <v>569</v>
      </c>
    </row>
    <row r="50" spans="1:17" ht="15" customHeight="1">
      <c r="A50" s="462">
        <f t="shared" si="12"/>
        <v>3</v>
      </c>
      <c r="B50" s="473"/>
      <c r="C50" s="474" t="str">
        <f>'3.2.EEN'!B32</f>
        <v>MT2557</v>
      </c>
      <c r="D50" s="453" t="s">
        <v>564</v>
      </c>
      <c r="E50" s="454" t="str">
        <f>IF(D50="PESSOAL",VLOOKUP($C50,'TC 07-2023'!$B:$Z,2,FALSE), IF(D50="EQUIPAMENTOS",VLOOKUP($C50,Equip.Info!A:L,2,FALSE),VLOOKUP($C50,Mat.Info!A:F,2,FALSE)))</f>
        <v>Software CAD para MAC/Windows 64bits</v>
      </c>
      <c r="F50" s="453" t="str">
        <f t="shared" si="15"/>
        <v>h</v>
      </c>
      <c r="G50" s="455">
        <f>IF($D50="PESSOAL",VLOOKUP($C50,'TC 07-2023'!$B:$Z,25,FALSE), IF($D50="EQUIPAMENTOS",VLOOKUP($C50,Equip.Info!$A:$L,11,FALSE),VLOOKUP($C50,Mat.Info!$A:$F,6,FALSE)))</f>
        <v>5.3840000000000003</v>
      </c>
      <c r="H50" s="459">
        <f>'3.2.EEN'!I32</f>
        <v>3832.29</v>
      </c>
      <c r="I50" s="457">
        <f t="shared" si="16"/>
        <v>20633.049360000001</v>
      </c>
      <c r="J50" s="457">
        <f ca="1">I50*(1+Dados!$C$10)</f>
        <v>29874.592168343999</v>
      </c>
      <c r="K50" s="458" t="s">
        <v>567</v>
      </c>
      <c r="L50" s="466" t="s">
        <v>740</v>
      </c>
    </row>
    <row r="51" spans="1:17" s="464" customFormat="1" ht="15" customHeight="1">
      <c r="A51" s="462" t="s">
        <v>791</v>
      </c>
      <c r="B51" s="478"/>
      <c r="C51" s="479" t="str">
        <f>A51&amp;" Dimensão de Engenharia (EEN) - Campo"</f>
        <v>3.3 Dimensão de Engenharia (EEN) - Campo</v>
      </c>
      <c r="D51" s="447"/>
      <c r="E51" s="448"/>
      <c r="F51" s="447"/>
      <c r="G51" s="449"/>
      <c r="H51" s="450"/>
      <c r="I51" s="451"/>
      <c r="J51" s="451"/>
      <c r="K51" s="463"/>
      <c r="L51" s="644"/>
      <c r="Q51" s="465"/>
    </row>
    <row r="52" spans="1:17" ht="15" customHeight="1">
      <c r="A52" s="462" t="str">
        <f>A51</f>
        <v>3.3</v>
      </c>
      <c r="B52" s="471"/>
      <c r="C52" s="472"/>
      <c r="D52" s="453" t="s">
        <v>660</v>
      </c>
      <c r="E52" s="454" t="s">
        <v>763</v>
      </c>
      <c r="F52" s="453" t="s">
        <v>683</v>
      </c>
      <c r="G52" s="455">
        <f>I52/H52</f>
        <v>851</v>
      </c>
      <c r="H52" s="456">
        <f>IF(D52="PASSAGENS",SUMIFS('Diárias e Passagens'!I:I,'Diárias e Passagens'!A:A,A52),SUMIFS('Diárias e Passagens'!M:M,'Diárias e Passagens'!A:A,A52))</f>
        <v>24</v>
      </c>
      <c r="I52" s="457">
        <f>IF(D52="PASSAGENS",SUMIFS('Diárias e Passagens'!K:K,'Diárias e Passagens'!A:A,A52),SUMIFS('Diárias e Passagens'!O:O,'Diárias e Passagens'!A:A,A52))</f>
        <v>20424</v>
      </c>
      <c r="J52" s="457">
        <f ca="1">I52*(1+Dados!$C$10)</f>
        <v>29571.909599999999</v>
      </c>
      <c r="K52" s="460" t="s">
        <v>685</v>
      </c>
      <c r="L52" s="466" t="s">
        <v>738</v>
      </c>
    </row>
    <row r="53" spans="1:17" ht="15" customHeight="1">
      <c r="A53" s="462" t="str">
        <f t="shared" ref="A53:A54" si="17">A52</f>
        <v>3.3</v>
      </c>
      <c r="B53" s="471"/>
      <c r="C53" s="472"/>
      <c r="D53" s="453" t="s">
        <v>466</v>
      </c>
      <c r="E53" s="454" t="s">
        <v>687</v>
      </c>
      <c r="F53" s="453" t="s">
        <v>682</v>
      </c>
      <c r="G53" s="455">
        <f>I53/H53</f>
        <v>513.34500000000003</v>
      </c>
      <c r="H53" s="456">
        <f>IF(D53="PASSAGENS",SUMIFS('Diárias e Passagens'!I:I,'Diárias e Passagens'!A:A,A53),SUMIFS('Diárias e Passagens'!M:M,'Diárias e Passagens'!A:A,A53))</f>
        <v>156</v>
      </c>
      <c r="I53" s="457">
        <f>IF(D53="PASSAGENS",SUMIFS('Diárias e Passagens'!K:K,'Diárias e Passagens'!A:A,A53),SUMIFS('Diárias e Passagens'!O:O,'Diárias e Passagens'!A:A,A53))</f>
        <v>80081.820000000007</v>
      </c>
      <c r="J53" s="457">
        <f ca="1">I53*(1+Dados!$C$10)</f>
        <v>115950.46717800001</v>
      </c>
      <c r="K53" s="460" t="str">
        <f>Diárias!$I$6</f>
        <v>Decreto nº 11.117, 1º de julho De 2022</v>
      </c>
      <c r="L53" s="466" t="s">
        <v>739</v>
      </c>
    </row>
    <row r="54" spans="1:17" ht="25.5">
      <c r="A54" s="462" t="str">
        <f t="shared" si="17"/>
        <v>3.3</v>
      </c>
      <c r="B54" s="471"/>
      <c r="C54" s="472"/>
      <c r="D54" s="453" t="s">
        <v>735</v>
      </c>
      <c r="E54" s="454" t="str">
        <f>'Inspeção-Veículo'!D10</f>
        <v>Veículo leve picape 4x4 - 147 kW (sem motorista)</v>
      </c>
      <c r="F54" s="453" t="s">
        <v>682</v>
      </c>
      <c r="G54" s="455"/>
      <c r="H54" s="455"/>
      <c r="I54" s="457">
        <f>'Inspeção-Veículo'!N9</f>
        <v>39966.111276000003</v>
      </c>
      <c r="J54" s="457">
        <f ca="1">I54*(1+Dados!$C$10)</f>
        <v>57866.932516520406</v>
      </c>
      <c r="K54" s="458" t="s">
        <v>465</v>
      </c>
      <c r="L54" s="466" t="s">
        <v>737</v>
      </c>
    </row>
    <row r="55" spans="1:17" ht="15" customHeight="1">
      <c r="A55" s="438">
        <v>4</v>
      </c>
      <c r="B55" s="469">
        <f>A55</f>
        <v>4</v>
      </c>
      <c r="C55" s="470" t="str">
        <f>'Resumo'!C12</f>
        <v>Dimensão Operacional (EOP)</v>
      </c>
      <c r="D55" s="447"/>
      <c r="E55" s="448"/>
      <c r="F55" s="447"/>
      <c r="G55" s="449"/>
      <c r="H55" s="450"/>
      <c r="I55" s="451">
        <f>SUM(I56:I64)</f>
        <v>1688460.5709076668</v>
      </c>
      <c r="J55" s="451">
        <f ca="1">SUM(J56:J64)</f>
        <v>2444722.0606172103</v>
      </c>
      <c r="K55" s="463"/>
      <c r="L55" s="645"/>
    </row>
    <row r="56" spans="1:17" ht="15" customHeight="1">
      <c r="A56" s="438">
        <f t="shared" ref="A56:A64" si="18">A55</f>
        <v>4</v>
      </c>
      <c r="B56" s="471"/>
      <c r="C56" s="472" t="str">
        <f>'4.EOP'!B18</f>
        <v>P8060</v>
      </c>
      <c r="D56" s="453" t="s">
        <v>464</v>
      </c>
      <c r="E56" s="454" t="str">
        <f>IF(D56="PESSOAL",VLOOKUP($C56,'TC 07-2023'!$B:$Z,2,FALSE), IF(D56="EQUIPAMENTOS",VLOOKUP($C56,Equip.Info!A:L,2,FALSE),VLOOKUP($C56,Mat.Info!A:F,2,FALSE)))</f>
        <v>Engenheiro consultor especial</v>
      </c>
      <c r="F56" s="453" t="str">
        <f t="shared" ref="F56:F62" si="19">IF(D56="PESSOAL","mês", IF(OR(D56="EQUIPAMENTOS",D56="MATERIAL"),"h",""))</f>
        <v>mês</v>
      </c>
      <c r="G56" s="455">
        <f>IF($D56="PESSOAL",VLOOKUP($C56,'TC 07-2023'!$B:$Z,25,FALSE), IF($D56="EQUIPAMENTOS",VLOOKUP($C56,Equip.Info!$A:$L,11,FALSE),VLOOKUP($C56,Mat.Info!$A:$F,6,FALSE)))</f>
        <v>37906.68</v>
      </c>
      <c r="H56" s="459">
        <f>'4.EOP'!H18</f>
        <v>3.5</v>
      </c>
      <c r="I56" s="457">
        <f t="shared" ref="I56:I62" si="20">G56*H56</f>
        <v>132673.38</v>
      </c>
      <c r="J56" s="457">
        <f ca="1">I56*(1+Dados!$C$10)</f>
        <v>192097.78690199999</v>
      </c>
      <c r="K56" s="458" t="s">
        <v>465</v>
      </c>
      <c r="L56" s="466" t="str">
        <f>'4.EOP'!G18&amp;" "&amp;E56&amp;" por mês"</f>
        <v>1 Engenheiro consultor especial por mês</v>
      </c>
    </row>
    <row r="57" spans="1:17" ht="15" customHeight="1">
      <c r="A57" s="438">
        <f t="shared" si="18"/>
        <v>4</v>
      </c>
      <c r="B57" s="471"/>
      <c r="C57" s="472" t="str">
        <f>'4.EOP'!B19</f>
        <v>P8067</v>
      </c>
      <c r="D57" s="453" t="s">
        <v>464</v>
      </c>
      <c r="E57" s="454" t="str">
        <f>IF(D57="PESSOAL",VLOOKUP($C57,'TC 07-2023'!$B:$Z,2,FALSE), IF(D57="EQUIPAMENTOS",VLOOKUP($C57,Equip.Info!A:L,2,FALSE),VLOOKUP($C57,Mat.Info!A:F,2,FALSE)))</f>
        <v>Engenheiro de projetos sênior</v>
      </c>
      <c r="F57" s="453" t="str">
        <f t="shared" si="19"/>
        <v>mês</v>
      </c>
      <c r="G57" s="455">
        <f>IF($D57="PESSOAL",VLOOKUP($C57,'TC 07-2023'!$B:$Z,25,FALSE), IF($D57="EQUIPAMENTOS",VLOOKUP($C57,Equip.Info!$A:$L,11,FALSE),VLOOKUP($C57,Mat.Info!$A:$F,6,FALSE)))</f>
        <v>27604.86</v>
      </c>
      <c r="H57" s="459">
        <f>'4.EOP'!H19</f>
        <v>14</v>
      </c>
      <c r="I57" s="457">
        <f t="shared" si="20"/>
        <v>386468.04000000004</v>
      </c>
      <c r="J57" s="457">
        <f ca="1">I57*(1+Dados!$C$10)</f>
        <v>559567.07511600002</v>
      </c>
      <c r="K57" s="458" t="s">
        <v>465</v>
      </c>
      <c r="L57" s="466" t="str">
        <f>'4.EOP'!G19&amp;" "&amp;E57&amp;" por mês"</f>
        <v>2 Engenheiro de projetos sênior por mês</v>
      </c>
    </row>
    <row r="58" spans="1:17" ht="15" customHeight="1">
      <c r="A58" s="438">
        <f t="shared" si="18"/>
        <v>4</v>
      </c>
      <c r="B58" s="471"/>
      <c r="C58" s="472" t="str">
        <f>'4.EOP'!B20</f>
        <v>P8066</v>
      </c>
      <c r="D58" s="453" t="s">
        <v>464</v>
      </c>
      <c r="E58" s="454" t="str">
        <f>IF(D58="PESSOAL",VLOOKUP($C58,'TC 07-2023'!$B:$Z,2,FALSE), IF(D58="EQUIPAMENTOS",VLOOKUP($C58,Equip.Info!A:L,2,FALSE),VLOOKUP($C58,Mat.Info!A:F,2,FALSE)))</f>
        <v>Engenheiro de projetos pleno</v>
      </c>
      <c r="F58" s="453" t="str">
        <f t="shared" si="19"/>
        <v>mês</v>
      </c>
      <c r="G58" s="455">
        <f>IF($D58="PESSOAL",VLOOKUP($C58,'TC 07-2023'!$B:$Z,25,FALSE), IF($D58="EQUIPAMENTOS",VLOOKUP($C58,Equip.Info!$A:$L,11,FALSE),VLOOKUP($C58,Mat.Info!$A:$F,6,FALSE)))</f>
        <v>21969.16</v>
      </c>
      <c r="H58" s="459">
        <f>'4.EOP'!H20</f>
        <v>28</v>
      </c>
      <c r="I58" s="457">
        <f t="shared" si="20"/>
        <v>615136.48</v>
      </c>
      <c r="J58" s="457">
        <f ca="1">I58*(1+Dados!$C$10)</f>
        <v>890656.1093919999</v>
      </c>
      <c r="K58" s="458" t="s">
        <v>465</v>
      </c>
      <c r="L58" s="466" t="str">
        <f>'4.EOP'!G20&amp;" "&amp;E58&amp;" por mês"</f>
        <v>4 Engenheiro de projetos pleno por mês</v>
      </c>
    </row>
    <row r="59" spans="1:17" ht="15" customHeight="1">
      <c r="A59" s="438">
        <f t="shared" si="18"/>
        <v>4</v>
      </c>
      <c r="B59" s="471"/>
      <c r="C59" s="472" t="str">
        <f>'4.EOP'!B21</f>
        <v>P8065</v>
      </c>
      <c r="D59" s="453" t="s">
        <v>464</v>
      </c>
      <c r="E59" s="454" t="str">
        <f>IF(D59="PESSOAL",VLOOKUP($C59,'TC 07-2023'!$B:$Z,2,FALSE), IF(D59="EQUIPAMENTOS",VLOOKUP($C59,Equip.Info!A:L,2,FALSE),VLOOKUP($C59,Mat.Info!A:F,2,FALSE)))</f>
        <v>Engenheiro de projetos júnior</v>
      </c>
      <c r="F59" s="453" t="str">
        <f t="shared" si="19"/>
        <v>mês</v>
      </c>
      <c r="G59" s="455">
        <f>IF($D59="PESSOAL",VLOOKUP($C59,'TC 07-2023'!$B:$Z,25,FALSE), IF($D59="EQUIPAMENTOS",VLOOKUP($C59,Equip.Info!$A:$L,11,FALSE),VLOOKUP($C59,Mat.Info!$A:$F,6,FALSE)))</f>
        <v>21162.82</v>
      </c>
      <c r="H59" s="459">
        <f>'4.EOP'!H21</f>
        <v>14</v>
      </c>
      <c r="I59" s="457">
        <f t="shared" si="20"/>
        <v>296279.48</v>
      </c>
      <c r="J59" s="457">
        <f ca="1">I59*(1+Dados!$C$10)</f>
        <v>428983.05909199995</v>
      </c>
      <c r="K59" s="458" t="s">
        <v>465</v>
      </c>
      <c r="L59" s="466" t="str">
        <f>'4.EOP'!G21&amp;" "&amp;E59&amp;" por mês"</f>
        <v>2 Engenheiro de projetos júnior por mês</v>
      </c>
    </row>
    <row r="60" spans="1:17" ht="15" customHeight="1">
      <c r="A60" s="438">
        <f t="shared" si="18"/>
        <v>4</v>
      </c>
      <c r="B60" s="471"/>
      <c r="C60" s="472" t="str">
        <f>'4.EOP'!B22</f>
        <v>P8061</v>
      </c>
      <c r="D60" s="453" t="s">
        <v>464</v>
      </c>
      <c r="E60" s="454" t="str">
        <f>IF(D60="PESSOAL",VLOOKUP($C60,'TC 07-2023'!$B:$Z,2,FALSE), IF(D60="EQUIPAMENTOS",VLOOKUP($C60,Equip.Info!A:L,2,FALSE),VLOOKUP($C60,Mat.Info!A:F,2,FALSE)))</f>
        <v>Engenheiro coordenador</v>
      </c>
      <c r="F60" s="453" t="str">
        <f t="shared" ref="F60" si="21">IF(D60="PESSOAL","mês", IF(OR(D60="EQUIPAMENTOS",D60="MATERIAL"),"h",""))</f>
        <v>mês</v>
      </c>
      <c r="G60" s="455">
        <f>IF($D60="PESSOAL",VLOOKUP($C60,'TC 07-2023'!$B:$Z,25,FALSE), IF($D60="EQUIPAMENTOS",VLOOKUP($C60,Equip.Info!$A:$L,11,FALSE),VLOOKUP($C60,Mat.Info!$A:$F,6,FALSE)))</f>
        <v>31759.96</v>
      </c>
      <c r="H60" s="459">
        <f>'4.EOP'!H22</f>
        <v>7</v>
      </c>
      <c r="I60" s="457">
        <f t="shared" ref="I60" si="22">G60*H60</f>
        <v>222319.72</v>
      </c>
      <c r="J60" s="457">
        <f ca="1">I60*(1+Dados!$C$10)</f>
        <v>321896.722588</v>
      </c>
      <c r="K60" s="458" t="s">
        <v>465</v>
      </c>
      <c r="L60" s="466" t="str">
        <f>'4.EOP'!G22&amp;" "&amp;E60&amp;" por mês"</f>
        <v>1 Engenheiro coordenador por mês</v>
      </c>
    </row>
    <row r="61" spans="1:17" ht="15" customHeight="1">
      <c r="A61" s="438">
        <f t="shared" si="18"/>
        <v>4</v>
      </c>
      <c r="B61" s="473"/>
      <c r="C61" s="474" t="str">
        <f>'4.EOP'!$B$12</f>
        <v>EQ0768</v>
      </c>
      <c r="D61" s="453" t="s">
        <v>467</v>
      </c>
      <c r="E61" s="454" t="str">
        <f>IF(D61="PESSOAL",VLOOKUP($C61,'TC 07-2023'!$B:$Z,2,FALSE), IF(D61="EQUIPAMENTOS",VLOOKUP($C61,Equip.Info!A:L,2,FALSE),VLOOKUP($C61,Mat.Info!A:F,2,FALSE)))</f>
        <v>Desktop com monitor de 21", processador, placa de vídeo e memória compatíveis à CAD/SIG</v>
      </c>
      <c r="F61" s="453" t="str">
        <f t="shared" si="19"/>
        <v>h</v>
      </c>
      <c r="G61" s="455">
        <f>IF($D61="PESSOAL",VLOOKUP($C61,'TC 07-2023'!$B:$Z,25,FALSE), IF($D61="EQUIPAMENTOS",VLOOKUP($C61,Equip.Info!$A:$L,11,FALSE),VLOOKUP($C61,Mat.Info!$A:$F,6,FALSE)))</f>
        <v>1.6060000000000001</v>
      </c>
      <c r="H61" s="459">
        <f>'4.EOP'!F12</f>
        <v>12135.585000000001</v>
      </c>
      <c r="I61" s="457">
        <f t="shared" si="20"/>
        <v>19489.749510000001</v>
      </c>
      <c r="J61" s="457">
        <f ca="1">I61*(1+Dados!$C$10)</f>
        <v>28219.208315529002</v>
      </c>
      <c r="K61" s="458" t="s">
        <v>567</v>
      </c>
      <c r="L61" s="466" t="s">
        <v>568</v>
      </c>
    </row>
    <row r="62" spans="1:17" ht="25.5">
      <c r="A62" s="438">
        <f t="shared" si="18"/>
        <v>4</v>
      </c>
      <c r="B62" s="473"/>
      <c r="C62" s="474" t="str">
        <f>'4.EOP'!$B$31</f>
        <v>MT2561</v>
      </c>
      <c r="D62" s="453" t="s">
        <v>564</v>
      </c>
      <c r="E62" s="454" t="str">
        <f>IF(D62="PESSOAL",VLOOKUP($C62,'TC 07-2023'!$B:$Z,2,FALSE), IF(D62="EQUIPAMENTOS",VLOOKUP($C62,Equip.Info!A:L,2,FALSE),VLOOKUP($C62,Mat.Info!A:F,2,FALSE)))</f>
        <v>Sistema operacional e pacote office</v>
      </c>
      <c r="F62" s="453" t="str">
        <f t="shared" si="19"/>
        <v>h</v>
      </c>
      <c r="G62" s="455">
        <f>IF($D62="PESSOAL",VLOOKUP($C62,'TC 07-2023'!$B:$Z,25,FALSE), IF($D62="EQUIPAMENTOS",VLOOKUP($C62,Equip.Info!$A:$L,11,FALSE),VLOOKUP($C62,Mat.Info!$A:$F,6,FALSE)))</f>
        <v>0.2286</v>
      </c>
      <c r="H62" s="459">
        <f>'4.EOP'!I31</f>
        <v>12135.585000000001</v>
      </c>
      <c r="I62" s="457">
        <f t="shared" si="20"/>
        <v>2774.194731</v>
      </c>
      <c r="J62" s="457">
        <f ca="1">I62*(1+Dados!$C$10)</f>
        <v>4016.7565510149002</v>
      </c>
      <c r="K62" s="458" t="s">
        <v>567</v>
      </c>
      <c r="L62" s="466" t="s">
        <v>569</v>
      </c>
    </row>
    <row r="63" spans="1:17" ht="15" customHeight="1">
      <c r="A63" s="438">
        <f t="shared" si="18"/>
        <v>4</v>
      </c>
      <c r="B63" s="475"/>
      <c r="C63" s="476"/>
      <c r="D63" s="453" t="s">
        <v>660</v>
      </c>
      <c r="E63" s="454" t="s">
        <v>686</v>
      </c>
      <c r="F63" s="453" t="s">
        <v>683</v>
      </c>
      <c r="G63" s="455">
        <f>I63/H63</f>
        <v>906.33333333333326</v>
      </c>
      <c r="H63" s="456">
        <f>IF(D63="PASSAGENS",SUMIFS('Diárias e Passagens'!I:I,'Diárias e Passagens'!A:A,A63),SUMIFS('Diárias e Passagens'!M:M,'Diárias e Passagens'!A:A,A63))</f>
        <v>8</v>
      </c>
      <c r="I63" s="457">
        <f>IF(D63="PASSAGENS",SUMIFS('Diárias e Passagens'!K:K,'Diárias e Passagens'!A:A,A63),SUMIFS('Diárias e Passagens'!O:O,'Diárias e Passagens'!A:A,A63))</f>
        <v>7250.6666666666661</v>
      </c>
      <c r="J63" s="457">
        <f ca="1">I63*(1+Dados!$C$10)</f>
        <v>10498.240266666666</v>
      </c>
      <c r="K63" s="460" t="s">
        <v>685</v>
      </c>
      <c r="L63" s="466" t="s">
        <v>738</v>
      </c>
    </row>
    <row r="64" spans="1:17" ht="15" customHeight="1">
      <c r="A64" s="438">
        <f t="shared" si="18"/>
        <v>4</v>
      </c>
      <c r="B64" s="475"/>
      <c r="C64" s="476"/>
      <c r="D64" s="453" t="s">
        <v>466</v>
      </c>
      <c r="E64" s="454" t="s">
        <v>687</v>
      </c>
      <c r="F64" s="453" t="s">
        <v>682</v>
      </c>
      <c r="G64" s="455">
        <f>I64/H64</f>
        <v>433.4899999999999</v>
      </c>
      <c r="H64" s="456">
        <f>IF(D64="PASSAGENS",SUMIFS('Diárias e Passagens'!I:I,'Diárias e Passagens'!A:A,A64),SUMIFS('Diárias e Passagens'!M:M,'Diárias e Passagens'!A:A,A64))</f>
        <v>14</v>
      </c>
      <c r="I64" s="457">
        <f>IF(D64="PASSAGENS",SUMIFS('Diárias e Passagens'!K:K,'Diárias e Passagens'!A:A,A64),SUMIFS('Diárias e Passagens'!O:O,'Diárias e Passagens'!A:A,A64))</f>
        <v>6068.8599999999988</v>
      </c>
      <c r="J64" s="457">
        <f ca="1">I64*(1+Dados!$C$10)</f>
        <v>8787.1023939999977</v>
      </c>
      <c r="K64" s="460" t="str">
        <f>Diárias!$I$6</f>
        <v>Decreto nº 11.117, 1º de julho De 2022</v>
      </c>
      <c r="L64" s="466" t="s">
        <v>739</v>
      </c>
    </row>
    <row r="65" spans="1:12" ht="15" customHeight="1">
      <c r="A65" s="438">
        <v>5</v>
      </c>
      <c r="B65" s="469">
        <f>A65</f>
        <v>5</v>
      </c>
      <c r="C65" s="470" t="str">
        <f>'Resumo'!C13</f>
        <v>Dimensão Socioambiental (EMA)</v>
      </c>
      <c r="D65" s="447"/>
      <c r="E65" s="446"/>
      <c r="F65" s="446"/>
      <c r="G65" s="446"/>
      <c r="H65" s="446"/>
      <c r="I65" s="451">
        <f>SUM(I66:I80)</f>
        <v>867196.9195526666</v>
      </c>
      <c r="J65" s="451">
        <f ca="1">SUM(J66:J80)</f>
        <v>1255614.4198203061</v>
      </c>
      <c r="K65" s="467"/>
      <c r="L65" s="646"/>
    </row>
    <row r="66" spans="1:12" ht="15" customHeight="1">
      <c r="A66" s="438">
        <f t="shared" ref="A66:A80" si="23">A65</f>
        <v>5</v>
      </c>
      <c r="B66" s="473"/>
      <c r="C66" s="474" t="str">
        <f>'5.EMA'!B18</f>
        <v>P8044</v>
      </c>
      <c r="D66" s="453" t="s">
        <v>464</v>
      </c>
      <c r="E66" s="454" t="str">
        <f>IF(D66="PESSOAL",VLOOKUP($C66,'TC 07-2023'!$B:$Z,2,FALSE), IF(D66="EQUIPAMENTOS",VLOOKUP($C66,Equip.Info!A:L,2,FALSE),VLOOKUP($C66,Mat.Info!A:F,2,FALSE)))</f>
        <v xml:space="preserve">Coordenador ambiental </v>
      </c>
      <c r="F66" s="453" t="str">
        <f t="shared" ref="F66:F71" si="24">IF(D66="PESSOAL","mês", IF(OR(D66="EQUIPAMENTOS",D66="MATERIAL"),"h",""))</f>
        <v>mês</v>
      </c>
      <c r="G66" s="455">
        <f>IF($D66="PESSOAL",VLOOKUP($C66,'TC 07-2023'!$B:$Z,25,FALSE), IF($D66="EQUIPAMENTOS",VLOOKUP($C66,Equip.Info!$A:$L,11,FALSE),VLOOKUP($C66,Mat.Info!$A:$F,6,FALSE)))</f>
        <v>31481.62</v>
      </c>
      <c r="H66" s="459">
        <f>'5.EMA'!H18</f>
        <v>2.5</v>
      </c>
      <c r="I66" s="457">
        <f>G66*H66</f>
        <v>78704.05</v>
      </c>
      <c r="J66" s="457">
        <f ca="1">I66*(1+Dados!$C$10)</f>
        <v>113955.593995</v>
      </c>
      <c r="K66" s="458" t="s">
        <v>465</v>
      </c>
      <c r="L66" s="466" t="str">
        <f>'5.EMA'!G18&amp;" "&amp;E66&amp;" por mês"</f>
        <v>1 Coordenador ambiental  por mês</v>
      </c>
    </row>
    <row r="67" spans="1:12" ht="15" customHeight="1">
      <c r="A67" s="438">
        <f t="shared" si="23"/>
        <v>5</v>
      </c>
      <c r="B67" s="473"/>
      <c r="C67" s="474" t="str">
        <f>'5.EMA'!B19</f>
        <v>P8059</v>
      </c>
      <c r="D67" s="453" t="s">
        <v>464</v>
      </c>
      <c r="E67" s="454" t="str">
        <f>IF(D67="PESSOAL",VLOOKUP($C67,'TC 07-2023'!$B:$Z,2,FALSE), IF(D67="EQUIPAMENTOS",VLOOKUP($C67,Equip.Info!A:L,2,FALSE),VLOOKUP($C67,Mat.Info!A:F,2,FALSE)))</f>
        <v>Engenheiro ambiental sênior</v>
      </c>
      <c r="F67" s="453" t="str">
        <f t="shared" si="24"/>
        <v>mês</v>
      </c>
      <c r="G67" s="455">
        <f>IF($D67="PESSOAL",VLOOKUP($C67,'TC 07-2023'!$B:$Z,25,FALSE), IF($D67="EQUIPAMENTOS",VLOOKUP($C67,Equip.Info!$A:$L,11,FALSE),VLOOKUP($C67,Mat.Info!$A:$F,6,FALSE)))</f>
        <v>25413.33</v>
      </c>
      <c r="H67" s="459">
        <f>'5.EMA'!H19</f>
        <v>5</v>
      </c>
      <c r="I67" s="457">
        <f t="shared" ref="I67:I72" si="25">G67*H67</f>
        <v>127066.65000000001</v>
      </c>
      <c r="J67" s="457">
        <f ca="1">I67*(1+Dados!$C$10)</f>
        <v>183979.802535</v>
      </c>
      <c r="K67" s="458" t="s">
        <v>465</v>
      </c>
      <c r="L67" s="466" t="str">
        <f>'5.EMA'!G19&amp;" "&amp;E67&amp;" por mês"</f>
        <v>1 Engenheiro ambiental sênior por mês</v>
      </c>
    </row>
    <row r="68" spans="1:12" ht="15" customHeight="1">
      <c r="A68" s="438">
        <f t="shared" si="23"/>
        <v>5</v>
      </c>
      <c r="B68" s="473"/>
      <c r="C68" s="474" t="str">
        <f>'5.EMA'!B20</f>
        <v>P8058</v>
      </c>
      <c r="D68" s="453" t="s">
        <v>464</v>
      </c>
      <c r="E68" s="454" t="str">
        <f>IF(D68="PESSOAL",VLOOKUP($C68,'TC 07-2023'!$B:$Z,2,FALSE), IF(D68="EQUIPAMENTOS",VLOOKUP($C68,Equip.Info!A:L,2,FALSE),VLOOKUP($C68,Mat.Info!A:F,2,FALSE)))</f>
        <v>Engenheiro ambiental pleno</v>
      </c>
      <c r="F68" s="453" t="str">
        <f t="shared" si="24"/>
        <v>mês</v>
      </c>
      <c r="G68" s="455">
        <f>IF($D68="PESSOAL",VLOOKUP($C68,'TC 07-2023'!$B:$Z,25,FALSE), IF($D68="EQUIPAMENTOS",VLOOKUP($C68,Equip.Info!$A:$L,11,FALSE),VLOOKUP($C68,Mat.Info!$A:$F,6,FALSE)))</f>
        <v>21261.51</v>
      </c>
      <c r="H68" s="459">
        <f>'5.EMA'!H20</f>
        <v>5</v>
      </c>
      <c r="I68" s="457">
        <f t="shared" si="25"/>
        <v>106307.54999999999</v>
      </c>
      <c r="J68" s="457">
        <f ca="1">I68*(1+Dados!$C$10)</f>
        <v>153922.70164499999</v>
      </c>
      <c r="K68" s="458" t="s">
        <v>465</v>
      </c>
      <c r="L68" s="466" t="str">
        <f>'5.EMA'!G20&amp;" "&amp;E68&amp;" por mês"</f>
        <v>1 Engenheiro ambiental pleno por mês</v>
      </c>
    </row>
    <row r="69" spans="1:12" ht="15" customHeight="1">
      <c r="A69" s="438">
        <f t="shared" si="23"/>
        <v>5</v>
      </c>
      <c r="B69" s="473"/>
      <c r="C69" s="474" t="str">
        <f>'5.EMA'!B21</f>
        <v>P8057</v>
      </c>
      <c r="D69" s="453" t="s">
        <v>464</v>
      </c>
      <c r="E69" s="454" t="str">
        <f>IF(D69="PESSOAL",VLOOKUP($C69,'TC 07-2023'!$B:$Z,2,FALSE), IF(D69="EQUIPAMENTOS",VLOOKUP($C69,Equip.Info!A:L,2,FALSE),VLOOKUP($C69,Mat.Info!A:F,2,FALSE)))</f>
        <v>Engenheiro ambiental júnior</v>
      </c>
      <c r="F69" s="453" t="str">
        <f t="shared" si="24"/>
        <v>mês</v>
      </c>
      <c r="G69" s="455">
        <f>IF($D69="PESSOAL",VLOOKUP($C69,'TC 07-2023'!$B:$Z,25,FALSE), IF($D69="EQUIPAMENTOS",VLOOKUP($C69,Equip.Info!$A:$L,11,FALSE),VLOOKUP($C69,Mat.Info!$A:$F,6,FALSE)))</f>
        <v>21177.34</v>
      </c>
      <c r="H69" s="459">
        <f>'5.EMA'!H21</f>
        <v>5</v>
      </c>
      <c r="I69" s="457">
        <f t="shared" si="25"/>
        <v>105886.7</v>
      </c>
      <c r="J69" s="457">
        <f ca="1">I69*(1+Dados!$C$10)</f>
        <v>153313.35292999999</v>
      </c>
      <c r="K69" s="458" t="s">
        <v>465</v>
      </c>
      <c r="L69" s="466" t="str">
        <f>'5.EMA'!G21&amp;" "&amp;E69&amp;" por mês"</f>
        <v>1 Engenheiro ambiental júnior por mês</v>
      </c>
    </row>
    <row r="70" spans="1:12" ht="15" customHeight="1">
      <c r="A70" s="438">
        <f t="shared" si="23"/>
        <v>5</v>
      </c>
      <c r="B70" s="473"/>
      <c r="C70" s="474" t="str">
        <f>'5.EMA'!B22</f>
        <v>P8034</v>
      </c>
      <c r="D70" s="453" t="s">
        <v>464</v>
      </c>
      <c r="E70" s="454" t="str">
        <f>IF(D70="PESSOAL",VLOOKUP($C70,'TC 07-2023'!$B:$Z,2,FALSE), IF(D70="EQUIPAMENTOS",VLOOKUP($C70,Equip.Info!A:L,2,FALSE),VLOOKUP($C70,Mat.Info!A:F,2,FALSE)))</f>
        <v>Biólogo sênior</v>
      </c>
      <c r="F70" s="453" t="str">
        <f t="shared" si="24"/>
        <v>mês</v>
      </c>
      <c r="G70" s="455">
        <f>IF($D70="PESSOAL",VLOOKUP($C70,'TC 07-2023'!$B:$Z,25,FALSE), IF($D70="EQUIPAMENTOS",VLOOKUP($C70,Equip.Info!$A:$L,11,FALSE),VLOOKUP($C70,Mat.Info!$A:$F,6,FALSE)))</f>
        <v>14378.78</v>
      </c>
      <c r="H70" s="459">
        <f>'5.EMA'!H22</f>
        <v>5</v>
      </c>
      <c r="I70" s="457">
        <f t="shared" si="25"/>
        <v>71893.900000000009</v>
      </c>
      <c r="J70" s="457">
        <f ca="1">I70*(1+Dados!$C$10)</f>
        <v>104095.17781000001</v>
      </c>
      <c r="K70" s="458" t="s">
        <v>465</v>
      </c>
      <c r="L70" s="466" t="str">
        <f>'5.EMA'!G22&amp;" "&amp;E70&amp;" por mês"</f>
        <v>1 Biólogo sênior por mês</v>
      </c>
    </row>
    <row r="71" spans="1:12" ht="15" customHeight="1">
      <c r="A71" s="438">
        <f t="shared" si="23"/>
        <v>5</v>
      </c>
      <c r="B71" s="473"/>
      <c r="C71" s="474" t="str">
        <f>'5.EMA'!B23</f>
        <v>P8070</v>
      </c>
      <c r="D71" s="453" t="s">
        <v>464</v>
      </c>
      <c r="E71" s="454" t="str">
        <f>IF(D71="PESSOAL",VLOOKUP($C71,'TC 07-2023'!$B:$Z,2,FALSE), IF(D71="EQUIPAMENTOS",VLOOKUP($C71,Equip.Info!A:L,2,FALSE),VLOOKUP($C71,Mat.Info!A:F,2,FALSE)))</f>
        <v>Engenheiro florestal sênior</v>
      </c>
      <c r="F71" s="453" t="str">
        <f t="shared" si="24"/>
        <v>mês</v>
      </c>
      <c r="G71" s="455">
        <f>IF($D71="PESSOAL",VLOOKUP($C71,'TC 07-2023'!$B:$Z,25,FALSE), IF($D71="EQUIPAMENTOS",VLOOKUP($C71,Equip.Info!$A:$L,11,FALSE),VLOOKUP($C71,Mat.Info!$A:$F,6,FALSE)))</f>
        <v>25822.27</v>
      </c>
      <c r="H71" s="459">
        <f>'5.EMA'!H23</f>
        <v>5</v>
      </c>
      <c r="I71" s="457">
        <f t="shared" si="25"/>
        <v>129111.35</v>
      </c>
      <c r="J71" s="457">
        <f ca="1">I71*(1+Dados!$C$10)</f>
        <v>186940.323665</v>
      </c>
      <c r="K71" s="458" t="s">
        <v>465</v>
      </c>
      <c r="L71" s="466" t="str">
        <f>'5.EMA'!G23&amp;" "&amp;E71&amp;" por mês"</f>
        <v>1 Engenheiro florestal sênior por mês</v>
      </c>
    </row>
    <row r="72" spans="1:12" ht="15" customHeight="1">
      <c r="A72" s="438">
        <f t="shared" si="23"/>
        <v>5</v>
      </c>
      <c r="B72" s="473"/>
      <c r="C72" s="474" t="str">
        <f>'5.EMA'!B24</f>
        <v>P8021</v>
      </c>
      <c r="D72" s="453" t="s">
        <v>464</v>
      </c>
      <c r="E72" s="454" t="str">
        <f>IF(D72="PESSOAL",VLOOKUP($C72,'TC 07-2023'!$B:$Z,2,FALSE), IF(D72="EQUIPAMENTOS",VLOOKUP($C72,Equip.Info!A:L,2,FALSE),VLOOKUP($C72,Mat.Info!A:F,2,FALSE)))</f>
        <v>Assistente social sênior</v>
      </c>
      <c r="F72" s="453" t="str">
        <f t="shared" ref="F72" si="26">IF(D72="PESSOAL","mês", IF(OR(D72="EQUIPAMENTOS",D72="MATERIAL"),"h",""))</f>
        <v>mês</v>
      </c>
      <c r="G72" s="455">
        <f>IF($D72="PESSOAL",VLOOKUP($C72,'TC 07-2023'!$B:$Z,25,FALSE), IF($D72="EQUIPAMENTOS",VLOOKUP($C72,Equip.Info!$A:$L,11,FALSE),VLOOKUP($C72,Mat.Info!$A:$F,6,FALSE)))</f>
        <v>13322.58</v>
      </c>
      <c r="H72" s="459">
        <f>'5.EMA'!H24</f>
        <v>5</v>
      </c>
      <c r="I72" s="457">
        <f t="shared" si="25"/>
        <v>66612.899999999994</v>
      </c>
      <c r="J72" s="457">
        <f ca="1">I72*(1+Dados!$C$10)</f>
        <v>96448.817909999983</v>
      </c>
      <c r="K72" s="458" t="s">
        <v>465</v>
      </c>
      <c r="L72" s="466" t="str">
        <f>'5.EMA'!G24&amp;" "&amp;E72&amp;" por mês"</f>
        <v>1 Assistente social sênior por mês</v>
      </c>
    </row>
    <row r="73" spans="1:12" ht="15" customHeight="1">
      <c r="A73" s="438">
        <f t="shared" si="23"/>
        <v>5</v>
      </c>
      <c r="B73" s="473"/>
      <c r="C73" s="474" t="str">
        <f>'5.EMA'!B25</f>
        <v>P8020</v>
      </c>
      <c r="D73" s="453" t="s">
        <v>464</v>
      </c>
      <c r="E73" s="454" t="str">
        <f>IF(D73="PESSOAL",VLOOKUP($C73,'TC 07-2023'!$B:$Z,2,FALSE), IF(D73="EQUIPAMENTOS",VLOOKUP($C73,Equip.Info!A:L,2,FALSE),VLOOKUP($C73,Mat.Info!A:F,2,FALSE)))</f>
        <v>Assistente social pleno</v>
      </c>
      <c r="F73" s="453" t="str">
        <f t="shared" ref="F73" si="27">IF(D73="PESSOAL","mês", IF(OR(D73="EQUIPAMENTOS",D73="MATERIAL"),"h",""))</f>
        <v>mês</v>
      </c>
      <c r="G73" s="455">
        <f>IF($D73="PESSOAL",VLOOKUP($C73,'TC 07-2023'!$B:$Z,25,FALSE), IF($D73="EQUIPAMENTOS",VLOOKUP($C73,Equip.Info!$A:$L,11,FALSE),VLOOKUP($C73,Mat.Info!$A:$F,6,FALSE)))</f>
        <v>8278.64</v>
      </c>
      <c r="H73" s="459">
        <f>'5.EMA'!H25</f>
        <v>5</v>
      </c>
      <c r="I73" s="457">
        <f t="shared" ref="I73" si="28">G73*H73</f>
        <v>41393.199999999997</v>
      </c>
      <c r="J73" s="457">
        <f ca="1">I73*(1+Dados!$C$10)</f>
        <v>59933.214279999993</v>
      </c>
      <c r="K73" s="458" t="s">
        <v>465</v>
      </c>
      <c r="L73" s="466" t="str">
        <f>'5.EMA'!G25&amp;" "&amp;E73&amp;" por mês"</f>
        <v>1 Assistente social pleno por mês</v>
      </c>
    </row>
    <row r="74" spans="1:12" ht="25.5">
      <c r="A74" s="438">
        <f t="shared" si="23"/>
        <v>5</v>
      </c>
      <c r="B74" s="473"/>
      <c r="C74" s="474" t="str">
        <f>'5.EMA'!$B$12</f>
        <v>EQ0768</v>
      </c>
      <c r="D74" s="453" t="s">
        <v>467</v>
      </c>
      <c r="E74" s="454" t="str">
        <f>IF(D74="PESSOAL",VLOOKUP($C74,'TC 07-2023'!$B:$Z,2,FALSE), IF(D74="EQUIPAMENTOS",VLOOKUP($C74,Equip.Info!A:L,2,FALSE),VLOOKUP($C74,Mat.Info!A:F,2,FALSE)))</f>
        <v>Desktop com monitor de 21", processador, placa de vídeo e memória compatíveis à CAD/SIG</v>
      </c>
      <c r="F74" s="453" t="str">
        <f t="shared" ref="F74:F77" si="29">IF(D74="PESSOAL","mês", IF(OR(D74="EQUIPAMENTOS",D74="MATERIAL"),"h",""))</f>
        <v>h</v>
      </c>
      <c r="G74" s="455">
        <f>IF($D74="PESSOAL",VLOOKUP($C74,'TC 07-2023'!$B:$Z,25,FALSE), IF($D74="EQUIPAMENTOS",VLOOKUP($C74,Equip.Info!$A:$L,11,FALSE),VLOOKUP($C74,Mat.Info!$A:$F,6,FALSE)))</f>
        <v>1.6060000000000001</v>
      </c>
      <c r="H74" s="459">
        <f>'5.EMA'!F12</f>
        <v>5018.4749999999995</v>
      </c>
      <c r="I74" s="457">
        <f t="shared" ref="I74:I77" si="30">G74*H74</f>
        <v>8059.6708499999995</v>
      </c>
      <c r="J74" s="457">
        <f ca="1">I74*(1+Dados!$C$10)</f>
        <v>11669.597423714999</v>
      </c>
      <c r="K74" s="458" t="s">
        <v>567</v>
      </c>
      <c r="L74" s="466" t="s">
        <v>741</v>
      </c>
    </row>
    <row r="75" spans="1:12" ht="25.5">
      <c r="A75" s="438">
        <f t="shared" si="23"/>
        <v>5</v>
      </c>
      <c r="B75" s="473"/>
      <c r="C75" s="474" t="str">
        <f>'6.MEF'!$B$12</f>
        <v>EQ0769</v>
      </c>
      <c r="D75" s="453" t="s">
        <v>467</v>
      </c>
      <c r="E75" s="454" t="str">
        <f>IF(D75="PESSOAL",VLOOKUP($C75,'TC 07-2023'!$B:$Z,2,FALSE), IF(D75="EQUIPAMENTOS",VLOOKUP($C75,Equip.Info!A:L,2,FALSE),VLOOKUP($C75,Mat.Info!A:F,2,FALSE)))</f>
        <v>Laptop 14" com processador, placa de vídeo e memória compatíveis à função CAD/SIG</v>
      </c>
      <c r="F75" s="453" t="str">
        <f t="shared" ref="F75" si="31">IF(D75="PESSOAL","mês", IF(OR(D75="EQUIPAMENTOS",D75="MATERIAL"),"h",""))</f>
        <v>h</v>
      </c>
      <c r="G75" s="455">
        <f>IF($D75="PESSOAL",VLOOKUP($C75,'TC 07-2023'!$B:$Z,25,FALSE), IF($D75="EQUIPAMENTOS",VLOOKUP($C75,Equip.Info!$A:$L,11,FALSE),VLOOKUP($C75,Mat.Info!$A:$F,6,FALSE)))</f>
        <v>1.0773999999999999</v>
      </c>
      <c r="H75" s="459">
        <f>'5.EMA'!F13</f>
        <v>912.45</v>
      </c>
      <c r="I75" s="457">
        <f t="shared" ref="I75" si="32">G75*H75</f>
        <v>983.07362999999998</v>
      </c>
      <c r="J75" s="457">
        <f ca="1">I75*(1+Dados!$C$10)</f>
        <v>1423.392308877</v>
      </c>
      <c r="K75" s="458" t="s">
        <v>567</v>
      </c>
      <c r="L75" s="466" t="s">
        <v>742</v>
      </c>
    </row>
    <row r="76" spans="1:12" ht="25.5">
      <c r="A76" s="438">
        <f t="shared" si="23"/>
        <v>5</v>
      </c>
      <c r="B76" s="473"/>
      <c r="C76" s="474" t="str">
        <f>'5.EMA'!$B$31</f>
        <v>MT2561</v>
      </c>
      <c r="D76" s="453" t="s">
        <v>564</v>
      </c>
      <c r="E76" s="454" t="str">
        <f>IF(D76="PESSOAL",VLOOKUP($C76,'TC 07-2023'!$B:$Z,2,FALSE), IF(D76="EQUIPAMENTOS",VLOOKUP($C76,Equip.Info!A:L,2,FALSE),VLOOKUP($C76,Mat.Info!A:F,2,FALSE)))</f>
        <v>Sistema operacional e pacote office</v>
      </c>
      <c r="F76" s="453" t="str">
        <f t="shared" si="29"/>
        <v>h</v>
      </c>
      <c r="G76" s="455">
        <f>IF($D76="PESSOAL",VLOOKUP($C76,'TC 07-2023'!$B:$Z,25,FALSE), IF($D76="EQUIPAMENTOS",VLOOKUP($C76,Equip.Info!$A:$L,11,FALSE),VLOOKUP($C76,Mat.Info!$A:$F,6,FALSE)))</f>
        <v>0.2286</v>
      </c>
      <c r="H76" s="459">
        <f>'5.EMA'!I31</f>
        <v>5930.9249999999993</v>
      </c>
      <c r="I76" s="457">
        <f t="shared" si="30"/>
        <v>1355.8094549999998</v>
      </c>
      <c r="J76" s="457">
        <f ca="1">I76*(1+Dados!$C$10)</f>
        <v>1963.0765098944996</v>
      </c>
      <c r="K76" s="458" t="s">
        <v>567</v>
      </c>
      <c r="L76" s="466" t="s">
        <v>569</v>
      </c>
    </row>
    <row r="77" spans="1:12" ht="15" customHeight="1">
      <c r="A77" s="438">
        <f t="shared" si="23"/>
        <v>5</v>
      </c>
      <c r="B77" s="473"/>
      <c r="C77" s="474" t="str">
        <f>'5.EMA'!$B$32</f>
        <v>MT2559</v>
      </c>
      <c r="D77" s="453" t="s">
        <v>564</v>
      </c>
      <c r="E77" s="454" t="str">
        <f>IF(D77="PESSOAL",VLOOKUP($C77,'TC 07-2023'!$B:$Z,2,FALSE), IF(D77="EQUIPAMENTOS",VLOOKUP($C77,Equip.Info!A:L,2,FALSE),VLOOKUP($C77,Mat.Info!A:F,2,FALSE)))</f>
        <v>Software SIG para MAC/Windows 64bits</v>
      </c>
      <c r="F77" s="453" t="str">
        <f t="shared" si="29"/>
        <v>h</v>
      </c>
      <c r="G77" s="455">
        <f>IF($D77="PESSOAL",VLOOKUP($C77,'TC 07-2023'!$B:$Z,25,FALSE), IF($D77="EQUIPAMENTOS",VLOOKUP($C77,Equip.Info!$A:$L,11,FALSE),VLOOKUP($C77,Mat.Info!$A:$F,6,FALSE)))</f>
        <v>2.6442999999999999</v>
      </c>
      <c r="H77" s="459">
        <f>'5.EMA'!I32</f>
        <v>4562.25</v>
      </c>
      <c r="I77" s="457">
        <f t="shared" si="30"/>
        <v>12063.957675</v>
      </c>
      <c r="J77" s="457">
        <f ca="1">I77*(1+Dados!$C$10)</f>
        <v>17467.404317632499</v>
      </c>
      <c r="K77" s="458" t="s">
        <v>567</v>
      </c>
      <c r="L77" s="466" t="s">
        <v>743</v>
      </c>
    </row>
    <row r="78" spans="1:12" ht="15" customHeight="1">
      <c r="A78" s="438">
        <f t="shared" si="23"/>
        <v>5</v>
      </c>
      <c r="B78" s="475"/>
      <c r="C78" s="476"/>
      <c r="D78" s="453" t="s">
        <v>660</v>
      </c>
      <c r="E78" s="454" t="s">
        <v>763</v>
      </c>
      <c r="F78" s="453" t="s">
        <v>683</v>
      </c>
      <c r="G78" s="455">
        <f>Voos!$D$54</f>
        <v>906.33333333333337</v>
      </c>
      <c r="H78" s="456">
        <f>IF(D78="PASSAGENS",SUMIFS('Diárias e Passagens'!I:I,'Diárias e Passagens'!A:A,A78),SUMIFS('Diárias e Passagens'!M:M,'Diárias e Passagens'!A:A,A78))</f>
        <v>26</v>
      </c>
      <c r="I78" s="457">
        <f>IF(D78="PASSAGENS",SUMIFS('Diárias e Passagens'!K:K,'Diárias e Passagens'!A:A,A78),SUMIFS('Diárias e Passagens'!O:O,'Diárias e Passagens'!A:A,A78))</f>
        <v>22236.666666666668</v>
      </c>
      <c r="J78" s="457">
        <f ca="1">I78*(1+Dados!$C$10)</f>
        <v>32196.469666666668</v>
      </c>
      <c r="K78" s="460" t="s">
        <v>685</v>
      </c>
      <c r="L78" s="466" t="s">
        <v>738</v>
      </c>
    </row>
    <row r="79" spans="1:12" ht="15" customHeight="1">
      <c r="A79" s="438">
        <f t="shared" si="23"/>
        <v>5</v>
      </c>
      <c r="B79" s="475"/>
      <c r="C79" s="476"/>
      <c r="D79" s="453" t="s">
        <v>466</v>
      </c>
      <c r="E79" s="454" t="s">
        <v>687</v>
      </c>
      <c r="F79" s="453" t="s">
        <v>682</v>
      </c>
      <c r="G79" s="455">
        <f>Diárias!$C$8</f>
        <v>433.49</v>
      </c>
      <c r="H79" s="456">
        <f>IF(D79="PASSAGENS",SUMIFS('Diárias e Passagens'!I:I,'Diárias e Passagens'!A:A,A79),SUMIFS('Diárias e Passagens'!M:M,'Diárias e Passagens'!A:A,A79))</f>
        <v>161</v>
      </c>
      <c r="I79" s="457">
        <f>IF(D79="PASSAGENS",SUMIFS('Diárias e Passagens'!K:K,'Diárias e Passagens'!A:A,A79),SUMIFS('Diárias e Passagens'!O:O,'Diárias e Passagens'!A:A,A79))</f>
        <v>55555.33</v>
      </c>
      <c r="J79" s="457">
        <f ca="1">I79*(1+Dados!$C$10)</f>
        <v>80438.562307</v>
      </c>
      <c r="K79" s="460" t="str">
        <f>Diárias!$I$6</f>
        <v>Decreto nº 11.117, 1º de julho De 2022</v>
      </c>
      <c r="L79" s="466" t="s">
        <v>739</v>
      </c>
    </row>
    <row r="80" spans="1:12" ht="15" customHeight="1">
      <c r="A80" s="438">
        <f t="shared" si="23"/>
        <v>5</v>
      </c>
      <c r="B80" s="471"/>
      <c r="C80" s="472"/>
      <c r="D80" s="453" t="s">
        <v>735</v>
      </c>
      <c r="E80" s="454" t="str">
        <f>'Inspeção-Veículo'!D10</f>
        <v>Veículo leve picape 4x4 - 147 kW (sem motorista)</v>
      </c>
      <c r="F80" s="453" t="s">
        <v>682</v>
      </c>
      <c r="G80" s="453"/>
      <c r="H80" s="455">
        <f>'Inspeção-Veículo'!G10</f>
        <v>39</v>
      </c>
      <c r="I80" s="457">
        <f>'Inspeção-Veículo'!N10</f>
        <v>39966.111276000003</v>
      </c>
      <c r="J80" s="457">
        <f ca="1">I80*(1+Dados!$C$10)</f>
        <v>57866.932516520406</v>
      </c>
      <c r="K80" s="458" t="s">
        <v>465</v>
      </c>
      <c r="L80" s="466" t="s">
        <v>737</v>
      </c>
    </row>
    <row r="81" spans="1:13" s="464" customFormat="1" ht="15" customHeight="1">
      <c r="A81" s="462">
        <v>6</v>
      </c>
      <c r="B81" s="469">
        <f>A81</f>
        <v>6</v>
      </c>
      <c r="C81" s="470" t="str">
        <f>'Resumo'!C14</f>
        <v>Dimensão Econômico-Financeira (MEF)</v>
      </c>
      <c r="D81" s="447"/>
      <c r="E81" s="448"/>
      <c r="F81" s="447"/>
      <c r="G81" s="449"/>
      <c r="H81" s="450"/>
      <c r="I81" s="451">
        <f>SUM(I82:I89)</f>
        <v>320713.1154666667</v>
      </c>
      <c r="J81" s="451">
        <f ca="1">SUM(J82:J89)</f>
        <v>464360.51988418662</v>
      </c>
      <c r="K81" s="463"/>
      <c r="L81" s="647"/>
    </row>
    <row r="82" spans="1:13" s="464" customFormat="1" ht="15" customHeight="1">
      <c r="A82" s="438">
        <f t="shared" ref="A82:A89" si="33">A81</f>
        <v>6</v>
      </c>
      <c r="B82" s="473"/>
      <c r="C82" s="474" t="str">
        <f>'6.MEF'!B18</f>
        <v>P8047</v>
      </c>
      <c r="D82" s="453" t="s">
        <v>464</v>
      </c>
      <c r="E82" s="454" t="str">
        <f>IF(D82="PESSOAL",VLOOKUP($C82,'TC 07-2023'!$B:$Z,2,FALSE), IF(D82="EQUIPAMENTOS",VLOOKUP($C82,Equip.Info!A:L,2,FALSE),VLOOKUP($C82,Mat.Info!A:F,2,FALSE)))</f>
        <v>Economista sênior</v>
      </c>
      <c r="F82" s="453" t="str">
        <f t="shared" ref="F82:F87" si="34">IF(D82="PESSOAL","mês", IF(OR(D82="EQUIPAMENTOS",D82="MATERIAL"),"h",""))</f>
        <v>mês</v>
      </c>
      <c r="G82" s="455">
        <f>IF($D82="PESSOAL",VLOOKUP($C82,'TC 07-2023'!$B:$Z,25,FALSE), IF($D82="EQUIPAMENTOS",VLOOKUP($C82,Equip.Info!$A:$L,11,FALSE),VLOOKUP($C82,Mat.Info!$A:$F,6,FALSE)))</f>
        <v>19860.28</v>
      </c>
      <c r="H82" s="459">
        <f>'6.MEF'!H18</f>
        <v>5</v>
      </c>
      <c r="I82" s="457">
        <f t="shared" ref="I82:I87" si="35">G82*H82</f>
        <v>99301.4</v>
      </c>
      <c r="J82" s="457">
        <f ca="1">I82*(1+Dados!$C$10)</f>
        <v>143778.49705999999</v>
      </c>
      <c r="K82" s="458" t="s">
        <v>465</v>
      </c>
      <c r="L82" s="466" t="str">
        <f>'6.MEF'!G18&amp;" "&amp;E82&amp;" por mês"</f>
        <v>1 Economista sênior por mês</v>
      </c>
    </row>
    <row r="83" spans="1:13" s="464" customFormat="1" ht="15" customHeight="1">
      <c r="A83" s="438">
        <f t="shared" si="33"/>
        <v>6</v>
      </c>
      <c r="B83" s="473"/>
      <c r="C83" s="474" t="str">
        <f>'6.MEF'!B19</f>
        <v>P8046</v>
      </c>
      <c r="D83" s="453" t="s">
        <v>464</v>
      </c>
      <c r="E83" s="454" t="str">
        <f>IF(D83="PESSOAL",VLOOKUP($C83,'TC 07-2023'!$B:$Z,2,FALSE), IF(D83="EQUIPAMENTOS",VLOOKUP($C83,Equip.Info!A:L,2,FALSE),VLOOKUP($C83,Mat.Info!A:F,2,FALSE)))</f>
        <v>Economista pleno</v>
      </c>
      <c r="F83" s="453" t="str">
        <f t="shared" si="34"/>
        <v>mês</v>
      </c>
      <c r="G83" s="455">
        <f>IF($D83="PESSOAL",VLOOKUP($C83,'TC 07-2023'!$B:$Z,25,FALSE), IF($D83="EQUIPAMENTOS",VLOOKUP($C83,Equip.Info!$A:$L,11,FALSE),VLOOKUP($C83,Mat.Info!$A:$F,6,FALSE)))</f>
        <v>12060.72</v>
      </c>
      <c r="H83" s="459">
        <f>'6.MEF'!H19</f>
        <v>5</v>
      </c>
      <c r="I83" s="457">
        <f t="shared" si="35"/>
        <v>60303.6</v>
      </c>
      <c r="J83" s="457">
        <f ca="1">I83*(1+Dados!$C$10)</f>
        <v>87313.582439999998</v>
      </c>
      <c r="K83" s="458" t="s">
        <v>465</v>
      </c>
      <c r="L83" s="466" t="str">
        <f>'6.MEF'!G19&amp;" "&amp;E83&amp;" por mês"</f>
        <v>1 Economista pleno por mês</v>
      </c>
    </row>
    <row r="84" spans="1:13" s="464" customFormat="1" ht="15" customHeight="1">
      <c r="A84" s="438">
        <f t="shared" si="33"/>
        <v>6</v>
      </c>
      <c r="B84" s="473"/>
      <c r="C84" s="474" t="str">
        <f>'6.MEF'!B20</f>
        <v>P8045</v>
      </c>
      <c r="D84" s="453" t="s">
        <v>464</v>
      </c>
      <c r="E84" s="454" t="str">
        <f>IF(D84="PESSOAL",VLOOKUP($C84,'TC 07-2023'!$B:$Z,2,FALSE), IF(D84="EQUIPAMENTOS",VLOOKUP($C84,Equip.Info!A:L,2,FALSE),VLOOKUP($C84,Mat.Info!A:F,2,FALSE)))</f>
        <v>Economista júnior</v>
      </c>
      <c r="F84" s="453" t="str">
        <f t="shared" si="34"/>
        <v>mês</v>
      </c>
      <c r="G84" s="455">
        <f>IF($D84="PESSOAL",VLOOKUP($C84,'TC 07-2023'!$B:$Z,25,FALSE), IF($D84="EQUIPAMENTOS",VLOOKUP($C84,Equip.Info!$A:$L,11,FALSE),VLOOKUP($C84,Mat.Info!$A:$F,6,FALSE)))</f>
        <v>9296</v>
      </c>
      <c r="H84" s="459">
        <f>'6.MEF'!H20</f>
        <v>5</v>
      </c>
      <c r="I84" s="457">
        <f t="shared" si="35"/>
        <v>46480</v>
      </c>
      <c r="J84" s="457">
        <f ca="1">I84*(1+Dados!$C$10)</f>
        <v>67298.391999999993</v>
      </c>
      <c r="K84" s="458" t="s">
        <v>465</v>
      </c>
      <c r="L84" s="466" t="str">
        <f>'6.MEF'!G20&amp;" "&amp;E84&amp;" por mês"</f>
        <v>1 Economista júnior por mês</v>
      </c>
    </row>
    <row r="85" spans="1:13" s="464" customFormat="1" ht="15" customHeight="1">
      <c r="A85" s="438">
        <f t="shared" si="33"/>
        <v>6</v>
      </c>
      <c r="B85" s="473"/>
      <c r="C85" s="474" t="str">
        <f>'6.MEF'!B21</f>
        <v>P8042</v>
      </c>
      <c r="D85" s="453" t="s">
        <v>464</v>
      </c>
      <c r="E85" s="454" t="str">
        <f>IF(D85="PESSOAL",VLOOKUP($C85,'TC 07-2023'!$B:$Z,2,FALSE), IF(D85="EQUIPAMENTOS",VLOOKUP($C85,Equip.Info!A:L,2,FALSE),VLOOKUP($C85,Mat.Info!A:F,2,FALSE)))</f>
        <v>Contador sênior</v>
      </c>
      <c r="F85" s="453" t="str">
        <f t="shared" si="34"/>
        <v>mês</v>
      </c>
      <c r="G85" s="455">
        <f>IF($D85="PESSOAL",VLOOKUP($C85,'TC 07-2023'!$B:$Z,25,FALSE), IF($D85="EQUIPAMENTOS",VLOOKUP($C85,Equip.Info!$A:$L,11,FALSE),VLOOKUP($C85,Mat.Info!$A:$F,6,FALSE)))</f>
        <v>19308.39</v>
      </c>
      <c r="H85" s="459">
        <f>'6.MEF'!H21</f>
        <v>5</v>
      </c>
      <c r="I85" s="457">
        <f t="shared" si="35"/>
        <v>96541.95</v>
      </c>
      <c r="J85" s="457">
        <f ca="1">I85*(1+Dados!$C$10)</f>
        <v>139783.08940500001</v>
      </c>
      <c r="K85" s="458" t="s">
        <v>465</v>
      </c>
      <c r="L85" s="466" t="str">
        <f>'6.MEF'!G21&amp;" "&amp;E85&amp;" por mês"</f>
        <v>1 Contador sênior por mês</v>
      </c>
    </row>
    <row r="86" spans="1:13" s="464" customFormat="1" ht="25.5">
      <c r="A86" s="438">
        <f t="shared" si="33"/>
        <v>6</v>
      </c>
      <c r="B86" s="473"/>
      <c r="C86" s="474" t="str">
        <f>'6.MEF'!$B$12</f>
        <v>EQ0769</v>
      </c>
      <c r="D86" s="453" t="s">
        <v>467</v>
      </c>
      <c r="E86" s="454" t="str">
        <f>IF(D86="PESSOAL",VLOOKUP($C86,'TC 07-2023'!$B:$Z,2,FALSE), IF(D86="EQUIPAMENTOS",VLOOKUP($C86,Equip.Info!A:L,2,FALSE),VLOOKUP($C86,Mat.Info!A:F,2,FALSE)))</f>
        <v>Laptop 14" com processador, placa de vídeo e memória compatíveis à função CAD/SIG</v>
      </c>
      <c r="F86" s="453" t="str">
        <f t="shared" si="34"/>
        <v>h</v>
      </c>
      <c r="G86" s="455">
        <f>IF($D86="PESSOAL",VLOOKUP($C86,'TC 07-2023'!$B:$Z,25,FALSE), IF($D86="EQUIPAMENTOS",VLOOKUP($C86,Equip.Info!$A:$L,11,FALSE),VLOOKUP($C86,Mat.Info!$A:$F,6,FALSE)))</f>
        <v>1.0773999999999999</v>
      </c>
      <c r="H86" s="459">
        <f>'6.MEF'!F12</f>
        <v>3649.8</v>
      </c>
      <c r="I86" s="457">
        <f t="shared" si="35"/>
        <v>3932.2945199999999</v>
      </c>
      <c r="J86" s="457">
        <f ca="1">I86*(1+Dados!$C$10)</f>
        <v>5693.569235508</v>
      </c>
      <c r="K86" s="458" t="s">
        <v>567</v>
      </c>
      <c r="L86" s="466" t="s">
        <v>742</v>
      </c>
    </row>
    <row r="87" spans="1:13" s="464" customFormat="1" ht="25.5">
      <c r="A87" s="438">
        <f t="shared" si="33"/>
        <v>6</v>
      </c>
      <c r="B87" s="473"/>
      <c r="C87" s="474" t="str">
        <f>'6.MEF'!$B$31</f>
        <v>MT2561</v>
      </c>
      <c r="D87" s="453" t="s">
        <v>564</v>
      </c>
      <c r="E87" s="454" t="str">
        <f>IF(D87="PESSOAL",VLOOKUP($C87,'TC 07-2023'!$B:$Z,2,FALSE), IF(D87="EQUIPAMENTOS",VLOOKUP($C87,Equip.Info!A:L,2,FALSE),VLOOKUP($C87,Mat.Info!A:F,2,FALSE)))</f>
        <v>Sistema operacional e pacote office</v>
      </c>
      <c r="F87" s="453" t="str">
        <f t="shared" si="34"/>
        <v>h</v>
      </c>
      <c r="G87" s="455">
        <f>IF($D87="PESSOAL",VLOOKUP($C87,'TC 07-2023'!$B:$Z,25,FALSE), IF($D87="EQUIPAMENTOS",VLOOKUP($C87,Equip.Info!$A:$L,11,FALSE),VLOOKUP($C87,Mat.Info!$A:$F,6,FALSE)))</f>
        <v>0.2286</v>
      </c>
      <c r="H87" s="459">
        <f>'6.MEF'!I31</f>
        <v>3649.8</v>
      </c>
      <c r="I87" s="457">
        <f t="shared" si="35"/>
        <v>834.34428000000003</v>
      </c>
      <c r="J87" s="457">
        <f ca="1">I87*(1+Dados!$C$10)</f>
        <v>1208.047083012</v>
      </c>
      <c r="K87" s="458" t="s">
        <v>567</v>
      </c>
      <c r="L87" s="466" t="s">
        <v>569</v>
      </c>
    </row>
    <row r="88" spans="1:13" s="464" customFormat="1" ht="15" customHeight="1">
      <c r="A88" s="438">
        <f t="shared" si="33"/>
        <v>6</v>
      </c>
      <c r="B88" s="475"/>
      <c r="C88" s="476"/>
      <c r="D88" s="453" t="s">
        <v>660</v>
      </c>
      <c r="E88" s="454" t="s">
        <v>686</v>
      </c>
      <c r="F88" s="453" t="s">
        <v>683</v>
      </c>
      <c r="G88" s="455">
        <f>Voos!$D$54</f>
        <v>906.33333333333337</v>
      </c>
      <c r="H88" s="456">
        <f>IF(D88="PASSAGENS",SUMIFS('Diárias e Passagens'!I:I,'Diárias e Passagens'!A:A,A88),SUMIFS('Diárias e Passagens'!M:M,'Diárias e Passagens'!A:A,A88))</f>
        <v>8</v>
      </c>
      <c r="I88" s="457">
        <f>IF(D88="PASSAGENS",SUMIFS('Diárias e Passagens'!K:K,'Diárias e Passagens'!A:A,A88),SUMIFS('Diárias e Passagens'!O:O,'Diárias e Passagens'!A:A,A88))</f>
        <v>7250.6666666666661</v>
      </c>
      <c r="J88" s="457">
        <f ca="1">I88*(1+Dados!$C$10)</f>
        <v>10498.240266666666</v>
      </c>
      <c r="K88" s="460" t="s">
        <v>685</v>
      </c>
      <c r="L88" s="466" t="s">
        <v>738</v>
      </c>
    </row>
    <row r="89" spans="1:13" ht="15" customHeight="1">
      <c r="A89" s="438">
        <f t="shared" si="33"/>
        <v>6</v>
      </c>
      <c r="B89" s="475"/>
      <c r="C89" s="476"/>
      <c r="D89" s="453" t="s">
        <v>466</v>
      </c>
      <c r="E89" s="454" t="s">
        <v>687</v>
      </c>
      <c r="F89" s="453" t="s">
        <v>682</v>
      </c>
      <c r="G89" s="455">
        <f>Diárias!$C$8</f>
        <v>433.49</v>
      </c>
      <c r="H89" s="456">
        <f>IF(D89="PASSAGENS",SUMIFS('Diárias e Passagens'!I:I,'Diárias e Passagens'!A:A,A89),SUMIFS('Diárias e Passagens'!M:M,'Diárias e Passagens'!A:A,A89))</f>
        <v>14</v>
      </c>
      <c r="I89" s="457">
        <f>IF(D89="PASSAGENS",SUMIFS('Diárias e Passagens'!K:K,'Diárias e Passagens'!A:A,A89),SUMIFS('Diárias e Passagens'!O:O,'Diárias e Passagens'!A:A,A89))</f>
        <v>6068.8599999999988</v>
      </c>
      <c r="J89" s="457">
        <f ca="1">I89*(1+Dados!$C$10)</f>
        <v>8787.1023939999977</v>
      </c>
      <c r="K89" s="460" t="str">
        <f>Diárias!$I$6</f>
        <v>Decreto nº 11.117, 1º de julho De 2022</v>
      </c>
      <c r="L89" s="466" t="s">
        <v>739</v>
      </c>
      <c r="M89" s="464"/>
    </row>
    <row r="90" spans="1:13" s="464" customFormat="1" ht="15" customHeight="1">
      <c r="A90" s="462">
        <v>7</v>
      </c>
      <c r="B90" s="469">
        <f>A90</f>
        <v>7</v>
      </c>
      <c r="C90" s="470" t="str">
        <f>'Resumo'!C16</f>
        <v>Gestão de Projeto, Revisão de Estudos e Apoio às Fases</v>
      </c>
      <c r="D90" s="447"/>
      <c r="E90" s="448"/>
      <c r="F90" s="447"/>
      <c r="G90" s="449"/>
      <c r="H90" s="450"/>
      <c r="I90" s="451">
        <f>SUM(I91:I97)</f>
        <v>158289.06994666666</v>
      </c>
      <c r="J90" s="451">
        <f ca="1">SUM(J91:J97)</f>
        <v>229186.74437577865</v>
      </c>
      <c r="K90" s="463"/>
      <c r="L90" s="645"/>
    </row>
    <row r="91" spans="1:13" s="464" customFormat="1" ht="15" customHeight="1">
      <c r="A91" s="438">
        <f t="shared" ref="A91:A97" si="36">A90</f>
        <v>7</v>
      </c>
      <c r="B91" s="473"/>
      <c r="C91" s="474" t="str">
        <f>'7.EJR'!B18</f>
        <v>P8003</v>
      </c>
      <c r="D91" s="453" t="s">
        <v>464</v>
      </c>
      <c r="E91" s="454" t="str">
        <f>IF(D91="PESSOAL",VLOOKUP($C91,'TC 07-2023'!$B:$Z,2,FALSE), IF(D91="EQUIPAMENTOS",VLOOKUP($C91,Equip.Info!A:L,2,FALSE),VLOOKUP($C91,Mat.Info!A:F,2,FALSE)))</f>
        <v>Advogado sênior</v>
      </c>
      <c r="F91" s="453" t="str">
        <f t="shared" ref="F91:F95" si="37">IF(D91="PESSOAL","mês", IF(OR(D91="EQUIPAMENTOS",D91="MATERIAL"),"h",""))</f>
        <v>mês</v>
      </c>
      <c r="G91" s="455">
        <f>IF($D91="PESSOAL",VLOOKUP($C91,'TC 07-2023'!$B:$Z,25,FALSE), IF($D91="EQUIPAMENTOS",VLOOKUP($C91,Equip.Info!$A:$L,11,FALSE),VLOOKUP($C91,Mat.Info!$A:$F,6,FALSE)))</f>
        <v>19214.900000000001</v>
      </c>
      <c r="H91" s="459">
        <f>'7.EJR'!H18</f>
        <v>3</v>
      </c>
      <c r="I91" s="457">
        <f>G91*H91</f>
        <v>57644.700000000004</v>
      </c>
      <c r="J91" s="457">
        <f ca="1">I91*(1+Dados!$C$10)</f>
        <v>83463.761129999999</v>
      </c>
      <c r="K91" s="458" t="s">
        <v>465</v>
      </c>
      <c r="L91" s="466" t="str">
        <f>'7.EJR'!G18&amp;" "&amp;E91&amp;" por mês"</f>
        <v>1 Advogado sênior por mês</v>
      </c>
    </row>
    <row r="92" spans="1:13" s="464" customFormat="1" ht="15" customHeight="1">
      <c r="A92" s="438">
        <f t="shared" si="36"/>
        <v>7</v>
      </c>
      <c r="B92" s="473"/>
      <c r="C92" s="474" t="str">
        <f>'7.EJR'!B19</f>
        <v>P8002</v>
      </c>
      <c r="D92" s="453" t="s">
        <v>464</v>
      </c>
      <c r="E92" s="454" t="str">
        <f>IF(D92="PESSOAL",VLOOKUP($C92,'TC 07-2023'!$B:$Z,2,FALSE), IF(D92="EQUIPAMENTOS",VLOOKUP($C92,Equip.Info!A:L,2,FALSE),VLOOKUP($C92,Mat.Info!A:F,2,FALSE)))</f>
        <v>Advogado pleno</v>
      </c>
      <c r="F92" s="453" t="str">
        <f t="shared" si="37"/>
        <v>mês</v>
      </c>
      <c r="G92" s="455">
        <f>IF($D92="PESSOAL",VLOOKUP($C92,'TC 07-2023'!$B:$Z,25,FALSE), IF($D92="EQUIPAMENTOS",VLOOKUP($C92,Equip.Info!$A:$L,11,FALSE),VLOOKUP($C92,Mat.Info!$A:$F,6,FALSE)))</f>
        <v>11276.77</v>
      </c>
      <c r="H92" s="459">
        <f>'7.EJR'!H19</f>
        <v>6</v>
      </c>
      <c r="I92" s="457">
        <f>G92*H92</f>
        <v>67660.62</v>
      </c>
      <c r="J92" s="457">
        <f ca="1">I92*(1+Dados!$C$10)</f>
        <v>97965.81169799999</v>
      </c>
      <c r="K92" s="458" t="s">
        <v>465</v>
      </c>
      <c r="L92" s="466" t="str">
        <f>'7.EJR'!G19&amp;" "&amp;E92&amp;" por mês"</f>
        <v>2 Advogado pleno por mês</v>
      </c>
    </row>
    <row r="93" spans="1:13" ht="15" customHeight="1">
      <c r="A93" s="438">
        <f t="shared" si="36"/>
        <v>7</v>
      </c>
      <c r="B93" s="473"/>
      <c r="C93" s="474" t="str">
        <f>'7.EJR'!B20</f>
        <v>P8001</v>
      </c>
      <c r="D93" s="453" t="s">
        <v>464</v>
      </c>
      <c r="E93" s="454" t="str">
        <f>IF(D93="PESSOAL",VLOOKUP($C93,'TC 07-2023'!$B:$Z,2,FALSE), IF(D93="EQUIPAMENTOS",VLOOKUP($C93,Equip.Info!A:L,2,FALSE),VLOOKUP($C93,Mat.Info!A:F,2,FALSE)))</f>
        <v>Advogado júnior</v>
      </c>
      <c r="F93" s="453" t="str">
        <f t="shared" si="37"/>
        <v>mês</v>
      </c>
      <c r="G93" s="455">
        <f>IF($D93="PESSOAL",VLOOKUP($C93,'TC 07-2023'!$B:$Z,25,FALSE), IF($D93="EQUIPAMENTOS",VLOOKUP($C93,Equip.Info!$A:$L,11,FALSE),VLOOKUP($C93,Mat.Info!$A:$F,6,FALSE)))</f>
        <v>8714.5499999999993</v>
      </c>
      <c r="H93" s="459">
        <f>'7.EJR'!H20</f>
        <v>3</v>
      </c>
      <c r="I93" s="457">
        <f>G93*H93</f>
        <v>26143.649999999998</v>
      </c>
      <c r="J93" s="457">
        <f ca="1">I93*(1+Dados!$C$10)</f>
        <v>37853.390834999998</v>
      </c>
      <c r="K93" s="458" t="s">
        <v>465</v>
      </c>
      <c r="L93" s="466" t="str">
        <f>'7.EJR'!G20&amp;" "&amp;E93&amp;" por mês"</f>
        <v>1 Advogado júnior por mês</v>
      </c>
      <c r="M93" s="464"/>
    </row>
    <row r="94" spans="1:13" s="464" customFormat="1" ht="25.5">
      <c r="A94" s="438">
        <f t="shared" si="36"/>
        <v>7</v>
      </c>
      <c r="B94" s="473"/>
      <c r="C94" s="474" t="str">
        <f>'7.EJR'!$B$12</f>
        <v>EQ0769</v>
      </c>
      <c r="D94" s="453" t="s">
        <v>467</v>
      </c>
      <c r="E94" s="454" t="str">
        <f>IF(D94="PESSOAL",VLOOKUP($C94,'TC 07-2023'!$B:$Z,2,FALSE), IF(D94="EQUIPAMENTOS",VLOOKUP($C94,Equip.Info!A:L,2,FALSE),VLOOKUP($C94,Mat.Info!A:F,2,FALSE)))</f>
        <v>Laptop 14" com processador, placa de vídeo e memória compatíveis à função CAD/SIG</v>
      </c>
      <c r="F94" s="453" t="str">
        <f t="shared" si="37"/>
        <v>h</v>
      </c>
      <c r="G94" s="455">
        <f>IF($D94="PESSOAL",VLOOKUP($C94,'TC 07-2023'!$B:$Z,25,FALSE), IF($D94="EQUIPAMENTOS",VLOOKUP($C94,Equip.Info!$A:$L,11,FALSE),VLOOKUP($C94,Mat.Info!$A:$F,6,FALSE)))</f>
        <v>1.0773999999999999</v>
      </c>
      <c r="H94" s="459">
        <f>'7.EJR'!F12</f>
        <v>2189.88</v>
      </c>
      <c r="I94" s="457">
        <f t="shared" ref="I94:I95" si="38">G94*H94</f>
        <v>2359.3767119999998</v>
      </c>
      <c r="J94" s="457">
        <f ca="1">I94*(1+Dados!$C$10)</f>
        <v>3416.1415413047994</v>
      </c>
      <c r="K94" s="458" t="s">
        <v>567</v>
      </c>
      <c r="L94" s="466" t="s">
        <v>742</v>
      </c>
    </row>
    <row r="95" spans="1:13" s="464" customFormat="1" ht="25.5">
      <c r="A95" s="438">
        <f t="shared" si="36"/>
        <v>7</v>
      </c>
      <c r="B95" s="473"/>
      <c r="C95" s="474" t="str">
        <f>'7.EJR'!$B$31</f>
        <v>MT2561</v>
      </c>
      <c r="D95" s="453" t="s">
        <v>564</v>
      </c>
      <c r="E95" s="454" t="str">
        <f>IF(D95="PESSOAL",VLOOKUP($C95,'TC 07-2023'!$B:$Z,2,FALSE), IF(D95="EQUIPAMENTOS",VLOOKUP($C95,Equip.Info!A:L,2,FALSE),VLOOKUP($C95,Mat.Info!A:F,2,FALSE)))</f>
        <v>Sistema operacional e pacote office</v>
      </c>
      <c r="F95" s="453" t="str">
        <f t="shared" si="37"/>
        <v>h</v>
      </c>
      <c r="G95" s="455">
        <f>IF($D95="PESSOAL",VLOOKUP($C95,'TC 07-2023'!$B:$Z,25,FALSE), IF($D95="EQUIPAMENTOS",VLOOKUP($C95,Equip.Info!$A:$L,11,FALSE),VLOOKUP($C95,Mat.Info!$A:$F,6,FALSE)))</f>
        <v>0.2286</v>
      </c>
      <c r="H95" s="459">
        <f>'7.EJR'!I31</f>
        <v>2189.88</v>
      </c>
      <c r="I95" s="457">
        <f t="shared" si="38"/>
        <v>500.60656800000004</v>
      </c>
      <c r="J95" s="457">
        <f ca="1">I95*(1+Dados!$C$10)</f>
        <v>724.8282498072</v>
      </c>
      <c r="K95" s="458" t="s">
        <v>567</v>
      </c>
      <c r="L95" s="466" t="s">
        <v>569</v>
      </c>
    </row>
    <row r="96" spans="1:13" s="464" customFormat="1" ht="15" customHeight="1">
      <c r="A96" s="438">
        <f t="shared" si="36"/>
        <v>7</v>
      </c>
      <c r="B96" s="475"/>
      <c r="C96" s="476"/>
      <c r="D96" s="453" t="s">
        <v>660</v>
      </c>
      <c r="E96" s="454" t="s">
        <v>686</v>
      </c>
      <c r="F96" s="453" t="s">
        <v>683</v>
      </c>
      <c r="G96" s="455">
        <f>Voos!$D$54</f>
        <v>906.33333333333337</v>
      </c>
      <c r="H96" s="456">
        <f>IF(D96="PASSAGENS",SUMIFS('Diárias e Passagens'!I:I,'Diárias e Passagens'!A:A,A96),SUMIFS('Diárias e Passagens'!M:M,'Diárias e Passagens'!A:A,A96))</f>
        <v>2</v>
      </c>
      <c r="I96" s="457">
        <f>IF(D96="PASSAGENS",SUMIFS('Diárias e Passagens'!K:K,'Diárias e Passagens'!A:A,A96),SUMIFS('Diárias e Passagens'!O:O,'Diárias e Passagens'!A:A,A96))</f>
        <v>1812.6666666666667</v>
      </c>
      <c r="J96" s="457">
        <f ca="1">I96*(1+Dados!$C$10)</f>
        <v>2624.5600666666669</v>
      </c>
      <c r="K96" s="460" t="s">
        <v>685</v>
      </c>
      <c r="L96" s="466" t="s">
        <v>738</v>
      </c>
    </row>
    <row r="97" spans="1:13" ht="15" customHeight="1">
      <c r="A97" s="438">
        <f t="shared" si="36"/>
        <v>7</v>
      </c>
      <c r="B97" s="475"/>
      <c r="C97" s="476"/>
      <c r="D97" s="453" t="s">
        <v>466</v>
      </c>
      <c r="E97" s="454" t="s">
        <v>687</v>
      </c>
      <c r="F97" s="453" t="s">
        <v>682</v>
      </c>
      <c r="G97" s="455">
        <f>Diárias!$C$8</f>
        <v>433.49</v>
      </c>
      <c r="H97" s="456">
        <f>IF(D97="PASSAGENS",SUMIFS('Diárias e Passagens'!I:I,'Diárias e Passagens'!A:A,A97),SUMIFS('Diárias e Passagens'!M:M,'Diárias e Passagens'!A:A,A97))</f>
        <v>5</v>
      </c>
      <c r="I97" s="457">
        <f>IF(D97="PASSAGENS",SUMIFS('Diárias e Passagens'!K:K,'Diárias e Passagens'!A:A,A97),SUMIFS('Diárias e Passagens'!O:O,'Diárias e Passagens'!A:A,A97))</f>
        <v>2167.4499999999998</v>
      </c>
      <c r="J97" s="457">
        <f ca="1">I97*(1+Dados!$C$10)</f>
        <v>3138.2508549999998</v>
      </c>
      <c r="K97" s="460" t="str">
        <f>Diárias!$I$6</f>
        <v>Decreto nº 11.117, 1º de julho De 2022</v>
      </c>
      <c r="L97" s="466" t="s">
        <v>739</v>
      </c>
      <c r="M97" s="464"/>
    </row>
    <row r="98" spans="1:13" ht="15" customHeight="1">
      <c r="A98" s="438">
        <v>8</v>
      </c>
      <c r="B98" s="469">
        <f>A98</f>
        <v>8</v>
      </c>
      <c r="C98" s="470" t="str">
        <f>'Resumo'!C16</f>
        <v>Gestão de Projeto, Revisão de Estudos e Apoio às Fases</v>
      </c>
      <c r="D98" s="447"/>
      <c r="E98" s="448"/>
      <c r="F98" s="447"/>
      <c r="G98" s="449"/>
      <c r="H98" s="450"/>
      <c r="I98" s="451">
        <f>SUM(I99:I109)</f>
        <v>919155.18909999996</v>
      </c>
      <c r="J98" s="451">
        <f ca="1">SUM(J99:J109)</f>
        <v>1330844.79829789</v>
      </c>
      <c r="K98" s="463"/>
      <c r="L98" s="645"/>
    </row>
    <row r="99" spans="1:13" ht="15" customHeight="1">
      <c r="A99" s="438">
        <f t="shared" ref="A99:A109" si="39">A98</f>
        <v>8</v>
      </c>
      <c r="B99" s="473"/>
      <c r="C99" s="474" t="str">
        <f>'8.GPeR'!B18</f>
        <v>P8044</v>
      </c>
      <c r="D99" s="453" t="s">
        <v>464</v>
      </c>
      <c r="E99" s="454" t="str">
        <f>IF(D99="PESSOAL",VLOOKUP($C99,'TC 07-2023'!$B:$Z,2,FALSE), IF(D99="EQUIPAMENTOS",VLOOKUP($C99,Equip.Info!A:L,2,FALSE),VLOOKUP($C99,Mat.Info!A:F,2,FALSE)))</f>
        <v xml:space="preserve">Coordenador ambiental </v>
      </c>
      <c r="F99" s="453" t="str">
        <f t="shared" ref="F99:F107" si="40">IF(D99="PESSOAL","mês", IF(OR(D99="EQUIPAMENTOS",D99="MATERIAL"),"h",""))</f>
        <v>mês</v>
      </c>
      <c r="G99" s="455">
        <f>IF($D99="PESSOAL",VLOOKUP($C99,'TC 07-2023'!$B:$Z,25,FALSE), IF($D99="EQUIPAMENTOS",VLOOKUP($C99,Equip.Info!$A:$L,11,FALSE),VLOOKUP($C99,Mat.Info!$A:$F,6,FALSE)))</f>
        <v>31481.62</v>
      </c>
      <c r="H99" s="459">
        <f>'8.GPeR'!H18</f>
        <v>1.5</v>
      </c>
      <c r="I99" s="457">
        <f t="shared" ref="I99:I103" si="41">G99*H99</f>
        <v>47222.43</v>
      </c>
      <c r="J99" s="457">
        <f ca="1">I99*(1+Dados!$C$10)</f>
        <v>68373.356396999996</v>
      </c>
      <c r="K99" s="458" t="s">
        <v>465</v>
      </c>
      <c r="L99" s="466" t="str">
        <f>'7.EJR'!G27&amp;" "&amp;E99&amp;" por mês"</f>
        <v xml:space="preserve"> Coordenador ambiental  por mês</v>
      </c>
    </row>
    <row r="100" spans="1:13" ht="15" customHeight="1">
      <c r="A100" s="438">
        <f t="shared" si="39"/>
        <v>8</v>
      </c>
      <c r="B100" s="473"/>
      <c r="C100" s="474" t="str">
        <f>'8.GPeR'!B19</f>
        <v>P8061</v>
      </c>
      <c r="D100" s="453" t="s">
        <v>464</v>
      </c>
      <c r="E100" s="454" t="str">
        <f>IF(D100="PESSOAL",VLOOKUP($C100,'TC 07-2023'!$B:$Z,2,FALSE), IF(D100="EQUIPAMENTOS",VLOOKUP($C100,Equip.Info!A:L,2,FALSE),VLOOKUP($C100,Mat.Info!A:F,2,FALSE)))</f>
        <v>Engenheiro coordenador</v>
      </c>
      <c r="F100" s="453" t="str">
        <f t="shared" si="40"/>
        <v>mês</v>
      </c>
      <c r="G100" s="455">
        <f>IF($D100="PESSOAL",VLOOKUP($C100,'TC 07-2023'!$B:$Z,25,FALSE), IF($D100="EQUIPAMENTOS",VLOOKUP($C100,Equip.Info!$A:$L,11,FALSE),VLOOKUP($C100,Mat.Info!$A:$F,6,FALSE)))</f>
        <v>31759.96</v>
      </c>
      <c r="H100" s="459">
        <f>'8.GPeR'!H19</f>
        <v>1.5</v>
      </c>
      <c r="I100" s="457">
        <f t="shared" si="41"/>
        <v>47639.94</v>
      </c>
      <c r="J100" s="457">
        <f ca="1">I100*(1+Dados!$C$10)</f>
        <v>68977.869126000005</v>
      </c>
      <c r="K100" s="458" t="s">
        <v>465</v>
      </c>
      <c r="L100" s="466" t="str">
        <f>'7.EJR'!G28&amp;" "&amp;E100&amp;" por mês"</f>
        <v xml:space="preserve"> Engenheiro coordenador por mês</v>
      </c>
    </row>
    <row r="101" spans="1:13" ht="15" customHeight="1">
      <c r="A101" s="438">
        <f t="shared" si="39"/>
        <v>8</v>
      </c>
      <c r="B101" s="473"/>
      <c r="C101" s="474" t="str">
        <f>'8.GPeR'!B20</f>
        <v>P8003</v>
      </c>
      <c r="D101" s="453" t="s">
        <v>464</v>
      </c>
      <c r="E101" s="454" t="str">
        <f>IF(D101="PESSOAL",VLOOKUP($C101,'TC 07-2023'!$B:$Z,2,FALSE), IF(D101="EQUIPAMENTOS",VLOOKUP($C101,Equip.Info!A:L,2,FALSE),VLOOKUP($C101,Mat.Info!A:F,2,FALSE)))</f>
        <v>Advogado sênior</v>
      </c>
      <c r="F101" s="453" t="str">
        <f t="shared" si="40"/>
        <v>mês</v>
      </c>
      <c r="G101" s="455">
        <f>IF($D101="PESSOAL",VLOOKUP($C101,'TC 07-2023'!$B:$Z,25,FALSE), IF($D101="EQUIPAMENTOS",VLOOKUP($C101,Equip.Info!$A:$L,11,FALSE),VLOOKUP($C101,Mat.Info!$A:$F,6,FALSE)))</f>
        <v>19214.900000000001</v>
      </c>
      <c r="H101" s="459">
        <f>'8.GPeR'!H20</f>
        <v>4.5</v>
      </c>
      <c r="I101" s="457">
        <f t="shared" si="41"/>
        <v>86467.05</v>
      </c>
      <c r="J101" s="457">
        <f ca="1">I101*(1+Dados!$C$10)</f>
        <v>125195.641695</v>
      </c>
      <c r="K101" s="458" t="s">
        <v>465</v>
      </c>
      <c r="L101" s="466" t="str">
        <f>'7.EJR'!G29&amp;" "&amp;E101&amp;" por mês"</f>
        <v xml:space="preserve"> Advogado sênior por mês</v>
      </c>
    </row>
    <row r="102" spans="1:13" ht="15" customHeight="1">
      <c r="A102" s="438">
        <f t="shared" si="39"/>
        <v>8</v>
      </c>
      <c r="B102" s="473"/>
      <c r="C102" s="474" t="str">
        <f>'8.GPeR'!B21</f>
        <v>P8047</v>
      </c>
      <c r="D102" s="453" t="s">
        <v>464</v>
      </c>
      <c r="E102" s="454" t="str">
        <f>IF(D102="PESSOAL",VLOOKUP($C102,'TC 07-2023'!$B:$Z,2,FALSE), IF(D102="EQUIPAMENTOS",VLOOKUP($C102,Equip.Info!A:L,2,FALSE),VLOOKUP($C102,Mat.Info!A:F,2,FALSE)))</f>
        <v>Economista sênior</v>
      </c>
      <c r="F102" s="453" t="str">
        <f t="shared" ref="F102:F103" si="42">IF(D102="PESSOAL","mês", IF(OR(D102="EQUIPAMENTOS",D102="MATERIAL"),"h",""))</f>
        <v>mês</v>
      </c>
      <c r="G102" s="455">
        <f>IF($D102="PESSOAL",VLOOKUP($C102,'TC 07-2023'!$B:$Z,25,FALSE), IF($D102="EQUIPAMENTOS",VLOOKUP($C102,Equip.Info!$A:$L,11,FALSE),VLOOKUP($C102,Mat.Info!$A:$F,6,FALSE)))</f>
        <v>19860.28</v>
      </c>
      <c r="H102" s="459">
        <f>'8.GPeR'!H21</f>
        <v>4.5</v>
      </c>
      <c r="I102" s="457">
        <f t="shared" si="41"/>
        <v>89371.26</v>
      </c>
      <c r="J102" s="457">
        <f ca="1">I102*(1+Dados!$C$10)</f>
        <v>129400.64735399999</v>
      </c>
      <c r="K102" s="458" t="s">
        <v>465</v>
      </c>
      <c r="L102" s="466" t="str">
        <f>'7.EJR'!G30&amp;" "&amp;E102&amp;" por mês"</f>
        <v xml:space="preserve"> Economista sênior por mês</v>
      </c>
    </row>
    <row r="103" spans="1:13" ht="15" customHeight="1">
      <c r="A103" s="438">
        <f t="shared" si="39"/>
        <v>8</v>
      </c>
      <c r="B103" s="473"/>
      <c r="C103" s="474" t="str">
        <f>'8.GPeR'!B22</f>
        <v>P8060</v>
      </c>
      <c r="D103" s="453" t="s">
        <v>464</v>
      </c>
      <c r="E103" s="454" t="str">
        <f>IF(D103="PESSOAL",VLOOKUP($C103,'TC 07-2023'!$B:$Z,2,FALSE), IF(D103="EQUIPAMENTOS",VLOOKUP($C103,Equip.Info!A:L,2,FALSE),VLOOKUP($C103,Mat.Info!A:F,2,FALSE)))</f>
        <v>Engenheiro consultor especial</v>
      </c>
      <c r="F103" s="453" t="str">
        <f t="shared" si="42"/>
        <v>mês</v>
      </c>
      <c r="G103" s="455">
        <f>IF($D103="PESSOAL",VLOOKUP($C103,'TC 07-2023'!$B:$Z,25,FALSE), IF($D103="EQUIPAMENTOS",VLOOKUP($C103,Equip.Info!$A:$L,11,FALSE),VLOOKUP($C103,Mat.Info!$A:$F,6,FALSE)))</f>
        <v>37906.68</v>
      </c>
      <c r="H103" s="459">
        <f>'8.GPeR'!H22</f>
        <v>3</v>
      </c>
      <c r="I103" s="457">
        <f t="shared" si="41"/>
        <v>113720.04000000001</v>
      </c>
      <c r="J103" s="457">
        <f ca="1">I103*(1+Dados!$C$10)</f>
        <v>164655.24591600001</v>
      </c>
      <c r="K103" s="458" t="s">
        <v>465</v>
      </c>
      <c r="L103" s="466" t="str">
        <f>'7.EJR'!G31&amp;" "&amp;E103&amp;" por mês"</f>
        <v xml:space="preserve"> Engenheiro consultor especial por mês</v>
      </c>
    </row>
    <row r="104" spans="1:13" ht="15" customHeight="1">
      <c r="A104" s="438">
        <f t="shared" si="39"/>
        <v>8</v>
      </c>
      <c r="B104" s="473"/>
      <c r="C104" s="474" t="str">
        <f>'8.GPeR'!B23</f>
        <v>P8067</v>
      </c>
      <c r="D104" s="453" t="s">
        <v>464</v>
      </c>
      <c r="E104" s="454" t="str">
        <f>IF(D104="PESSOAL",VLOOKUP($C104,'TC 07-2023'!$B:$Z,2,FALSE), IF(D104="EQUIPAMENTOS",VLOOKUP($C104,Equip.Info!A:L,2,FALSE),VLOOKUP($C104,Mat.Info!A:F,2,FALSE)))</f>
        <v>Engenheiro de projetos sênior</v>
      </c>
      <c r="F104" s="453" t="str">
        <f t="shared" ref="F104" si="43">IF(D104="PESSOAL","mês", IF(OR(D104="EQUIPAMENTOS",D104="MATERIAL"),"h",""))</f>
        <v>mês</v>
      </c>
      <c r="G104" s="455">
        <f>IF($D104="PESSOAL",VLOOKUP($C104,'TC 07-2023'!$B:$Z,25,FALSE), IF($D104="EQUIPAMENTOS",VLOOKUP($C104,Equip.Info!$A:$L,11,FALSE),VLOOKUP($C104,Mat.Info!$A:$F,6,FALSE)))</f>
        <v>27604.86</v>
      </c>
      <c r="H104" s="459">
        <f>'8.GPeR'!H23</f>
        <v>13.5</v>
      </c>
      <c r="I104" s="457">
        <f t="shared" ref="I104" si="44">G104*H104</f>
        <v>372665.61</v>
      </c>
      <c r="J104" s="457">
        <f ca="1">I104*(1+Dados!$C$10)</f>
        <v>539582.53671899997</v>
      </c>
      <c r="K104" s="458" t="s">
        <v>465</v>
      </c>
      <c r="L104" s="466" t="str">
        <f>'7.EJR'!G32&amp;" "&amp;E104&amp;" por mês"</f>
        <v xml:space="preserve"> Engenheiro de projetos sênior por mês</v>
      </c>
    </row>
    <row r="105" spans="1:13" ht="15" customHeight="1">
      <c r="A105" s="438">
        <f t="shared" si="39"/>
        <v>8</v>
      </c>
      <c r="B105" s="473"/>
      <c r="C105" s="474" t="str">
        <f>'8.GPeR'!B24</f>
        <v>P8066</v>
      </c>
      <c r="D105" s="453" t="s">
        <v>464</v>
      </c>
      <c r="E105" s="454" t="str">
        <f>IF(D105="PESSOAL",VLOOKUP($C105,'TC 07-2023'!$B:$Z,2,FALSE), IF(D105="EQUIPAMENTOS",VLOOKUP($C105,Equip.Info!A:L,2,FALSE),VLOOKUP($C105,Mat.Info!A:F,2,FALSE)))</f>
        <v>Engenheiro de projetos pleno</v>
      </c>
      <c r="F105" s="453" t="str">
        <f t="shared" ref="F105" si="45">IF(D105="PESSOAL","mês", IF(OR(D105="EQUIPAMENTOS",D105="MATERIAL"),"h",""))</f>
        <v>mês</v>
      </c>
      <c r="G105" s="455">
        <f>IF($D105="PESSOAL",VLOOKUP($C105,'TC 07-2023'!$B:$Z,25,FALSE), IF($D105="EQUIPAMENTOS",VLOOKUP($C105,Equip.Info!$A:$L,11,FALSE),VLOOKUP($C105,Mat.Info!$A:$F,6,FALSE)))</f>
        <v>21969.16</v>
      </c>
      <c r="H105" s="459">
        <f>'8.GPeR'!H24</f>
        <v>6</v>
      </c>
      <c r="I105" s="457">
        <f t="shared" ref="I105" si="46">G105*H105</f>
        <v>131814.96</v>
      </c>
      <c r="J105" s="457">
        <f ca="1">I105*(1+Dados!$C$10)</f>
        <v>190854.88058399997</v>
      </c>
      <c r="K105" s="458" t="s">
        <v>465</v>
      </c>
      <c r="L105" s="466" t="str">
        <f>'7.EJR'!G33&amp;" "&amp;E105&amp;" por mês"</f>
        <v xml:space="preserve"> Engenheiro de projetos pleno por mês</v>
      </c>
    </row>
    <row r="106" spans="1:13" ht="15" customHeight="1">
      <c r="A106" s="438">
        <f t="shared" si="39"/>
        <v>8</v>
      </c>
      <c r="B106" s="473"/>
      <c r="C106" s="474" t="str">
        <f>'8.GPeR'!B12</f>
        <v>EQ0769</v>
      </c>
      <c r="D106" s="453" t="s">
        <v>467</v>
      </c>
      <c r="E106" s="454" t="str">
        <f>IF(D106="PESSOAL",VLOOKUP($C106,'TC 07-2023'!$B:$Z,2,FALSE), IF(D106="EQUIPAMENTOS",VLOOKUP($C106,Equip.Info!A:L,2,FALSE),VLOOKUP($C106,Mat.Info!A:F,2,FALSE)))</f>
        <v>Laptop 14" com processador, placa de vídeo e memória compatíveis à função CAD/SIG</v>
      </c>
      <c r="F106" s="453" t="str">
        <f t="shared" si="40"/>
        <v>h</v>
      </c>
      <c r="G106" s="455">
        <f>IF($D106="PESSOAL",VLOOKUP($C106,'TC 07-2023'!$B:$Z,25,FALSE), IF($D106="EQUIPAMENTOS",VLOOKUP($C106,Equip.Info!$A:$L,11,FALSE),VLOOKUP($C106,Mat.Info!$A:$F,6,FALSE)))</f>
        <v>1.0773999999999999</v>
      </c>
      <c r="H106" s="455">
        <f>'8.GPeR'!F12</f>
        <v>2737.3500000000004</v>
      </c>
      <c r="I106" s="457">
        <f t="shared" ref="I106:I107" si="47">G106*H106</f>
        <v>2949.2208900000001</v>
      </c>
      <c r="J106" s="457">
        <f ca="1">I106*(1+Dados!$C$10)</f>
        <v>4270.1769266310002</v>
      </c>
      <c r="K106" s="458" t="s">
        <v>567</v>
      </c>
      <c r="L106" s="466" t="s">
        <v>568</v>
      </c>
    </row>
    <row r="107" spans="1:13" ht="25.5">
      <c r="A107" s="438">
        <f t="shared" si="39"/>
        <v>8</v>
      </c>
      <c r="B107" s="473"/>
      <c r="C107" s="474" t="str">
        <f>'8.GPeR'!B31</f>
        <v>MT2561</v>
      </c>
      <c r="D107" s="453" t="s">
        <v>564</v>
      </c>
      <c r="E107" s="454" t="str">
        <f>IF(D107="PESSOAL",VLOOKUP($C107,'TC 07-2023'!$B:$Z,2,FALSE), IF(D107="EQUIPAMENTOS",VLOOKUP($C107,Equip.Info!A:L,2,FALSE),VLOOKUP($C107,Mat.Info!A:F,2,FALSE)))</f>
        <v>Sistema operacional e pacote office</v>
      </c>
      <c r="F107" s="453" t="str">
        <f t="shared" si="40"/>
        <v>h</v>
      </c>
      <c r="G107" s="455">
        <f>IF($D107="PESSOAL",VLOOKUP($C107,'TC 07-2023'!$B:$Z,25,FALSE), IF($D107="EQUIPAMENTOS",VLOOKUP($C107,Equip.Info!$A:$L,11,FALSE),VLOOKUP($C107,Mat.Info!$A:$F,6,FALSE)))</f>
        <v>0.2286</v>
      </c>
      <c r="H107" s="455">
        <f>'8.GPeR'!I31</f>
        <v>2737.3500000000004</v>
      </c>
      <c r="I107" s="457">
        <f t="shared" si="47"/>
        <v>625.75821000000008</v>
      </c>
      <c r="J107" s="457">
        <f ca="1">I107*(1+Dados!$C$10)</f>
        <v>906.03531225900008</v>
      </c>
      <c r="K107" s="458" t="s">
        <v>567</v>
      </c>
      <c r="L107" s="466" t="s">
        <v>569</v>
      </c>
    </row>
    <row r="108" spans="1:13" ht="15" customHeight="1">
      <c r="A108" s="438">
        <f t="shared" si="39"/>
        <v>8</v>
      </c>
      <c r="B108" s="475"/>
      <c r="C108" s="476"/>
      <c r="D108" s="453" t="s">
        <v>660</v>
      </c>
      <c r="E108" s="454" t="s">
        <v>686</v>
      </c>
      <c r="F108" s="453" t="s">
        <v>683</v>
      </c>
      <c r="G108" s="455">
        <f>Voos!$D$54</f>
        <v>906.33333333333337</v>
      </c>
      <c r="H108" s="456">
        <f>IF(D108="PASSAGENS",SUMIFS('Diárias e Passagens'!I:I,'Diárias e Passagens'!A:A,A108),SUMIFS('Diárias e Passagens'!M:M,'Diárias e Passagens'!A:A,A108))</f>
        <v>16</v>
      </c>
      <c r="I108" s="457">
        <f>IF(D108="PASSAGENS",SUMIFS('Diárias e Passagens'!K:K,'Diárias e Passagens'!A:A,A108),SUMIFS('Diárias e Passagens'!O:O,'Diárias e Passagens'!A:A,A108))</f>
        <v>13948.000000000002</v>
      </c>
      <c r="J108" s="457">
        <f ca="1">I108*(1+Dados!$C$10)</f>
        <v>20195.309200000003</v>
      </c>
      <c r="K108" s="460" t="s">
        <v>685</v>
      </c>
      <c r="L108" s="466" t="s">
        <v>738</v>
      </c>
    </row>
    <row r="109" spans="1:13" ht="15" customHeight="1">
      <c r="A109" s="438">
        <f t="shared" si="39"/>
        <v>8</v>
      </c>
      <c r="B109" s="475"/>
      <c r="C109" s="476"/>
      <c r="D109" s="453" t="s">
        <v>466</v>
      </c>
      <c r="E109" s="454" t="s">
        <v>687</v>
      </c>
      <c r="F109" s="453" t="s">
        <v>682</v>
      </c>
      <c r="G109" s="455">
        <f>Diárias!$C$8</f>
        <v>433.49</v>
      </c>
      <c r="H109" s="456">
        <f>IF(D109="PASSAGENS",SUMIFS('Diárias e Passagens'!I:I,'Diárias e Passagens'!A:A,A109),SUMIFS('Diárias e Passagens'!M:M,'Diárias e Passagens'!A:A,A109))</f>
        <v>20</v>
      </c>
      <c r="I109" s="457">
        <f>IF(D109="PASSAGENS",SUMIFS('Diárias e Passagens'!K:K,'Diárias e Passagens'!A:A,A109),SUMIFS('Diárias e Passagens'!O:O,'Diárias e Passagens'!A:A,A109))</f>
        <v>12730.920000000002</v>
      </c>
      <c r="J109" s="457">
        <f ca="1">I109*(1+Dados!$C$10)</f>
        <v>18433.099068000003</v>
      </c>
      <c r="K109" s="460" t="str">
        <f>Diárias!$I$6</f>
        <v>Decreto nº 11.117, 1º de julho De 2022</v>
      </c>
      <c r="L109" s="466" t="s">
        <v>739</v>
      </c>
    </row>
    <row r="110" spans="1:13" ht="15.75" customHeight="1">
      <c r="K110" s="468"/>
      <c r="L110" s="648"/>
    </row>
  </sheetData>
  <autoFilter ref="C4:L109" xr:uid="{D96E24BC-CE36-4C36-A48E-FB18C10F71A1}"/>
  <mergeCells count="1">
    <mergeCell ref="B4:C4"/>
  </mergeCells>
  <phoneticPr fontId="20" type="noConversion"/>
  <pageMargins left="0.51181102362204722" right="0.51181102362204722" top="0.78740157480314965" bottom="0.78740157480314965" header="0.31496062992125984" footer="0.31496062992125984"/>
  <pageSetup paperSize="8" scale="74" fitToHeight="4" orientation="landscape" r:id="rId1"/>
  <rowBreaks count="1" manualBreakCount="1">
    <brk id="54" min="1"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5DB35-BD22-4A66-AC7D-F516C35B5A1B}">
  <sheetPr>
    <tabColor rgb="FF002060"/>
    <pageSetUpPr fitToPage="1"/>
  </sheetPr>
  <dimension ref="B2:N15"/>
  <sheetViews>
    <sheetView showGridLines="0" zoomScale="68" zoomScaleNormal="68" workbookViewId="0">
      <selection activeCell="G7" sqref="G7"/>
    </sheetView>
  </sheetViews>
  <sheetFormatPr defaultRowHeight="15"/>
  <cols>
    <col min="1" max="1" width="9.140625" style="122"/>
    <col min="2" max="2" width="4.28515625" style="122" bestFit="1" customWidth="1"/>
    <col min="3" max="3" width="43.42578125" style="122" customWidth="1"/>
    <col min="4" max="4" width="9.5703125" style="122" hidden="1" customWidth="1"/>
    <col min="5" max="5" width="18.140625" style="122" bestFit="1" customWidth="1"/>
    <col min="6" max="6" width="16" style="122" customWidth="1"/>
    <col min="7" max="7" width="18.140625" style="122" bestFit="1" customWidth="1"/>
    <col min="8" max="8" width="15.140625" style="122" bestFit="1" customWidth="1"/>
    <col min="9" max="9" width="18.140625" style="122" bestFit="1" customWidth="1"/>
    <col min="10" max="11" width="19.28515625" style="122" bestFit="1" customWidth="1"/>
    <col min="12" max="12" width="16.140625" style="122" bestFit="1" customWidth="1"/>
    <col min="13" max="13" width="19.28515625" style="122" bestFit="1" customWidth="1"/>
    <col min="14" max="14" width="19.42578125" style="122" bestFit="1" customWidth="1"/>
    <col min="15" max="16384" width="9.140625" style="122"/>
  </cols>
  <sheetData>
    <row r="2" spans="2:14" ht="33" customHeight="1">
      <c r="B2" s="671" t="s">
        <v>800</v>
      </c>
      <c r="C2" s="132"/>
      <c r="D2" s="132"/>
      <c r="E2" s="132"/>
      <c r="F2" s="132"/>
      <c r="G2" s="132"/>
      <c r="H2" s="132"/>
      <c r="I2" s="132"/>
      <c r="J2" s="132"/>
      <c r="K2" s="132"/>
      <c r="L2" s="132"/>
      <c r="M2" s="132"/>
      <c r="N2" s="132"/>
    </row>
    <row r="4" spans="2:14" ht="34.5" customHeight="1">
      <c r="B4" s="745" t="s">
        <v>426</v>
      </c>
      <c r="C4" s="745"/>
      <c r="D4" s="631" t="s">
        <v>452</v>
      </c>
      <c r="E4" s="631" t="s">
        <v>778</v>
      </c>
      <c r="F4" s="631" t="s">
        <v>779</v>
      </c>
      <c r="G4" s="631" t="s">
        <v>780</v>
      </c>
      <c r="H4" s="631" t="s">
        <v>781</v>
      </c>
      <c r="I4" s="631" t="s">
        <v>782</v>
      </c>
      <c r="J4" s="631" t="s">
        <v>788</v>
      </c>
      <c r="K4" s="631" t="s">
        <v>783</v>
      </c>
      <c r="L4" s="631" t="s">
        <v>786</v>
      </c>
      <c r="M4" s="631" t="s">
        <v>787</v>
      </c>
      <c r="N4" s="631" t="s">
        <v>787</v>
      </c>
    </row>
    <row r="5" spans="2:14" ht="31.5" customHeight="1">
      <c r="B5" s="632">
        <f>'Resumo'!B9</f>
        <v>1</v>
      </c>
      <c r="C5" s="633" t="str">
        <f>'Resumo'!C9</f>
        <v>Plano de Trabalho</v>
      </c>
      <c r="D5" s="634">
        <f>'1.PdT'!$K$7</f>
        <v>1</v>
      </c>
      <c r="E5" s="635">
        <f>'1.PdT'!$K$26</f>
        <v>97540.15</v>
      </c>
      <c r="F5" s="635">
        <f>'1.PdT'!$K$16</f>
        <v>1099.0460250000001</v>
      </c>
      <c r="G5" s="635">
        <f>E5+F5</f>
        <v>98639.196024999997</v>
      </c>
      <c r="H5" s="635">
        <f>'1.PdT'!$K$39</f>
        <v>156.43955249999999</v>
      </c>
      <c r="I5" s="635">
        <f>H5+G5</f>
        <v>98795.635577499997</v>
      </c>
      <c r="J5" s="635">
        <f>I5*(1+[7]BDI!$E$23)</f>
        <v>143046.20075266223</v>
      </c>
      <c r="K5" s="635">
        <f ca="1">'1.PdT'!$K$51</f>
        <v>143046.20075266226</v>
      </c>
      <c r="L5" s="635">
        <f ca="1">SUMIFS('Diárias e Passagens'!P:P,'Diárias e Passagens'!A:A,B5)*(1+BDI!$E$23)</f>
        <v>8644.2163825000007</v>
      </c>
      <c r="M5" s="670">
        <f ca="1">L5+K5</f>
        <v>151690.41713516225</v>
      </c>
      <c r="N5" s="750">
        <f ca="1">SUM(M5:M13)</f>
        <v>9966192.6181656178</v>
      </c>
    </row>
    <row r="6" spans="2:14" ht="31.5" customHeight="1">
      <c r="B6" s="632">
        <f>'Resumo'!B10</f>
        <v>2</v>
      </c>
      <c r="C6" s="633" t="str">
        <f>'Resumo'!C10</f>
        <v>Dimensão de Mercado e Demanda (EMD)</v>
      </c>
      <c r="D6" s="634">
        <f>'2.EMD'!$K$7</f>
        <v>5</v>
      </c>
      <c r="E6" s="635">
        <f>'2.EMD'!$K$26</f>
        <v>1230385.7</v>
      </c>
      <c r="F6" s="635">
        <f>'2.EMD'!$K$16</f>
        <v>15386.644350000002</v>
      </c>
      <c r="G6" s="635">
        <f t="shared" ref="G6" si="0">E6+F6</f>
        <v>1245772.3443499999</v>
      </c>
      <c r="H6" s="635">
        <f>'2.EMD'!$K$39</f>
        <v>2190.1537349999999</v>
      </c>
      <c r="I6" s="635">
        <f t="shared" ref="I6" si="1">H6+G6</f>
        <v>1247962.4980849999</v>
      </c>
      <c r="J6" s="635">
        <f>I6*(1+[7]BDI!$E$23)</f>
        <v>1806924.9009772711</v>
      </c>
      <c r="K6" s="635">
        <f ca="1">'2.EMD'!$K$51</f>
        <v>1806924.9009772711</v>
      </c>
      <c r="L6" s="635">
        <f ca="1">SUMIFS('Diárias e Passagens'!P:P,'Diárias e Passagens'!A:A,B6)*(1+BDI!$E$23)</f>
        <v>40625.31816366667</v>
      </c>
      <c r="M6" s="670">
        <f ca="1">L6+K6</f>
        <v>1847550.2191409378</v>
      </c>
      <c r="N6" s="751"/>
    </row>
    <row r="7" spans="2:14" ht="40.5" customHeight="1">
      <c r="B7" s="632" t="str">
        <f>'Alocação MO'!B6</f>
        <v>3.1</v>
      </c>
      <c r="C7" s="636" t="str">
        <f>'3.1.EEN'!$B$8</f>
        <v>Dimensão de Engenharia (EEN) - Trabalhos Iniciais, Recuperação, Manutenção e Conservação</v>
      </c>
      <c r="D7" s="634">
        <f>'3.1.EEN'!$K$7</f>
        <v>7</v>
      </c>
      <c r="E7" s="635">
        <f>'3.1.EEN'!$K$26</f>
        <v>672654.42999999993</v>
      </c>
      <c r="F7" s="635">
        <f>'3.1.EEN'!$K$16</f>
        <v>7693.3221750000012</v>
      </c>
      <c r="G7" s="635">
        <f t="shared" ref="G7:G12" si="2">E7+F7</f>
        <v>680347.75217499991</v>
      </c>
      <c r="H7" s="635">
        <f>'3.1.EEN'!$K$39</f>
        <v>21728.126227500001</v>
      </c>
      <c r="I7" s="635">
        <f t="shared" ref="I7:I12" si="3">H7+G7</f>
        <v>702075.87840249995</v>
      </c>
      <c r="J7" s="635">
        <f>I7*(1+[7]BDI!$E$23)</f>
        <v>1016535.6643389796</v>
      </c>
      <c r="K7" s="635">
        <f ca="1">'3.1.EEN'!$K$51</f>
        <v>1016535.6643389796</v>
      </c>
      <c r="L7" s="746">
        <f ca="1">('Inspeção-Veículo'!N9+SUM('Diárias e Passagens'!P31:P35))*(1+BDI!$E$23)</f>
        <v>209152.12021618709</v>
      </c>
      <c r="M7" s="747">
        <f ca="1">SUM(K7:L8)-0.01</f>
        <v>2242223.4388941466</v>
      </c>
      <c r="N7" s="751"/>
    </row>
    <row r="8" spans="2:14" ht="40.5" customHeight="1">
      <c r="B8" s="632" t="str">
        <f>'Alocação MO'!B7</f>
        <v>3.2</v>
      </c>
      <c r="C8" s="636" t="str">
        <f>'3.2.EEN'!$B$8</f>
        <v>Dimensão de Engenharia (EEN) - Ampliação de Capacidade e Melhorias</v>
      </c>
      <c r="D8" s="634">
        <f>'3.2.EEN'!$K$7</f>
        <v>7</v>
      </c>
      <c r="E8" s="635">
        <f>'3.2.EEN'!$K$26</f>
        <v>672654.42999999993</v>
      </c>
      <c r="F8" s="635">
        <f>'3.2.EEN'!$K$16</f>
        <v>7693.3221750000012</v>
      </c>
      <c r="G8" s="635">
        <f t="shared" si="2"/>
        <v>680347.75217499991</v>
      </c>
      <c r="H8" s="635">
        <f>'3.2.EEN'!$K$39</f>
        <v>21728.126227500001</v>
      </c>
      <c r="I8" s="635">
        <f t="shared" si="3"/>
        <v>702075.87840249995</v>
      </c>
      <c r="J8" s="635">
        <f>I8*(1+[7]BDI!$E$23)</f>
        <v>1016535.6643389796</v>
      </c>
      <c r="K8" s="635">
        <f ca="1">'3.2.EEN'!$K$51</f>
        <v>1016535.6643389796</v>
      </c>
      <c r="L8" s="746"/>
      <c r="M8" s="747"/>
      <c r="N8" s="751"/>
    </row>
    <row r="9" spans="2:14" ht="31.5" customHeight="1">
      <c r="B9" s="632">
        <f>'Resumo'!B12</f>
        <v>4</v>
      </c>
      <c r="C9" s="633" t="str">
        <f>'Resumo'!C12</f>
        <v>Dimensão Operacional (EOP)</v>
      </c>
      <c r="D9" s="634">
        <f>'4.EOP'!$K$7</f>
        <v>7</v>
      </c>
      <c r="E9" s="635">
        <f>'4.EOP'!$K$26</f>
        <v>1652877.0999999999</v>
      </c>
      <c r="F9" s="635">
        <f>'4.EOP'!$K$16</f>
        <v>19489.749510000001</v>
      </c>
      <c r="G9" s="635">
        <f t="shared" si="2"/>
        <v>1672366.8495099999</v>
      </c>
      <c r="H9" s="635">
        <f>'4.EOP'!$K$39</f>
        <v>2774.194731</v>
      </c>
      <c r="I9" s="635">
        <f t="shared" si="3"/>
        <v>1675141.044241</v>
      </c>
      <c r="J9" s="635">
        <f>I9*(1+[7]BDI!$E$23)</f>
        <v>2425436.7179565439</v>
      </c>
      <c r="K9" s="635">
        <f ca="1">'4.EOP'!$K$51</f>
        <v>2425436.7179565439</v>
      </c>
      <c r="L9" s="635">
        <f ca="1">SUMIFS('Diárias e Passagens'!P:P,'Diárias e Passagens'!A:A,B9)*(1+BDI!$E$23)</f>
        <v>19285.342660666665</v>
      </c>
      <c r="M9" s="670">
        <f t="shared" ref="M9:M14" ca="1" si="4">L9+K9</f>
        <v>2444722.0606172103</v>
      </c>
      <c r="N9" s="751"/>
    </row>
    <row r="10" spans="2:14" ht="31.5" customHeight="1">
      <c r="B10" s="632">
        <f>'Resumo'!B13</f>
        <v>5</v>
      </c>
      <c r="C10" s="633" t="str">
        <f>'Resumo'!C13</f>
        <v>Dimensão Socioambiental (EMA)</v>
      </c>
      <c r="D10" s="634">
        <f>'5.EMA'!$K$7</f>
        <v>5</v>
      </c>
      <c r="E10" s="635">
        <f>'5.EMA'!$K$26</f>
        <v>726976.3</v>
      </c>
      <c r="F10" s="635">
        <f>'5.EMA'!$K$16</f>
        <v>9042.7444799999994</v>
      </c>
      <c r="G10" s="635">
        <f t="shared" si="2"/>
        <v>736019.04448000004</v>
      </c>
      <c r="H10" s="635">
        <f>'5.EMA'!$K$39</f>
        <v>13419.76713</v>
      </c>
      <c r="I10" s="635">
        <f t="shared" si="3"/>
        <v>749438.81161000009</v>
      </c>
      <c r="J10" s="635">
        <f>I10*(1+[7]BDI!$E$23)</f>
        <v>1085112.455330119</v>
      </c>
      <c r="K10" s="635">
        <f ca="1">'5.EMA'!$K$51</f>
        <v>1085112.455330119</v>
      </c>
      <c r="L10" s="635">
        <f ca="1">('Inspeção-Veículo'!N10+SUMIFS('Diárias e Passagens'!P:P,'Diárias e Passagens'!A:A,B10))*(1+BDI!$E$23)</f>
        <v>170501.96449018709</v>
      </c>
      <c r="M10" s="670">
        <f t="shared" ca="1" si="4"/>
        <v>1255614.4198203061</v>
      </c>
      <c r="N10" s="751"/>
    </row>
    <row r="11" spans="2:14" ht="31.5" customHeight="1">
      <c r="B11" s="632">
        <f>'Resumo'!B14</f>
        <v>6</v>
      </c>
      <c r="C11" s="633" t="str">
        <f>'Resumo'!C14</f>
        <v>Dimensão Econômico-Financeira (MEF)</v>
      </c>
      <c r="D11" s="634">
        <f>'6.MEF'!$K$7</f>
        <v>5</v>
      </c>
      <c r="E11" s="635">
        <f>'6.MEF'!$K$26</f>
        <v>302626.95</v>
      </c>
      <c r="F11" s="635">
        <f>'6.MEF'!$K$16</f>
        <v>3932.2945199999999</v>
      </c>
      <c r="G11" s="635">
        <f t="shared" si="2"/>
        <v>306559.24452000001</v>
      </c>
      <c r="H11" s="635">
        <f>'6.MEF'!$K$39</f>
        <v>834.34428000000003</v>
      </c>
      <c r="I11" s="635">
        <f t="shared" si="3"/>
        <v>307393.58880000003</v>
      </c>
      <c r="J11" s="635">
        <f>I11*(1+[7]BDI!$E$23)</f>
        <v>445075.17722352</v>
      </c>
      <c r="K11" s="635">
        <f ca="1">'6.MEF'!$K$51</f>
        <v>445075.17722352</v>
      </c>
      <c r="L11" s="635">
        <f ca="1">SUMIFS('Diárias e Passagens'!P:P,'Diárias e Passagens'!A:A,B11)*(1+BDI!$E$23)</f>
        <v>19285.342660666665</v>
      </c>
      <c r="M11" s="670">
        <f t="shared" ca="1" si="4"/>
        <v>464360.51988418668</v>
      </c>
      <c r="N11" s="751"/>
    </row>
    <row r="12" spans="2:14" ht="31.5" customHeight="1">
      <c r="B12" s="632">
        <f>'Resumo'!B15</f>
        <v>7</v>
      </c>
      <c r="C12" s="633" t="str">
        <f>'Resumo'!C15</f>
        <v>Dimensão Jurídico-Regulatória (EJR)</v>
      </c>
      <c r="D12" s="634">
        <f>'7.EJR'!$K$7</f>
        <v>3</v>
      </c>
      <c r="E12" s="635">
        <f>'7.EJR'!$K$26</f>
        <v>151448.97</v>
      </c>
      <c r="F12" s="635">
        <f>'7.EJR'!$K$16</f>
        <v>2359.3767119999998</v>
      </c>
      <c r="G12" s="635">
        <f t="shared" si="2"/>
        <v>153808.346712</v>
      </c>
      <c r="H12" s="635">
        <f>'7.EJR'!$K$39</f>
        <v>500.60656800000004</v>
      </c>
      <c r="I12" s="635">
        <f t="shared" si="3"/>
        <v>154308.95327999999</v>
      </c>
      <c r="J12" s="635">
        <f>I12*(1+[7]BDI!$E$23)</f>
        <v>223423.93345411198</v>
      </c>
      <c r="K12" s="635">
        <f ca="1">'7.EJR'!$K$51</f>
        <v>223423.93345411198</v>
      </c>
      <c r="L12" s="635">
        <f ca="1">SUMIFS('Diárias e Passagens'!P:P,'Diárias e Passagens'!A:A,B12)*(1+BDI!$E$23)</f>
        <v>5762.8109216666671</v>
      </c>
      <c r="M12" s="670">
        <f t="shared" ca="1" si="4"/>
        <v>229186.74437577865</v>
      </c>
      <c r="N12" s="751"/>
    </row>
    <row r="13" spans="2:14" ht="40.5" customHeight="1">
      <c r="B13" s="632">
        <f>'Resumo'!B16</f>
        <v>8</v>
      </c>
      <c r="C13" s="76" t="str">
        <f>'Resumo'!C16</f>
        <v>Gestão de Projeto, Revisão de Estudos e Apoio às Fases</v>
      </c>
      <c r="D13" s="634">
        <f>'8.GPeR'!$K$7</f>
        <v>6</v>
      </c>
      <c r="E13" s="635">
        <f>'8.GPeR'!$K$26</f>
        <v>888901.28999999992</v>
      </c>
      <c r="F13" s="635">
        <f>'8.GPeR'!$K$16</f>
        <v>2949.2208900000001</v>
      </c>
      <c r="G13" s="635">
        <f t="shared" ref="G13:G14" si="5">E13+F13</f>
        <v>891850.51088999992</v>
      </c>
      <c r="H13" s="635">
        <f>'8.GPeR'!$K$39</f>
        <v>625.75821000000008</v>
      </c>
      <c r="I13" s="635">
        <f t="shared" ref="I13:I14" si="6">H13+G13</f>
        <v>892476.26909999992</v>
      </c>
      <c r="J13" s="635">
        <f>I13*(1+[7]BDI!$E$23)</f>
        <v>1292216.3900298898</v>
      </c>
      <c r="K13" s="635">
        <f ca="1">'8.GPeR'!$K$51</f>
        <v>1292216.39002989</v>
      </c>
      <c r="L13" s="635">
        <f ca="1">SUMIFS('Diárias e Passagens'!P:P,'Diárias e Passagens'!A:A,B13)*(1+BDI!$E$23)</f>
        <v>38628.408267999999</v>
      </c>
      <c r="M13" s="670">
        <f t="shared" ca="1" si="4"/>
        <v>1330844.79829789</v>
      </c>
      <c r="N13" s="751"/>
    </row>
    <row r="14" spans="2:14" ht="31.5" customHeight="1">
      <c r="B14" s="632">
        <f>'Resumo'!B17</f>
        <v>9</v>
      </c>
      <c r="C14" s="633" t="str">
        <f>'Resumo'!C17</f>
        <v>EVTEA - Corinto - Campo Formoso</v>
      </c>
      <c r="D14" s="632">
        <f>'Resumo'!D17</f>
        <v>4</v>
      </c>
      <c r="E14" s="635">
        <f>SUM('[7]9.1.PdT'!$K$26+'[7]9.2.EMD'!$K$26+'[7]9.3.1.EEN'!$K$26+'[7]9.3.2.EEN'!$K$26+'[7]9.4.EOP'!$K$26+'[7]9.5.EMA'!$K$26+'[7]9.6.MEF'!$K$26)</f>
        <v>2124966.7699999996</v>
      </c>
      <c r="F14" s="635">
        <f>'[7]9.1.PdT'!$K$16+'[7]9.2.EMD'!$K$16+'[7]9.3.1.EEN'!$K$16+'[7]9.3.2.EEN'!$K$16+'[7]9.4.EOP'!$K$16+'[7]9.5.EMA'!$K$16+'[7]9.6.MEF'!$K$16</f>
        <v>25242.728511000001</v>
      </c>
      <c r="G14" s="635">
        <f t="shared" si="5"/>
        <v>2150209.4985109996</v>
      </c>
      <c r="H14" s="635">
        <f>'[7]9.1.PdT'!$K$39+'[7]9.2.EMD'!$K$39+'[7]9.3.1.EEN'!$K$39+'[7]9.3.2.EEN'!$K$39+'[7]9.4.EOP'!$K$39+'[7]9.5.EMA'!$K$39+'[7]9.6.MEF'!$K$39</f>
        <v>21325.133560499999</v>
      </c>
      <c r="I14" s="635">
        <f t="shared" si="6"/>
        <v>2171534.6320714997</v>
      </c>
      <c r="J14" s="635">
        <f>I14*(1+[7]BDI!$E$23)</f>
        <v>3144164.9937763242</v>
      </c>
      <c r="K14" s="635">
        <f>'[7]9.1.PdT'!$K$51+'[7]9.2.EMD'!$K$51+'[7]9.3.1.EEN'!$K$51+'[7]9.3.2.EEN'!$K$51+'[7]9.4.EOP'!$K$51+'[7]9.5.EMA'!$K$51+'[7]9.6.MEF'!$K$51</f>
        <v>3144164.9937763251</v>
      </c>
      <c r="L14" s="635">
        <f>'[7]Diárias e Passagens'!$P$31+'[7]Inspeção-Veículo'!$N$12</f>
        <v>221522.50242235378</v>
      </c>
      <c r="M14" s="670">
        <f t="shared" si="4"/>
        <v>3365687.4961986789</v>
      </c>
      <c r="N14" s="670">
        <f>M14</f>
        <v>3365687.4961986789</v>
      </c>
    </row>
    <row r="15" spans="2:14" ht="25.5" customHeight="1">
      <c r="B15" s="748" t="str">
        <f>'Resumo'!B18</f>
        <v>SubTotal</v>
      </c>
      <c r="C15" s="749"/>
      <c r="D15" s="749"/>
      <c r="E15" s="637">
        <f>SUM(E5:E14)</f>
        <v>8521032.0899999999</v>
      </c>
      <c r="F15" s="637">
        <f t="shared" ref="F15:L15" si="7">SUM(F5:F14)</f>
        <v>94888.449347999995</v>
      </c>
      <c r="G15" s="637">
        <f t="shared" si="7"/>
        <v>8615920.5393479988</v>
      </c>
      <c r="H15" s="637">
        <f t="shared" si="7"/>
        <v>85282.650221999997</v>
      </c>
      <c r="I15" s="637">
        <f t="shared" si="7"/>
        <v>8701203.1895700004</v>
      </c>
      <c r="J15" s="637">
        <f t="shared" si="7"/>
        <v>12598472.098178402</v>
      </c>
      <c r="K15" s="637">
        <f t="shared" ca="1" si="7"/>
        <v>12598472.098178403</v>
      </c>
      <c r="L15" s="637">
        <f t="shared" ca="1" si="7"/>
        <v>733408.02618589462</v>
      </c>
      <c r="M15" s="638">
        <f ca="1">SUM(M5:M14)+0.01</f>
        <v>13331880.124364296</v>
      </c>
      <c r="N15" s="638">
        <f ca="1">SUM(N5:N14)+0.01</f>
        <v>13331880.124364296</v>
      </c>
    </row>
  </sheetData>
  <mergeCells count="5">
    <mergeCell ref="B4:C4"/>
    <mergeCell ref="L7:L8"/>
    <mergeCell ref="M7:M8"/>
    <mergeCell ref="B15:D15"/>
    <mergeCell ref="N5:N13"/>
  </mergeCells>
  <pageMargins left="0.51181102362204722" right="0.51181102362204722" top="0.78740157480314965" bottom="0.78740157480314965" header="0.31496062992125984" footer="0.31496062992125984"/>
  <pageSetup paperSize="8" scale="87" orientation="landscape" r:id="rId1"/>
  <ignoredErrors>
    <ignoredError sqref="L1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FC883-0FE5-45CF-A66C-E7896B29EF72}">
  <sheetPr>
    <tabColor theme="1"/>
  </sheetPr>
  <dimension ref="A1:J9"/>
  <sheetViews>
    <sheetView workbookViewId="0"/>
  </sheetViews>
  <sheetFormatPr defaultRowHeight="15"/>
  <cols>
    <col min="10" max="10" width="23.85546875" customWidth="1"/>
  </cols>
  <sheetData>
    <row r="1" spans="1:10" ht="21.75" customHeight="1">
      <c r="A1" s="284"/>
      <c r="B1" s="284"/>
      <c r="C1" s="284"/>
      <c r="D1" s="284"/>
      <c r="E1" s="284"/>
      <c r="F1" s="284"/>
      <c r="G1" s="284"/>
      <c r="H1" s="284"/>
      <c r="I1" s="284"/>
      <c r="J1" s="284"/>
    </row>
    <row r="2" spans="1:10" ht="21.75" customHeight="1">
      <c r="A2" s="284"/>
      <c r="B2" s="284" t="s">
        <v>608</v>
      </c>
      <c r="C2" s="284"/>
      <c r="D2" s="284"/>
      <c r="E2" s="284"/>
      <c r="F2" s="284"/>
      <c r="G2" s="284"/>
      <c r="H2" s="284"/>
      <c r="I2" s="284"/>
      <c r="J2" s="284"/>
    </row>
    <row r="3" spans="1:10" ht="32.25" customHeight="1">
      <c r="A3" s="284"/>
      <c r="B3" s="283" t="s">
        <v>614</v>
      </c>
      <c r="C3" s="283"/>
      <c r="D3" s="283"/>
      <c r="E3" s="283"/>
      <c r="F3" s="283"/>
      <c r="G3" s="283"/>
      <c r="H3" s="283"/>
      <c r="I3" s="283"/>
      <c r="J3" s="283"/>
    </row>
    <row r="4" spans="1:10" ht="21.75" customHeight="1">
      <c r="A4" s="284"/>
      <c r="B4" s="283" t="s">
        <v>611</v>
      </c>
      <c r="C4" s="283"/>
      <c r="D4" s="283"/>
      <c r="E4" s="283"/>
      <c r="F4" s="283"/>
      <c r="G4" s="283"/>
      <c r="H4" s="283"/>
      <c r="I4" s="283"/>
      <c r="J4" s="283"/>
    </row>
    <row r="5" spans="1:10" ht="21.75" customHeight="1">
      <c r="A5" s="284"/>
      <c r="B5" s="283" t="s">
        <v>612</v>
      </c>
      <c r="C5" s="283"/>
      <c r="D5" s="283"/>
      <c r="E5" s="283"/>
      <c r="F5" s="283"/>
      <c r="G5" s="283"/>
      <c r="H5" s="283"/>
      <c r="I5" s="283"/>
      <c r="J5" s="283"/>
    </row>
    <row r="6" spans="1:10" ht="21.75" customHeight="1">
      <c r="A6" s="284"/>
      <c r="B6" s="283" t="s">
        <v>613</v>
      </c>
      <c r="C6" s="284"/>
      <c r="D6" s="284"/>
      <c r="E6" s="284"/>
      <c r="F6" s="284"/>
      <c r="G6" s="284"/>
      <c r="H6" s="284"/>
      <c r="I6" s="284"/>
      <c r="J6" s="284"/>
    </row>
    <row r="7" spans="1:10" ht="21.75" customHeight="1">
      <c r="A7" s="284"/>
      <c r="B7" s="283" t="s">
        <v>615</v>
      </c>
      <c r="C7" s="284"/>
      <c r="D7" s="284"/>
      <c r="E7" s="284"/>
      <c r="F7" s="284"/>
      <c r="G7" s="284"/>
      <c r="H7" s="284"/>
      <c r="I7" s="284"/>
      <c r="J7" s="284"/>
    </row>
    <row r="8" spans="1:10" ht="21.75" customHeight="1">
      <c r="A8" s="284"/>
      <c r="B8" s="283" t="s">
        <v>616</v>
      </c>
      <c r="C8" s="284"/>
      <c r="D8" s="284"/>
      <c r="E8" s="284"/>
      <c r="F8" s="284"/>
      <c r="G8" s="284"/>
      <c r="H8" s="284"/>
      <c r="I8" s="284"/>
      <c r="J8" s="284"/>
    </row>
    <row r="9" spans="1:10" ht="21.75" customHeight="1">
      <c r="A9" s="282"/>
      <c r="B9" s="282"/>
      <c r="C9" s="282"/>
      <c r="D9" s="282"/>
      <c r="E9" s="282"/>
      <c r="F9" s="282"/>
      <c r="G9" s="282"/>
      <c r="H9" s="282"/>
      <c r="I9" s="282"/>
      <c r="J9" s="282"/>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95CD6-99AC-4365-B612-3BB8259519D9}">
  <sheetPr>
    <tabColor theme="4"/>
  </sheetPr>
  <dimension ref="B1:AJ14"/>
  <sheetViews>
    <sheetView zoomScaleNormal="100" workbookViewId="0">
      <selection activeCell="C27" sqref="C27"/>
    </sheetView>
  </sheetViews>
  <sheetFormatPr defaultRowHeight="15"/>
  <cols>
    <col min="1" max="1" width="2.42578125" style="49" customWidth="1"/>
    <col min="2" max="2" width="5.7109375" style="49" customWidth="1"/>
    <col min="3" max="3" width="51.85546875" style="49" bestFit="1" customWidth="1"/>
    <col min="4" max="4" width="10.28515625" style="90" customWidth="1"/>
    <col min="5" max="5" width="6" style="90" customWidth="1"/>
    <col min="6" max="35" width="6" style="49" customWidth="1"/>
    <col min="36" max="36" width="2.42578125" style="49" customWidth="1"/>
    <col min="37" max="37" width="17.5703125" style="49" customWidth="1"/>
    <col min="38" max="38" width="10.5703125" style="49" bestFit="1" customWidth="1"/>
    <col min="39" max="16384" width="9.140625" style="49"/>
  </cols>
  <sheetData>
    <row r="1" spans="2:36" ht="45.75" customHeight="1">
      <c r="E1" s="435">
        <v>45323</v>
      </c>
      <c r="F1" s="435">
        <v>45352</v>
      </c>
      <c r="G1" s="435">
        <v>45383</v>
      </c>
      <c r="H1" s="435">
        <v>45413</v>
      </c>
      <c r="I1" s="435">
        <v>45444</v>
      </c>
      <c r="J1" s="435">
        <v>45474</v>
      </c>
      <c r="K1" s="435">
        <v>45505</v>
      </c>
      <c r="L1" s="435">
        <v>45536</v>
      </c>
      <c r="M1" s="435">
        <v>45566</v>
      </c>
      <c r="N1" s="435">
        <v>45597</v>
      </c>
      <c r="O1" s="435">
        <v>45627</v>
      </c>
      <c r="P1" s="435">
        <v>45658</v>
      </c>
      <c r="Q1" s="435">
        <v>45689</v>
      </c>
      <c r="R1" s="435">
        <v>45717</v>
      </c>
      <c r="S1" s="435">
        <v>45748</v>
      </c>
      <c r="T1" s="435">
        <v>45778</v>
      </c>
      <c r="U1" s="435">
        <v>45809</v>
      </c>
      <c r="V1" s="435">
        <v>45839</v>
      </c>
      <c r="W1" s="435">
        <v>45870</v>
      </c>
      <c r="X1" s="435">
        <v>45901</v>
      </c>
      <c r="Y1" s="435">
        <v>45931</v>
      </c>
      <c r="Z1" s="435">
        <v>45962</v>
      </c>
      <c r="AA1" s="435">
        <v>45992</v>
      </c>
      <c r="AB1" s="435">
        <v>46023</v>
      </c>
      <c r="AC1" s="435">
        <v>46054</v>
      </c>
      <c r="AD1" s="435">
        <v>46082</v>
      </c>
      <c r="AE1" s="435">
        <v>46113</v>
      </c>
      <c r="AF1" s="435">
        <v>46143</v>
      </c>
      <c r="AG1" s="435">
        <v>46174</v>
      </c>
      <c r="AH1" s="435">
        <v>46204</v>
      </c>
      <c r="AI1" s="435">
        <v>46235</v>
      </c>
      <c r="AJ1" s="435"/>
    </row>
    <row r="2" spans="2:36" ht="45.75" customHeight="1">
      <c r="E2" s="752" t="s">
        <v>750</v>
      </c>
      <c r="F2" s="752"/>
      <c r="G2" s="752"/>
      <c r="H2" s="752"/>
      <c r="I2" s="752"/>
      <c r="J2" s="752"/>
      <c r="K2" s="752"/>
      <c r="L2" s="752"/>
      <c r="M2" s="752"/>
      <c r="N2" s="752"/>
      <c r="O2" s="752"/>
      <c r="P2" s="432" t="s">
        <v>265</v>
      </c>
      <c r="Q2" s="752" t="s">
        <v>444</v>
      </c>
      <c r="R2" s="752"/>
      <c r="S2" s="752"/>
      <c r="T2" s="756" t="s">
        <v>445</v>
      </c>
      <c r="U2" s="757"/>
      <c r="V2" s="757"/>
      <c r="W2" s="758"/>
      <c r="X2" s="752" t="s">
        <v>446</v>
      </c>
      <c r="Y2" s="752"/>
      <c r="Z2" s="752" t="s">
        <v>447</v>
      </c>
      <c r="AA2" s="752"/>
      <c r="AB2" s="432" t="s">
        <v>746</v>
      </c>
      <c r="AC2" s="432" t="s">
        <v>265</v>
      </c>
      <c r="AD2" s="315" t="s">
        <v>747</v>
      </c>
      <c r="AE2" s="753" t="s">
        <v>449</v>
      </c>
      <c r="AF2" s="754"/>
      <c r="AG2" s="755"/>
      <c r="AH2" s="315" t="s">
        <v>450</v>
      </c>
      <c r="AI2" s="315" t="s">
        <v>748</v>
      </c>
    </row>
    <row r="3" spans="2:36" s="87" customFormat="1" ht="31.5" customHeight="1">
      <c r="B3" s="129" t="s">
        <v>334</v>
      </c>
      <c r="C3" s="129" t="s">
        <v>335</v>
      </c>
      <c r="D3" s="125" t="s">
        <v>0</v>
      </c>
      <c r="E3" s="314" t="s">
        <v>325</v>
      </c>
      <c r="F3" s="314" t="s">
        <v>326</v>
      </c>
      <c r="G3" s="314" t="s">
        <v>327</v>
      </c>
      <c r="H3" s="314" t="s">
        <v>328</v>
      </c>
      <c r="I3" s="314" t="s">
        <v>329</v>
      </c>
      <c r="J3" s="314" t="s">
        <v>330</v>
      </c>
      <c r="K3" s="314" t="s">
        <v>331</v>
      </c>
      <c r="L3" s="314" t="s">
        <v>332</v>
      </c>
      <c r="M3" s="314" t="s">
        <v>333</v>
      </c>
      <c r="N3" s="314" t="s">
        <v>661</v>
      </c>
      <c r="O3" s="314" t="s">
        <v>662</v>
      </c>
      <c r="P3" s="314" t="s">
        <v>663</v>
      </c>
      <c r="Q3" s="314" t="s">
        <v>664</v>
      </c>
      <c r="R3" s="314" t="s">
        <v>665</v>
      </c>
      <c r="S3" s="314" t="s">
        <v>666</v>
      </c>
      <c r="T3" s="314" t="s">
        <v>667</v>
      </c>
      <c r="U3" s="314" t="s">
        <v>668</v>
      </c>
      <c r="V3" s="314" t="s">
        <v>669</v>
      </c>
      <c r="W3" s="314" t="s">
        <v>670</v>
      </c>
      <c r="X3" s="314" t="s">
        <v>671</v>
      </c>
      <c r="Y3" s="314" t="s">
        <v>672</v>
      </c>
      <c r="Z3" s="314" t="s">
        <v>673</v>
      </c>
      <c r="AA3" s="314" t="s">
        <v>674</v>
      </c>
      <c r="AB3" s="314" t="s">
        <v>675</v>
      </c>
      <c r="AC3" s="314" t="s">
        <v>676</v>
      </c>
      <c r="AD3" s="314" t="s">
        <v>677</v>
      </c>
      <c r="AE3" s="314" t="s">
        <v>678</v>
      </c>
      <c r="AF3" s="314" t="s">
        <v>679</v>
      </c>
      <c r="AG3" s="314" t="s">
        <v>680</v>
      </c>
      <c r="AH3" s="314" t="s">
        <v>681</v>
      </c>
      <c r="AI3" s="314" t="s">
        <v>749</v>
      </c>
    </row>
    <row r="4" spans="2:36" ht="20.100000000000001" customHeight="1">
      <c r="B4" s="93">
        <f>'Alocação MO'!B4</f>
        <v>1</v>
      </c>
      <c r="C4" s="260" t="str">
        <f>'Alocação MO'!C4</f>
        <v>Plano de Trabalho</v>
      </c>
      <c r="D4" s="89">
        <f>COUNTA(Cronograma[[#This Row],[1]:[31]])</f>
        <v>1</v>
      </c>
      <c r="E4" s="312" t="s">
        <v>336</v>
      </c>
      <c r="F4" s="313"/>
      <c r="G4" s="313"/>
      <c r="H4" s="313"/>
      <c r="I4" s="313"/>
      <c r="J4" s="313"/>
      <c r="K4" s="313"/>
      <c r="L4" s="313"/>
      <c r="M4" s="313"/>
      <c r="N4" s="311"/>
      <c r="O4" s="311"/>
      <c r="P4" s="311"/>
      <c r="Q4" s="311"/>
      <c r="R4" s="311"/>
      <c r="S4" s="311"/>
      <c r="T4" s="311"/>
      <c r="U4" s="311"/>
      <c r="V4" s="311"/>
      <c r="W4" s="311"/>
      <c r="X4" s="311"/>
      <c r="Y4" s="311"/>
      <c r="Z4" s="311"/>
      <c r="AA4" s="311"/>
      <c r="AB4" s="311"/>
      <c r="AC4" s="311"/>
      <c r="AD4" s="311"/>
      <c r="AE4" s="311"/>
      <c r="AF4" s="311"/>
      <c r="AG4" s="311"/>
      <c r="AH4" s="311"/>
      <c r="AI4" s="311"/>
    </row>
    <row r="5" spans="2:36" ht="20.100000000000001" customHeight="1">
      <c r="B5" s="93">
        <f>'Alocação MO'!B5</f>
        <v>2</v>
      </c>
      <c r="C5" s="260" t="str">
        <f>'Alocação MO'!C5</f>
        <v>Dimensão de Mercado e Demanda (EMD)</v>
      </c>
      <c r="D5" s="89">
        <f>COUNTA(Cronograma[[#This Row],[1]:[31]])</f>
        <v>5</v>
      </c>
      <c r="E5" s="130" t="s">
        <v>336</v>
      </c>
      <c r="F5" s="131" t="s">
        <v>336</v>
      </c>
      <c r="G5" s="131" t="s">
        <v>336</v>
      </c>
      <c r="H5" s="131" t="s">
        <v>336</v>
      </c>
      <c r="I5" s="131" t="s">
        <v>336</v>
      </c>
      <c r="J5" s="131"/>
      <c r="K5" s="131"/>
      <c r="L5" s="131"/>
      <c r="M5" s="131"/>
      <c r="N5" s="310"/>
      <c r="O5" s="310"/>
      <c r="P5" s="310"/>
      <c r="Q5" s="310"/>
      <c r="R5" s="310"/>
      <c r="S5" s="311"/>
      <c r="T5" s="311"/>
      <c r="U5" s="311"/>
      <c r="V5" s="311"/>
      <c r="W5" s="311"/>
      <c r="X5" s="311"/>
      <c r="Y5" s="311"/>
      <c r="Z5" s="311"/>
      <c r="AA5" s="311"/>
      <c r="AB5" s="311"/>
      <c r="AC5" s="311"/>
      <c r="AD5" s="310"/>
      <c r="AE5" s="310"/>
      <c r="AF5" s="310"/>
      <c r="AG5" s="310"/>
      <c r="AH5" s="310"/>
      <c r="AI5" s="310"/>
    </row>
    <row r="6" spans="2:36" ht="20.100000000000001" customHeight="1">
      <c r="B6" s="93" t="str">
        <f>'Alocação MO'!B6</f>
        <v>3.1</v>
      </c>
      <c r="C6" s="260" t="str">
        <f>'Alocação MO'!C6</f>
        <v>Dimensão de Engenharia (EEN) - Trabalhos Iniciais, Recuperação, Manutenção e Conservação</v>
      </c>
      <c r="D6" s="89">
        <f>COUNTA(Cronograma[[#This Row],[1]:[31]])</f>
        <v>7</v>
      </c>
      <c r="E6" s="130" t="s">
        <v>336</v>
      </c>
      <c r="F6" s="131" t="s">
        <v>336</v>
      </c>
      <c r="G6" s="131" t="s">
        <v>336</v>
      </c>
      <c r="H6" s="131" t="s">
        <v>336</v>
      </c>
      <c r="I6" s="131" t="s">
        <v>336</v>
      </c>
      <c r="J6" s="131" t="s">
        <v>336</v>
      </c>
      <c r="K6" s="131" t="s">
        <v>336</v>
      </c>
      <c r="L6" s="131"/>
      <c r="M6" s="131"/>
      <c r="N6" s="310"/>
      <c r="O6" s="310"/>
      <c r="P6" s="310"/>
      <c r="Q6" s="310"/>
      <c r="R6" s="310"/>
      <c r="S6" s="311"/>
      <c r="T6" s="311"/>
      <c r="U6" s="311"/>
      <c r="V6" s="311"/>
      <c r="W6" s="311"/>
      <c r="X6" s="311"/>
      <c r="Y6" s="311"/>
      <c r="Z6" s="311"/>
      <c r="AA6" s="311"/>
      <c r="AB6" s="311"/>
      <c r="AC6" s="311"/>
      <c r="AD6" s="310"/>
      <c r="AE6" s="310"/>
      <c r="AF6" s="310"/>
      <c r="AG6" s="310"/>
      <c r="AH6" s="310"/>
      <c r="AI6" s="310"/>
    </row>
    <row r="7" spans="2:36" ht="20.100000000000001" customHeight="1">
      <c r="B7" s="93" t="str">
        <f>'Alocação MO'!B7</f>
        <v>3.2</v>
      </c>
      <c r="C7" s="260" t="str">
        <f>'Alocação MO'!C7</f>
        <v>Dimensão de Engenharia (EEN) - Ampliação de Capacidade e Melhorias</v>
      </c>
      <c r="D7" s="89">
        <f>COUNTA(Cronograma[[#This Row],[1]:[31]])</f>
        <v>7</v>
      </c>
      <c r="E7" s="130" t="s">
        <v>336</v>
      </c>
      <c r="F7" s="131" t="s">
        <v>336</v>
      </c>
      <c r="G7" s="131" t="s">
        <v>336</v>
      </c>
      <c r="H7" s="131" t="s">
        <v>336</v>
      </c>
      <c r="I7" s="131" t="s">
        <v>336</v>
      </c>
      <c r="J7" s="131" t="s">
        <v>336</v>
      </c>
      <c r="K7" s="131" t="s">
        <v>336</v>
      </c>
      <c r="L7" s="131"/>
      <c r="M7" s="131"/>
      <c r="N7" s="310"/>
      <c r="O7" s="310"/>
      <c r="P7" s="310"/>
      <c r="Q7" s="310"/>
      <c r="R7" s="310"/>
      <c r="S7" s="311"/>
      <c r="T7" s="311"/>
      <c r="U7" s="311"/>
      <c r="V7" s="311"/>
      <c r="W7" s="311"/>
      <c r="X7" s="311"/>
      <c r="Y7" s="311"/>
      <c r="Z7" s="311"/>
      <c r="AA7" s="311"/>
      <c r="AB7" s="311"/>
      <c r="AC7" s="311"/>
      <c r="AD7" s="310"/>
      <c r="AE7" s="310"/>
      <c r="AF7" s="310"/>
      <c r="AG7" s="310"/>
      <c r="AH7" s="310"/>
      <c r="AI7" s="310"/>
    </row>
    <row r="8" spans="2:36" ht="20.100000000000001" customHeight="1">
      <c r="B8" s="93">
        <f>'Alocação MO'!B8</f>
        <v>4</v>
      </c>
      <c r="C8" s="260" t="str">
        <f>'Alocação MO'!C8</f>
        <v>Dimensão Operacional (EOP)</v>
      </c>
      <c r="D8" s="89">
        <f>COUNTA(Cronograma[[#This Row],[1]:[31]])</f>
        <v>7</v>
      </c>
      <c r="E8" s="130"/>
      <c r="F8" s="131" t="s">
        <v>336</v>
      </c>
      <c r="G8" s="131" t="s">
        <v>336</v>
      </c>
      <c r="H8" s="131" t="s">
        <v>336</v>
      </c>
      <c r="I8" s="131" t="s">
        <v>336</v>
      </c>
      <c r="J8" s="131" t="s">
        <v>336</v>
      </c>
      <c r="K8" s="131" t="s">
        <v>336</v>
      </c>
      <c r="L8" s="131" t="s">
        <v>336</v>
      </c>
      <c r="M8" s="131"/>
      <c r="N8" s="310"/>
      <c r="O8" s="310"/>
      <c r="P8" s="310"/>
      <c r="Q8" s="310"/>
      <c r="R8" s="310"/>
      <c r="S8" s="311"/>
      <c r="T8" s="311"/>
      <c r="U8" s="311"/>
      <c r="V8" s="311"/>
      <c r="W8" s="311"/>
      <c r="X8" s="311"/>
      <c r="Y8" s="311"/>
      <c r="Z8" s="311"/>
      <c r="AA8" s="311"/>
      <c r="AB8" s="311"/>
      <c r="AC8" s="311"/>
      <c r="AD8" s="310"/>
      <c r="AE8" s="310"/>
      <c r="AF8" s="310"/>
      <c r="AG8" s="310"/>
      <c r="AH8" s="310"/>
      <c r="AI8" s="310"/>
    </row>
    <row r="9" spans="2:36" ht="20.100000000000001" customHeight="1">
      <c r="B9" s="93">
        <f>'Alocação MO'!B9</f>
        <v>5</v>
      </c>
      <c r="C9" s="260" t="str">
        <f>'Alocação MO'!C9</f>
        <v>Dimensão Socioambiental (EMA)</v>
      </c>
      <c r="D9" s="89">
        <f>COUNTA(Cronograma[[#This Row],[1]:[31]])</f>
        <v>5</v>
      </c>
      <c r="E9" s="130" t="s">
        <v>336</v>
      </c>
      <c r="F9" s="131" t="s">
        <v>336</v>
      </c>
      <c r="G9" s="131" t="s">
        <v>336</v>
      </c>
      <c r="H9" s="131" t="s">
        <v>336</v>
      </c>
      <c r="I9" s="131" t="s">
        <v>336</v>
      </c>
      <c r="J9" s="131"/>
      <c r="K9" s="131"/>
      <c r="L9" s="131"/>
      <c r="M9" s="131"/>
      <c r="N9" s="310"/>
      <c r="O9" s="310"/>
      <c r="P9" s="310"/>
      <c r="Q9" s="310"/>
      <c r="R9" s="310"/>
      <c r="S9" s="311"/>
      <c r="T9" s="311"/>
      <c r="U9" s="311"/>
      <c r="V9" s="311"/>
      <c r="W9" s="311"/>
      <c r="X9" s="311"/>
      <c r="Y9" s="311"/>
      <c r="Z9" s="311"/>
      <c r="AA9" s="311"/>
      <c r="AB9" s="311"/>
      <c r="AC9" s="311"/>
      <c r="AD9" s="310"/>
      <c r="AE9" s="310"/>
      <c r="AF9" s="310"/>
      <c r="AG9" s="310"/>
      <c r="AH9" s="310"/>
      <c r="AI9" s="310"/>
    </row>
    <row r="10" spans="2:36" ht="20.100000000000001" customHeight="1">
      <c r="B10" s="93">
        <f>'Alocação MO'!B10</f>
        <v>6</v>
      </c>
      <c r="C10" s="260" t="str">
        <f>'Alocação MO'!C10</f>
        <v>Dimensão Econômico-Financeira (MEF)</v>
      </c>
      <c r="D10" s="89">
        <f>COUNTA(Cronograma[[#This Row],[1]:[31]])</f>
        <v>5</v>
      </c>
      <c r="E10" s="130"/>
      <c r="F10" s="131"/>
      <c r="G10" s="131"/>
      <c r="H10" s="131"/>
      <c r="I10" s="131" t="s">
        <v>336</v>
      </c>
      <c r="J10" s="131" t="s">
        <v>336</v>
      </c>
      <c r="K10" s="131" t="s">
        <v>336</v>
      </c>
      <c r="L10" s="131" t="s">
        <v>336</v>
      </c>
      <c r="M10" s="131" t="s">
        <v>336</v>
      </c>
      <c r="N10" s="310"/>
      <c r="O10" s="310"/>
      <c r="P10" s="310"/>
      <c r="Q10" s="310"/>
      <c r="R10" s="310"/>
      <c r="S10" s="311"/>
      <c r="T10" s="311"/>
      <c r="U10" s="311"/>
      <c r="V10" s="311"/>
      <c r="W10" s="311"/>
      <c r="X10" s="311"/>
      <c r="Y10" s="311"/>
      <c r="Z10" s="311"/>
      <c r="AA10" s="311"/>
      <c r="AB10" s="311"/>
      <c r="AC10" s="311"/>
      <c r="AD10" s="310"/>
      <c r="AE10" s="310"/>
      <c r="AF10" s="310"/>
      <c r="AG10" s="310"/>
      <c r="AH10" s="310"/>
      <c r="AI10" s="310"/>
    </row>
    <row r="11" spans="2:36" ht="20.100000000000001" customHeight="1">
      <c r="B11" s="93">
        <f>'Alocação MO'!B11</f>
        <v>7</v>
      </c>
      <c r="C11" s="260" t="str">
        <f>'Alocação MO'!C11</f>
        <v>Dimensão Jurídico-Regulatória (EJR)</v>
      </c>
      <c r="D11" s="89">
        <f>COUNTA(Cronograma[[#This Row],[1]:[31]])</f>
        <v>3</v>
      </c>
      <c r="E11" s="130"/>
      <c r="F11" s="131"/>
      <c r="G11" s="131"/>
      <c r="H11" s="131"/>
      <c r="I11" s="131"/>
      <c r="J11" s="131"/>
      <c r="K11" s="131" t="s">
        <v>336</v>
      </c>
      <c r="L11" s="131" t="s">
        <v>336</v>
      </c>
      <c r="M11" s="131" t="s">
        <v>336</v>
      </c>
      <c r="N11" s="310"/>
      <c r="O11" s="310"/>
      <c r="P11" s="310"/>
      <c r="Q11" s="310"/>
      <c r="R11" s="310"/>
      <c r="S11" s="311"/>
      <c r="T11" s="311"/>
      <c r="U11" s="311"/>
      <c r="V11" s="311"/>
      <c r="W11" s="311"/>
      <c r="X11" s="311"/>
      <c r="Y11" s="311"/>
      <c r="Z11" s="311"/>
      <c r="AA11" s="311"/>
      <c r="AB11" s="311"/>
      <c r="AC11" s="311"/>
      <c r="AD11" s="310"/>
      <c r="AE11" s="310"/>
      <c r="AF11" s="310"/>
      <c r="AG11" s="310"/>
      <c r="AH11" s="310"/>
      <c r="AI11" s="310"/>
    </row>
    <row r="12" spans="2:36" ht="20.100000000000001" customHeight="1">
      <c r="B12" s="93">
        <f>'Alocação MO'!B12</f>
        <v>8</v>
      </c>
      <c r="C12" s="260" t="str">
        <f>'Alocação MO'!C12</f>
        <v>Gestão de Projeto, Revisão de Estudos e Apoio às Fases</v>
      </c>
      <c r="D12" s="89">
        <f>COUNTA(Cronograma[[#This Row],[1]:[31]])</f>
        <v>6</v>
      </c>
      <c r="E12" s="130"/>
      <c r="F12" s="131"/>
      <c r="G12" s="131"/>
      <c r="H12" s="131"/>
      <c r="I12" s="131"/>
      <c r="J12" s="131"/>
      <c r="K12" s="131"/>
      <c r="L12" s="131"/>
      <c r="M12" s="131"/>
      <c r="N12" s="310"/>
      <c r="O12" s="310"/>
      <c r="P12" s="310"/>
      <c r="Q12" s="310"/>
      <c r="R12" s="310"/>
      <c r="S12" s="310"/>
      <c r="T12" s="310" t="s">
        <v>336</v>
      </c>
      <c r="U12" s="310" t="s">
        <v>336</v>
      </c>
      <c r="V12" s="310" t="s">
        <v>336</v>
      </c>
      <c r="W12" s="310"/>
      <c r="X12" s="310"/>
      <c r="Y12" s="310"/>
      <c r="Z12" s="310" t="s">
        <v>336</v>
      </c>
      <c r="AA12" s="310" t="s">
        <v>336</v>
      </c>
      <c r="AB12" s="311"/>
      <c r="AC12" s="311"/>
      <c r="AD12" s="310"/>
      <c r="AE12" s="310"/>
      <c r="AF12" s="310" t="s">
        <v>336</v>
      </c>
      <c r="AG12" s="310"/>
      <c r="AH12" s="310"/>
      <c r="AI12" s="310"/>
    </row>
    <row r="13" spans="2:36" ht="20.100000000000001" customHeight="1"/>
    <row r="14" spans="2:36" ht="20.100000000000001" customHeight="1"/>
  </sheetData>
  <mergeCells count="6">
    <mergeCell ref="E2:O2"/>
    <mergeCell ref="X2:Y2"/>
    <mergeCell ref="Z2:AA2"/>
    <mergeCell ref="AE2:AG2"/>
    <mergeCell ref="T2:W2"/>
    <mergeCell ref="Q2:S2"/>
  </mergeCells>
  <phoneticPr fontId="20" type="noConversion"/>
  <conditionalFormatting sqref="E4:R4 AD4:AI4 E5:AI12">
    <cfRule type="cellIs" dxfId="0" priority="1" operator="equal">
      <formula>"x"</formula>
    </cfRule>
  </conditionalFormatting>
  <pageMargins left="0.511811024" right="0.511811024" top="0.78740157499999996" bottom="0.78740157499999996" header="0.31496062000000002" footer="0.31496062000000002"/>
  <legacy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8B86F-015E-4EC4-A6A7-05ECE9A6ECB8}">
  <sheetPr>
    <tabColor theme="4"/>
  </sheetPr>
  <dimension ref="B3:CF16"/>
  <sheetViews>
    <sheetView workbookViewId="0">
      <selection activeCell="D17" sqref="D17"/>
    </sheetView>
  </sheetViews>
  <sheetFormatPr defaultRowHeight="15"/>
  <cols>
    <col min="1" max="1" width="2.42578125" style="49" customWidth="1"/>
    <col min="2" max="2" width="5.7109375" style="49" customWidth="1"/>
    <col min="3" max="3" width="55.85546875" style="49" bestFit="1" customWidth="1"/>
    <col min="4" max="4" width="9.140625" style="90" customWidth="1"/>
    <col min="5" max="7" width="5" style="49" customWidth="1"/>
    <col min="8" max="13" width="5" style="49" hidden="1" customWidth="1"/>
    <col min="14" max="17" width="5" style="49" customWidth="1"/>
    <col min="18" max="20" width="5" style="49" hidden="1" customWidth="1"/>
    <col min="21" max="31" width="5" style="49" customWidth="1"/>
    <col min="32" max="34" width="5" style="49" hidden="1" customWidth="1"/>
    <col min="35" max="39" width="5" style="49" customWidth="1"/>
    <col min="40" max="42" width="5" style="49" hidden="1" customWidth="1"/>
    <col min="43" max="48" width="5" style="49" customWidth="1"/>
    <col min="49" max="69" width="5" style="49" hidden="1" customWidth="1"/>
    <col min="70" max="73" width="5" style="49" customWidth="1"/>
    <col min="74" max="74" width="5" style="49" hidden="1" customWidth="1"/>
    <col min="75" max="75" width="5" style="49" customWidth="1"/>
    <col min="76" max="76" width="2.42578125" style="49" customWidth="1"/>
    <col min="77" max="77" width="17.5703125" style="49" customWidth="1"/>
    <col min="78" max="78" width="10.5703125" style="49" bestFit="1" customWidth="1"/>
    <col min="79" max="79" width="4.42578125" style="49" customWidth="1"/>
    <col min="80" max="80" width="10.42578125" style="49" customWidth="1"/>
    <col min="81" max="81" width="27.140625" style="49" customWidth="1"/>
    <col min="82" max="82" width="7.5703125" style="49" customWidth="1"/>
    <col min="83" max="83" width="25.7109375" style="49" customWidth="1"/>
    <col min="84" max="84" width="6.28515625" style="234" customWidth="1"/>
    <col min="85" max="85" width="6" style="49" customWidth="1"/>
    <col min="86" max="16384" width="9.140625" style="49"/>
  </cols>
  <sheetData>
    <row r="3" spans="2:75" ht="157.5" customHeight="1">
      <c r="B3" s="129" t="s">
        <v>334</v>
      </c>
      <c r="C3" s="129" t="s">
        <v>335</v>
      </c>
      <c r="D3" s="126" t="s">
        <v>0</v>
      </c>
      <c r="E3" s="127" t="s">
        <v>1</v>
      </c>
      <c r="F3" s="127" t="s">
        <v>2</v>
      </c>
      <c r="G3" s="127" t="s">
        <v>3</v>
      </c>
      <c r="H3" s="127" t="s">
        <v>4</v>
      </c>
      <c r="I3" s="127" t="s">
        <v>5</v>
      </c>
      <c r="J3" s="127" t="s">
        <v>6</v>
      </c>
      <c r="K3" s="127" t="s">
        <v>7</v>
      </c>
      <c r="L3" s="127" t="s">
        <v>8</v>
      </c>
      <c r="M3" s="127" t="s">
        <v>9</v>
      </c>
      <c r="N3" s="127" t="s">
        <v>10</v>
      </c>
      <c r="O3" s="127" t="s">
        <v>11</v>
      </c>
      <c r="P3" s="127" t="s">
        <v>12</v>
      </c>
      <c r="Q3" s="127" t="s">
        <v>13</v>
      </c>
      <c r="R3" s="127" t="s">
        <v>14</v>
      </c>
      <c r="S3" s="127" t="s">
        <v>15</v>
      </c>
      <c r="T3" s="127" t="s">
        <v>16</v>
      </c>
      <c r="U3" s="127" t="s">
        <v>17</v>
      </c>
      <c r="V3" s="127" t="s">
        <v>18</v>
      </c>
      <c r="W3" s="127" t="s">
        <v>19</v>
      </c>
      <c r="X3" s="127" t="s">
        <v>20</v>
      </c>
      <c r="Y3" s="127" t="s">
        <v>21</v>
      </c>
      <c r="Z3" s="127" t="s">
        <v>22</v>
      </c>
      <c r="AA3" s="127" t="s">
        <v>23</v>
      </c>
      <c r="AB3" s="127" t="s">
        <v>24</v>
      </c>
      <c r="AC3" s="127" t="s">
        <v>25</v>
      </c>
      <c r="AD3" s="127" t="s">
        <v>26</v>
      </c>
      <c r="AE3" s="127" t="s">
        <v>27</v>
      </c>
      <c r="AF3" s="127" t="s">
        <v>28</v>
      </c>
      <c r="AG3" s="127" t="s">
        <v>29</v>
      </c>
      <c r="AH3" s="127" t="s">
        <v>30</v>
      </c>
      <c r="AI3" s="127" t="s">
        <v>31</v>
      </c>
      <c r="AJ3" s="127" t="s">
        <v>32</v>
      </c>
      <c r="AK3" s="127" t="s">
        <v>33</v>
      </c>
      <c r="AL3" s="127" t="s">
        <v>34</v>
      </c>
      <c r="AM3" s="127" t="s">
        <v>35</v>
      </c>
      <c r="AN3" s="127" t="s">
        <v>36</v>
      </c>
      <c r="AO3" s="127" t="s">
        <v>37</v>
      </c>
      <c r="AP3" s="127" t="s">
        <v>38</v>
      </c>
      <c r="AQ3" s="127" t="s">
        <v>39</v>
      </c>
      <c r="AR3" s="127" t="s">
        <v>40</v>
      </c>
      <c r="AS3" s="128" t="s">
        <v>41</v>
      </c>
      <c r="AT3" s="128" t="s">
        <v>42</v>
      </c>
      <c r="AU3" s="128" t="s">
        <v>43</v>
      </c>
      <c r="AV3" s="128" t="s">
        <v>44</v>
      </c>
      <c r="AW3" s="128" t="s">
        <v>45</v>
      </c>
      <c r="AX3" s="128" t="s">
        <v>46</v>
      </c>
      <c r="AY3" s="128" t="s">
        <v>47</v>
      </c>
      <c r="AZ3" s="128" t="s">
        <v>48</v>
      </c>
      <c r="BA3" s="128" t="s">
        <v>49</v>
      </c>
      <c r="BB3" s="128" t="s">
        <v>50</v>
      </c>
      <c r="BC3" s="128" t="s">
        <v>51</v>
      </c>
      <c r="BD3" s="128" t="s">
        <v>52</v>
      </c>
      <c r="BE3" s="128" t="s">
        <v>53</v>
      </c>
      <c r="BF3" s="128" t="s">
        <v>54</v>
      </c>
      <c r="BG3" s="128" t="s">
        <v>55</v>
      </c>
      <c r="BH3" s="128" t="s">
        <v>56</v>
      </c>
      <c r="BI3" s="128" t="s">
        <v>57</v>
      </c>
      <c r="BJ3" s="128" t="s">
        <v>58</v>
      </c>
      <c r="BK3" s="128" t="s">
        <v>59</v>
      </c>
      <c r="BL3" s="128" t="s">
        <v>60</v>
      </c>
      <c r="BM3" s="128" t="s">
        <v>61</v>
      </c>
      <c r="BN3" s="128" t="s">
        <v>62</v>
      </c>
      <c r="BO3" s="128" t="s">
        <v>63</v>
      </c>
      <c r="BP3" s="128" t="s">
        <v>64</v>
      </c>
      <c r="BQ3" s="128" t="s">
        <v>65</v>
      </c>
      <c r="BR3" s="128" t="s">
        <v>66</v>
      </c>
      <c r="BS3" s="128" t="s">
        <v>67</v>
      </c>
      <c r="BT3" s="128" t="s">
        <v>68</v>
      </c>
      <c r="BU3" s="128" t="s">
        <v>69</v>
      </c>
      <c r="BV3" s="128" t="s">
        <v>70</v>
      </c>
      <c r="BW3" s="128" t="s">
        <v>71</v>
      </c>
    </row>
    <row r="4" spans="2:75" ht="20.100000000000001" customHeight="1">
      <c r="B4" s="93">
        <v>1</v>
      </c>
      <c r="C4" s="88" t="s">
        <v>658</v>
      </c>
      <c r="D4" s="89">
        <f>'Cronograma'!D4</f>
        <v>1</v>
      </c>
      <c r="E4" s="91"/>
      <c r="F4" s="92"/>
      <c r="G4" s="92">
        <v>1</v>
      </c>
      <c r="H4" s="92"/>
      <c r="I4" s="92"/>
      <c r="J4" s="92"/>
      <c r="K4" s="92"/>
      <c r="L4" s="92"/>
      <c r="M4" s="92"/>
      <c r="N4" s="92"/>
      <c r="O4" s="92"/>
      <c r="P4" s="92"/>
      <c r="Q4" s="92"/>
      <c r="R4" s="92"/>
      <c r="S4" s="92"/>
      <c r="T4" s="92"/>
      <c r="U4" s="92"/>
      <c r="V4" s="92"/>
      <c r="W4" s="92"/>
      <c r="X4" s="92"/>
      <c r="Y4" s="92"/>
      <c r="Z4" s="92"/>
      <c r="AA4" s="92"/>
      <c r="AB4" s="92">
        <v>1</v>
      </c>
      <c r="AC4" s="92"/>
      <c r="AD4" s="92"/>
      <c r="AE4" s="92">
        <v>1</v>
      </c>
      <c r="AF4" s="92"/>
      <c r="AG4" s="92"/>
      <c r="AH4" s="92"/>
      <c r="AI4" s="92"/>
      <c r="AJ4" s="92"/>
      <c r="AK4" s="92"/>
      <c r="AL4" s="92">
        <v>1</v>
      </c>
      <c r="AM4" s="92">
        <v>1</v>
      </c>
      <c r="AN4" s="92"/>
      <c r="AO4" s="92"/>
      <c r="AP4" s="92"/>
      <c r="AQ4" s="92">
        <v>1</v>
      </c>
      <c r="AR4" s="92">
        <v>1</v>
      </c>
      <c r="AS4" s="124">
        <v>1</v>
      </c>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row>
    <row r="5" spans="2:75" ht="20.100000000000001" customHeight="1">
      <c r="B5" s="93">
        <v>2</v>
      </c>
      <c r="C5" s="88" t="s">
        <v>338</v>
      </c>
      <c r="D5" s="89">
        <f>'Cronograma'!D5</f>
        <v>5</v>
      </c>
      <c r="E5" s="91"/>
      <c r="F5" s="92"/>
      <c r="G5" s="92"/>
      <c r="H5" s="92"/>
      <c r="I5" s="92"/>
      <c r="J5" s="92"/>
      <c r="K5" s="92"/>
      <c r="L5" s="92"/>
      <c r="M5" s="92"/>
      <c r="N5" s="92"/>
      <c r="O5" s="92"/>
      <c r="P5" s="92"/>
      <c r="Q5" s="92"/>
      <c r="R5" s="92"/>
      <c r="S5" s="92"/>
      <c r="T5" s="92"/>
      <c r="U5" s="92"/>
      <c r="V5" s="92"/>
      <c r="W5" s="92"/>
      <c r="X5" s="92"/>
      <c r="Y5" s="92"/>
      <c r="Z5" s="92"/>
      <c r="AA5" s="92"/>
      <c r="AB5" s="92"/>
      <c r="AC5" s="92"/>
      <c r="AD5" s="92">
        <v>1</v>
      </c>
      <c r="AE5" s="92">
        <v>1</v>
      </c>
      <c r="AF5" s="92"/>
      <c r="AG5" s="92"/>
      <c r="AH5" s="92"/>
      <c r="AI5" s="92"/>
      <c r="AJ5" s="92"/>
      <c r="AK5" s="92"/>
      <c r="AL5" s="92">
        <v>1</v>
      </c>
      <c r="AM5" s="92">
        <v>1</v>
      </c>
      <c r="AN5" s="92"/>
      <c r="AO5" s="92"/>
      <c r="AP5" s="92"/>
      <c r="AQ5" s="92">
        <v>2</v>
      </c>
      <c r="AR5" s="92">
        <v>3</v>
      </c>
      <c r="AS5" s="124">
        <v>2</v>
      </c>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row>
    <row r="6" spans="2:75" ht="20.100000000000001" customHeight="1">
      <c r="B6" s="93" t="s">
        <v>790</v>
      </c>
      <c r="C6" s="88" t="s">
        <v>572</v>
      </c>
      <c r="D6" s="89">
        <f>'Cronograma'!D6</f>
        <v>7</v>
      </c>
      <c r="E6" s="91"/>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v>1</v>
      </c>
      <c r="AM6" s="92">
        <v>1</v>
      </c>
      <c r="AN6" s="92"/>
      <c r="AO6" s="92"/>
      <c r="AP6" s="92"/>
      <c r="AQ6" s="92">
        <v>1</v>
      </c>
      <c r="AR6" s="92">
        <v>1</v>
      </c>
      <c r="AS6" s="124">
        <v>1</v>
      </c>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row>
    <row r="7" spans="2:75" ht="20.100000000000001" customHeight="1">
      <c r="B7" s="93" t="s">
        <v>789</v>
      </c>
      <c r="C7" s="88" t="s">
        <v>573</v>
      </c>
      <c r="D7" s="89">
        <f>'Cronograma'!D7</f>
        <v>7</v>
      </c>
      <c r="E7" s="91"/>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v>1</v>
      </c>
      <c r="AM7" s="92">
        <v>1</v>
      </c>
      <c r="AN7" s="92"/>
      <c r="AO7" s="92"/>
      <c r="AP7" s="92"/>
      <c r="AQ7" s="92">
        <v>1</v>
      </c>
      <c r="AR7" s="92">
        <v>1</v>
      </c>
      <c r="AS7" s="124">
        <v>1</v>
      </c>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row>
    <row r="8" spans="2:75" ht="20.100000000000001" customHeight="1">
      <c r="B8" s="93">
        <v>4</v>
      </c>
      <c r="C8" s="88" t="s">
        <v>339</v>
      </c>
      <c r="D8" s="89">
        <f>'Cronograma'!D8</f>
        <v>7</v>
      </c>
      <c r="E8" s="91"/>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v>1</v>
      </c>
      <c r="AM8" s="92">
        <v>1</v>
      </c>
      <c r="AN8" s="92"/>
      <c r="AO8" s="92"/>
      <c r="AP8" s="92"/>
      <c r="AQ8" s="92">
        <v>2</v>
      </c>
      <c r="AR8" s="92">
        <v>4</v>
      </c>
      <c r="AS8" s="124">
        <v>2</v>
      </c>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row>
    <row r="9" spans="2:75" ht="20.100000000000001" customHeight="1">
      <c r="B9" s="93">
        <v>5</v>
      </c>
      <c r="C9" s="88" t="s">
        <v>340</v>
      </c>
      <c r="D9" s="89">
        <f>'Cronograma'!D9</f>
        <v>5</v>
      </c>
      <c r="E9" s="91"/>
      <c r="F9" s="92"/>
      <c r="G9" s="92"/>
      <c r="H9" s="92"/>
      <c r="I9" s="92"/>
      <c r="J9" s="92"/>
      <c r="K9" s="92"/>
      <c r="L9" s="92"/>
      <c r="M9" s="92"/>
      <c r="N9" s="92"/>
      <c r="O9" s="92">
        <v>1</v>
      </c>
      <c r="P9" s="92">
        <v>1</v>
      </c>
      <c r="Q9" s="92"/>
      <c r="R9" s="92"/>
      <c r="S9" s="92"/>
      <c r="T9" s="92"/>
      <c r="U9" s="92"/>
      <c r="V9" s="92"/>
      <c r="W9" s="92">
        <v>1</v>
      </c>
      <c r="X9" s="92"/>
      <c r="Y9" s="92"/>
      <c r="Z9" s="92"/>
      <c r="AA9" s="92"/>
      <c r="AB9" s="92">
        <v>1</v>
      </c>
      <c r="AC9" s="92"/>
      <c r="AD9" s="92"/>
      <c r="AE9" s="92"/>
      <c r="AF9" s="92"/>
      <c r="AG9" s="92"/>
      <c r="AH9" s="92"/>
      <c r="AI9" s="92">
        <v>1</v>
      </c>
      <c r="AJ9" s="92">
        <v>1</v>
      </c>
      <c r="AK9" s="92">
        <v>1</v>
      </c>
      <c r="AL9" s="92"/>
      <c r="AM9" s="92"/>
      <c r="AN9" s="92"/>
      <c r="AO9" s="92"/>
      <c r="AP9" s="92"/>
      <c r="AQ9" s="92"/>
      <c r="AR9" s="92"/>
      <c r="AS9" s="124"/>
      <c r="AT9" s="92"/>
      <c r="AU9" s="92"/>
      <c r="AV9" s="92">
        <v>1</v>
      </c>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row>
    <row r="10" spans="2:75" ht="20.100000000000001" customHeight="1">
      <c r="B10" s="93">
        <v>6</v>
      </c>
      <c r="C10" s="88" t="s">
        <v>341</v>
      </c>
      <c r="D10" s="89">
        <f>'Cronograma'!D10</f>
        <v>5</v>
      </c>
      <c r="E10" s="91"/>
      <c r="F10" s="92"/>
      <c r="G10" s="92"/>
      <c r="H10" s="92"/>
      <c r="I10" s="92"/>
      <c r="J10" s="92"/>
      <c r="K10" s="92"/>
      <c r="L10" s="92"/>
      <c r="M10" s="92"/>
      <c r="N10" s="92"/>
      <c r="O10" s="92"/>
      <c r="P10" s="92"/>
      <c r="Q10" s="92"/>
      <c r="R10" s="92"/>
      <c r="S10" s="92"/>
      <c r="T10" s="92"/>
      <c r="U10" s="92"/>
      <c r="V10" s="92"/>
      <c r="W10" s="92"/>
      <c r="X10" s="92"/>
      <c r="Y10" s="92"/>
      <c r="Z10" s="92"/>
      <c r="AA10" s="92">
        <v>1</v>
      </c>
      <c r="AB10" s="92"/>
      <c r="AC10" s="92">
        <v>1</v>
      </c>
      <c r="AD10" s="92">
        <v>1</v>
      </c>
      <c r="AE10" s="92">
        <v>1</v>
      </c>
      <c r="AF10" s="92"/>
      <c r="AG10" s="92"/>
      <c r="AH10" s="92"/>
      <c r="AI10" s="92"/>
      <c r="AJ10" s="92"/>
      <c r="AK10" s="92"/>
      <c r="AL10" s="92"/>
      <c r="AM10" s="92"/>
      <c r="AN10" s="92"/>
      <c r="AO10" s="92"/>
      <c r="AP10" s="92"/>
      <c r="AQ10" s="92"/>
      <c r="AR10" s="92"/>
      <c r="AS10" s="124"/>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row>
    <row r="11" spans="2:75" ht="20.100000000000001" customHeight="1">
      <c r="B11" s="93">
        <v>7</v>
      </c>
      <c r="C11" s="88" t="s">
        <v>796</v>
      </c>
      <c r="D11" s="89">
        <f>'Cronograma'!D11</f>
        <v>3</v>
      </c>
      <c r="E11" s="91">
        <v>1</v>
      </c>
      <c r="F11" s="92">
        <v>2</v>
      </c>
      <c r="G11" s="92">
        <v>1</v>
      </c>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124"/>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row>
    <row r="12" spans="2:75" ht="20.100000000000001" customHeight="1">
      <c r="B12" s="93">
        <v>8</v>
      </c>
      <c r="C12" s="88" t="s">
        <v>754</v>
      </c>
      <c r="D12" s="89">
        <f>'Cronograma'!D12</f>
        <v>6</v>
      </c>
      <c r="E12" s="91"/>
      <c r="F12" s="92"/>
      <c r="G12" s="92">
        <v>1</v>
      </c>
      <c r="H12" s="92"/>
      <c r="I12" s="92"/>
      <c r="J12" s="92"/>
      <c r="K12" s="92"/>
      <c r="L12" s="92"/>
      <c r="M12" s="92"/>
      <c r="N12" s="92"/>
      <c r="O12" s="92"/>
      <c r="P12" s="92"/>
      <c r="Q12" s="92"/>
      <c r="R12" s="92"/>
      <c r="S12" s="92"/>
      <c r="T12" s="92"/>
      <c r="U12" s="92"/>
      <c r="V12" s="92"/>
      <c r="W12" s="92"/>
      <c r="X12" s="92"/>
      <c r="Y12" s="92"/>
      <c r="Z12" s="92"/>
      <c r="AA12" s="92"/>
      <c r="AB12" s="92">
        <v>1</v>
      </c>
      <c r="AC12" s="92"/>
      <c r="AD12" s="92"/>
      <c r="AE12" s="92">
        <v>1</v>
      </c>
      <c r="AF12" s="92"/>
      <c r="AG12" s="92"/>
      <c r="AH12" s="92"/>
      <c r="AI12" s="92"/>
      <c r="AJ12" s="92"/>
      <c r="AK12" s="92"/>
      <c r="AL12" s="92">
        <v>1</v>
      </c>
      <c r="AM12" s="92">
        <v>1</v>
      </c>
      <c r="AN12" s="92"/>
      <c r="AO12" s="92"/>
      <c r="AP12" s="92"/>
      <c r="AQ12" s="92"/>
      <c r="AR12" s="92">
        <v>1</v>
      </c>
      <c r="AS12" s="124">
        <v>3</v>
      </c>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row>
    <row r="13" spans="2:75" ht="20.100000000000001" customHeight="1"/>
    <row r="14" spans="2:75" ht="20.100000000000001" customHeight="1"/>
    <row r="15" spans="2:75" ht="20.100000000000001" customHeight="1"/>
    <row r="16" spans="2:75" ht="20.100000000000001" customHeight="1"/>
  </sheetData>
  <pageMargins left="0.511811024" right="0.511811024" top="0.78740157499999996" bottom="0.78740157499999996" header="0.31496062000000002" footer="0.31496062000000002"/>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43F27-17C6-42EF-BF1E-68968CFDF292}">
  <sheetPr>
    <tabColor rgb="FF008080"/>
    <pageSetUpPr fitToPage="1"/>
  </sheetPr>
  <dimension ref="A1:K35"/>
  <sheetViews>
    <sheetView workbookViewId="0">
      <selection activeCell="H12" sqref="H12"/>
    </sheetView>
  </sheetViews>
  <sheetFormatPr defaultRowHeight="15"/>
  <cols>
    <col min="1" max="1" width="1.42578125" style="191" customWidth="1"/>
    <col min="2" max="2" width="38.140625" style="191" customWidth="1"/>
    <col min="3" max="3" width="25.7109375" style="192" bestFit="1" customWidth="1"/>
    <col min="4" max="5" width="17.42578125" style="192" customWidth="1"/>
    <col min="6" max="6" width="2.7109375" style="192" customWidth="1"/>
    <col min="7" max="7" width="24.140625" style="193" customWidth="1"/>
    <col min="8" max="8" width="51.5703125" style="193" customWidth="1"/>
    <col min="9" max="9" width="12.7109375" style="193" customWidth="1"/>
    <col min="10" max="10" width="1.7109375" style="193" customWidth="1"/>
    <col min="11" max="12" width="13.7109375" style="193" customWidth="1"/>
    <col min="13" max="256" width="9.140625" style="193"/>
    <col min="257" max="257" width="32.28515625" style="193" customWidth="1"/>
    <col min="258" max="258" width="27.5703125" style="193" bestFit="1" customWidth="1"/>
    <col min="259" max="260" width="12.85546875" style="193" bestFit="1" customWidth="1"/>
    <col min="261" max="512" width="9.140625" style="193"/>
    <col min="513" max="513" width="32.28515625" style="193" customWidth="1"/>
    <col min="514" max="514" width="27.5703125" style="193" bestFit="1" customWidth="1"/>
    <col min="515" max="516" width="12.85546875" style="193" bestFit="1" customWidth="1"/>
    <col min="517" max="768" width="9.140625" style="193"/>
    <col min="769" max="769" width="32.28515625" style="193" customWidth="1"/>
    <col min="770" max="770" width="27.5703125" style="193" bestFit="1" customWidth="1"/>
    <col min="771" max="772" width="12.85546875" style="193" bestFit="1" customWidth="1"/>
    <col min="773" max="1024" width="9.140625" style="193"/>
    <col min="1025" max="1025" width="32.28515625" style="193" customWidth="1"/>
    <col min="1026" max="1026" width="27.5703125" style="193" bestFit="1" customWidth="1"/>
    <col min="1027" max="1028" width="12.85546875" style="193" bestFit="1" customWidth="1"/>
    <col min="1029" max="1280" width="9.140625" style="193"/>
    <col min="1281" max="1281" width="32.28515625" style="193" customWidth="1"/>
    <col min="1282" max="1282" width="27.5703125" style="193" bestFit="1" customWidth="1"/>
    <col min="1283" max="1284" width="12.85546875" style="193" bestFit="1" customWidth="1"/>
    <col min="1285" max="1536" width="9.140625" style="193"/>
    <col min="1537" max="1537" width="32.28515625" style="193" customWidth="1"/>
    <col min="1538" max="1538" width="27.5703125" style="193" bestFit="1" customWidth="1"/>
    <col min="1539" max="1540" width="12.85546875" style="193" bestFit="1" customWidth="1"/>
    <col min="1541" max="1792" width="9.140625" style="193"/>
    <col min="1793" max="1793" width="32.28515625" style="193" customWidth="1"/>
    <col min="1794" max="1794" width="27.5703125" style="193" bestFit="1" customWidth="1"/>
    <col min="1795" max="1796" width="12.85546875" style="193" bestFit="1" customWidth="1"/>
    <col min="1797" max="2048" width="9.140625" style="193"/>
    <col min="2049" max="2049" width="32.28515625" style="193" customWidth="1"/>
    <col min="2050" max="2050" width="27.5703125" style="193" bestFit="1" customWidth="1"/>
    <col min="2051" max="2052" width="12.85546875" style="193" bestFit="1" customWidth="1"/>
    <col min="2053" max="2304" width="9.140625" style="193"/>
    <col min="2305" max="2305" width="32.28515625" style="193" customWidth="1"/>
    <col min="2306" max="2306" width="27.5703125" style="193" bestFit="1" customWidth="1"/>
    <col min="2307" max="2308" width="12.85546875" style="193" bestFit="1" customWidth="1"/>
    <col min="2309" max="2560" width="9.140625" style="193"/>
    <col min="2561" max="2561" width="32.28515625" style="193" customWidth="1"/>
    <col min="2562" max="2562" width="27.5703125" style="193" bestFit="1" customWidth="1"/>
    <col min="2563" max="2564" width="12.85546875" style="193" bestFit="1" customWidth="1"/>
    <col min="2565" max="2816" width="9.140625" style="193"/>
    <col min="2817" max="2817" width="32.28515625" style="193" customWidth="1"/>
    <col min="2818" max="2818" width="27.5703125" style="193" bestFit="1" customWidth="1"/>
    <col min="2819" max="2820" width="12.85546875" style="193" bestFit="1" customWidth="1"/>
    <col min="2821" max="3072" width="9.140625" style="193"/>
    <col min="3073" max="3073" width="32.28515625" style="193" customWidth="1"/>
    <col min="3074" max="3074" width="27.5703125" style="193" bestFit="1" customWidth="1"/>
    <col min="3075" max="3076" width="12.85546875" style="193" bestFit="1" customWidth="1"/>
    <col min="3077" max="3328" width="9.140625" style="193"/>
    <col min="3329" max="3329" width="32.28515625" style="193" customWidth="1"/>
    <col min="3330" max="3330" width="27.5703125" style="193" bestFit="1" customWidth="1"/>
    <col min="3331" max="3332" width="12.85546875" style="193" bestFit="1" customWidth="1"/>
    <col min="3333" max="3584" width="9.140625" style="193"/>
    <col min="3585" max="3585" width="32.28515625" style="193" customWidth="1"/>
    <col min="3586" max="3586" width="27.5703125" style="193" bestFit="1" customWidth="1"/>
    <col min="3587" max="3588" width="12.85546875" style="193" bestFit="1" customWidth="1"/>
    <col min="3589" max="3840" width="9.140625" style="193"/>
    <col min="3841" max="3841" width="32.28515625" style="193" customWidth="1"/>
    <col min="3842" max="3842" width="27.5703125" style="193" bestFit="1" customWidth="1"/>
    <col min="3843" max="3844" width="12.85546875" style="193" bestFit="1" customWidth="1"/>
    <col min="3845" max="4096" width="9.140625" style="193"/>
    <col min="4097" max="4097" width="32.28515625" style="193" customWidth="1"/>
    <col min="4098" max="4098" width="27.5703125" style="193" bestFit="1" customWidth="1"/>
    <col min="4099" max="4100" width="12.85546875" style="193" bestFit="1" customWidth="1"/>
    <col min="4101" max="4352" width="9.140625" style="193"/>
    <col min="4353" max="4353" width="32.28515625" style="193" customWidth="1"/>
    <col min="4354" max="4354" width="27.5703125" style="193" bestFit="1" customWidth="1"/>
    <col min="4355" max="4356" width="12.85546875" style="193" bestFit="1" customWidth="1"/>
    <col min="4357" max="4608" width="9.140625" style="193"/>
    <col min="4609" max="4609" width="32.28515625" style="193" customWidth="1"/>
    <col min="4610" max="4610" width="27.5703125" style="193" bestFit="1" customWidth="1"/>
    <col min="4611" max="4612" width="12.85546875" style="193" bestFit="1" customWidth="1"/>
    <col min="4613" max="4864" width="9.140625" style="193"/>
    <col min="4865" max="4865" width="32.28515625" style="193" customWidth="1"/>
    <col min="4866" max="4866" width="27.5703125" style="193" bestFit="1" customWidth="1"/>
    <col min="4867" max="4868" width="12.85546875" style="193" bestFit="1" customWidth="1"/>
    <col min="4869" max="5120" width="9.140625" style="193"/>
    <col min="5121" max="5121" width="32.28515625" style="193" customWidth="1"/>
    <col min="5122" max="5122" width="27.5703125" style="193" bestFit="1" customWidth="1"/>
    <col min="5123" max="5124" width="12.85546875" style="193" bestFit="1" customWidth="1"/>
    <col min="5125" max="5376" width="9.140625" style="193"/>
    <col min="5377" max="5377" width="32.28515625" style="193" customWidth="1"/>
    <col min="5378" max="5378" width="27.5703125" style="193" bestFit="1" customWidth="1"/>
    <col min="5379" max="5380" width="12.85546875" style="193" bestFit="1" customWidth="1"/>
    <col min="5381" max="5632" width="9.140625" style="193"/>
    <col min="5633" max="5633" width="32.28515625" style="193" customWidth="1"/>
    <col min="5634" max="5634" width="27.5703125" style="193" bestFit="1" customWidth="1"/>
    <col min="5635" max="5636" width="12.85546875" style="193" bestFit="1" customWidth="1"/>
    <col min="5637" max="5888" width="9.140625" style="193"/>
    <col min="5889" max="5889" width="32.28515625" style="193" customWidth="1"/>
    <col min="5890" max="5890" width="27.5703125" style="193" bestFit="1" customWidth="1"/>
    <col min="5891" max="5892" width="12.85546875" style="193" bestFit="1" customWidth="1"/>
    <col min="5893" max="6144" width="9.140625" style="193"/>
    <col min="6145" max="6145" width="32.28515625" style="193" customWidth="1"/>
    <col min="6146" max="6146" width="27.5703125" style="193" bestFit="1" customWidth="1"/>
    <col min="6147" max="6148" width="12.85546875" style="193" bestFit="1" customWidth="1"/>
    <col min="6149" max="6400" width="9.140625" style="193"/>
    <col min="6401" max="6401" width="32.28515625" style="193" customWidth="1"/>
    <col min="6402" max="6402" width="27.5703125" style="193" bestFit="1" customWidth="1"/>
    <col min="6403" max="6404" width="12.85546875" style="193" bestFit="1" customWidth="1"/>
    <col min="6405" max="6656" width="9.140625" style="193"/>
    <col min="6657" max="6657" width="32.28515625" style="193" customWidth="1"/>
    <col min="6658" max="6658" width="27.5703125" style="193" bestFit="1" customWidth="1"/>
    <col min="6659" max="6660" width="12.85546875" style="193" bestFit="1" customWidth="1"/>
    <col min="6661" max="6912" width="9.140625" style="193"/>
    <col min="6913" max="6913" width="32.28515625" style="193" customWidth="1"/>
    <col min="6914" max="6914" width="27.5703125" style="193" bestFit="1" customWidth="1"/>
    <col min="6915" max="6916" width="12.85546875" style="193" bestFit="1" customWidth="1"/>
    <col min="6917" max="7168" width="9.140625" style="193"/>
    <col min="7169" max="7169" width="32.28515625" style="193" customWidth="1"/>
    <col min="7170" max="7170" width="27.5703125" style="193" bestFit="1" customWidth="1"/>
    <col min="7171" max="7172" width="12.85546875" style="193" bestFit="1" customWidth="1"/>
    <col min="7173" max="7424" width="9.140625" style="193"/>
    <col min="7425" max="7425" width="32.28515625" style="193" customWidth="1"/>
    <col min="7426" max="7426" width="27.5703125" style="193" bestFit="1" customWidth="1"/>
    <col min="7427" max="7428" width="12.85546875" style="193" bestFit="1" customWidth="1"/>
    <col min="7429" max="7680" width="9.140625" style="193"/>
    <col min="7681" max="7681" width="32.28515625" style="193" customWidth="1"/>
    <col min="7682" max="7682" width="27.5703125" style="193" bestFit="1" customWidth="1"/>
    <col min="7683" max="7684" width="12.85546875" style="193" bestFit="1" customWidth="1"/>
    <col min="7685" max="7936" width="9.140625" style="193"/>
    <col min="7937" max="7937" width="32.28515625" style="193" customWidth="1"/>
    <col min="7938" max="7938" width="27.5703125" style="193" bestFit="1" customWidth="1"/>
    <col min="7939" max="7940" width="12.85546875" style="193" bestFit="1" customWidth="1"/>
    <col min="7941" max="8192" width="9.140625" style="193"/>
    <col min="8193" max="8193" width="32.28515625" style="193" customWidth="1"/>
    <col min="8194" max="8194" width="27.5703125" style="193" bestFit="1" customWidth="1"/>
    <col min="8195" max="8196" width="12.85546875" style="193" bestFit="1" customWidth="1"/>
    <col min="8197" max="8448" width="9.140625" style="193"/>
    <col min="8449" max="8449" width="32.28515625" style="193" customWidth="1"/>
    <col min="8450" max="8450" width="27.5703125" style="193" bestFit="1" customWidth="1"/>
    <col min="8451" max="8452" width="12.85546875" style="193" bestFit="1" customWidth="1"/>
    <col min="8453" max="8704" width="9.140625" style="193"/>
    <col min="8705" max="8705" width="32.28515625" style="193" customWidth="1"/>
    <col min="8706" max="8706" width="27.5703125" style="193" bestFit="1" customWidth="1"/>
    <col min="8707" max="8708" width="12.85546875" style="193" bestFit="1" customWidth="1"/>
    <col min="8709" max="8960" width="9.140625" style="193"/>
    <col min="8961" max="8961" width="32.28515625" style="193" customWidth="1"/>
    <col min="8962" max="8962" width="27.5703125" style="193" bestFit="1" customWidth="1"/>
    <col min="8963" max="8964" width="12.85546875" style="193" bestFit="1" customWidth="1"/>
    <col min="8965" max="9216" width="9.140625" style="193"/>
    <col min="9217" max="9217" width="32.28515625" style="193" customWidth="1"/>
    <col min="9218" max="9218" width="27.5703125" style="193" bestFit="1" customWidth="1"/>
    <col min="9219" max="9220" width="12.85546875" style="193" bestFit="1" customWidth="1"/>
    <col min="9221" max="9472" width="9.140625" style="193"/>
    <col min="9473" max="9473" width="32.28515625" style="193" customWidth="1"/>
    <col min="9474" max="9474" width="27.5703125" style="193" bestFit="1" customWidth="1"/>
    <col min="9475" max="9476" width="12.85546875" style="193" bestFit="1" customWidth="1"/>
    <col min="9477" max="9728" width="9.140625" style="193"/>
    <col min="9729" max="9729" width="32.28515625" style="193" customWidth="1"/>
    <col min="9730" max="9730" width="27.5703125" style="193" bestFit="1" customWidth="1"/>
    <col min="9731" max="9732" width="12.85546875" style="193" bestFit="1" customWidth="1"/>
    <col min="9733" max="9984" width="9.140625" style="193"/>
    <col min="9985" max="9985" width="32.28515625" style="193" customWidth="1"/>
    <col min="9986" max="9986" width="27.5703125" style="193" bestFit="1" customWidth="1"/>
    <col min="9987" max="9988" width="12.85546875" style="193" bestFit="1" customWidth="1"/>
    <col min="9989" max="10240" width="9.140625" style="193"/>
    <col min="10241" max="10241" width="32.28515625" style="193" customWidth="1"/>
    <col min="10242" max="10242" width="27.5703125" style="193" bestFit="1" customWidth="1"/>
    <col min="10243" max="10244" width="12.85546875" style="193" bestFit="1" customWidth="1"/>
    <col min="10245" max="10496" width="9.140625" style="193"/>
    <col min="10497" max="10497" width="32.28515625" style="193" customWidth="1"/>
    <col min="10498" max="10498" width="27.5703125" style="193" bestFit="1" customWidth="1"/>
    <col min="10499" max="10500" width="12.85546875" style="193" bestFit="1" customWidth="1"/>
    <col min="10501" max="10752" width="9.140625" style="193"/>
    <col min="10753" max="10753" width="32.28515625" style="193" customWidth="1"/>
    <col min="10754" max="10754" width="27.5703125" style="193" bestFit="1" customWidth="1"/>
    <col min="10755" max="10756" width="12.85546875" style="193" bestFit="1" customWidth="1"/>
    <col min="10757" max="11008" width="9.140625" style="193"/>
    <col min="11009" max="11009" width="32.28515625" style="193" customWidth="1"/>
    <col min="11010" max="11010" width="27.5703125" style="193" bestFit="1" customWidth="1"/>
    <col min="11011" max="11012" width="12.85546875" style="193" bestFit="1" customWidth="1"/>
    <col min="11013" max="11264" width="9.140625" style="193"/>
    <col min="11265" max="11265" width="32.28515625" style="193" customWidth="1"/>
    <col min="11266" max="11266" width="27.5703125" style="193" bestFit="1" customWidth="1"/>
    <col min="11267" max="11268" width="12.85546875" style="193" bestFit="1" customWidth="1"/>
    <col min="11269" max="11520" width="9.140625" style="193"/>
    <col min="11521" max="11521" width="32.28515625" style="193" customWidth="1"/>
    <col min="11522" max="11522" width="27.5703125" style="193" bestFit="1" customWidth="1"/>
    <col min="11523" max="11524" width="12.85546875" style="193" bestFit="1" customWidth="1"/>
    <col min="11525" max="11776" width="9.140625" style="193"/>
    <col min="11777" max="11777" width="32.28515625" style="193" customWidth="1"/>
    <col min="11778" max="11778" width="27.5703125" style="193" bestFit="1" customWidth="1"/>
    <col min="11779" max="11780" width="12.85546875" style="193" bestFit="1" customWidth="1"/>
    <col min="11781" max="12032" width="9.140625" style="193"/>
    <col min="12033" max="12033" width="32.28515625" style="193" customWidth="1"/>
    <col min="12034" max="12034" width="27.5703125" style="193" bestFit="1" customWidth="1"/>
    <col min="12035" max="12036" width="12.85546875" style="193" bestFit="1" customWidth="1"/>
    <col min="12037" max="12288" width="9.140625" style="193"/>
    <col min="12289" max="12289" width="32.28515625" style="193" customWidth="1"/>
    <col min="12290" max="12290" width="27.5703125" style="193" bestFit="1" customWidth="1"/>
    <col min="12291" max="12292" width="12.85546875" style="193" bestFit="1" customWidth="1"/>
    <col min="12293" max="12544" width="9.140625" style="193"/>
    <col min="12545" max="12545" width="32.28515625" style="193" customWidth="1"/>
    <col min="12546" max="12546" width="27.5703125" style="193" bestFit="1" customWidth="1"/>
    <col min="12547" max="12548" width="12.85546875" style="193" bestFit="1" customWidth="1"/>
    <col min="12549" max="12800" width="9.140625" style="193"/>
    <col min="12801" max="12801" width="32.28515625" style="193" customWidth="1"/>
    <col min="12802" max="12802" width="27.5703125" style="193" bestFit="1" customWidth="1"/>
    <col min="12803" max="12804" width="12.85546875" style="193" bestFit="1" customWidth="1"/>
    <col min="12805" max="13056" width="9.140625" style="193"/>
    <col min="13057" max="13057" width="32.28515625" style="193" customWidth="1"/>
    <col min="13058" max="13058" width="27.5703125" style="193" bestFit="1" customWidth="1"/>
    <col min="13059" max="13060" width="12.85546875" style="193" bestFit="1" customWidth="1"/>
    <col min="13061" max="13312" width="9.140625" style="193"/>
    <col min="13313" max="13313" width="32.28515625" style="193" customWidth="1"/>
    <col min="13314" max="13314" width="27.5703125" style="193" bestFit="1" customWidth="1"/>
    <col min="13315" max="13316" width="12.85546875" style="193" bestFit="1" customWidth="1"/>
    <col min="13317" max="13568" width="9.140625" style="193"/>
    <col min="13569" max="13569" width="32.28515625" style="193" customWidth="1"/>
    <col min="13570" max="13570" width="27.5703125" style="193" bestFit="1" customWidth="1"/>
    <col min="13571" max="13572" width="12.85546875" style="193" bestFit="1" customWidth="1"/>
    <col min="13573" max="13824" width="9.140625" style="193"/>
    <col min="13825" max="13825" width="32.28515625" style="193" customWidth="1"/>
    <col min="13826" max="13826" width="27.5703125" style="193" bestFit="1" customWidth="1"/>
    <col min="13827" max="13828" width="12.85546875" style="193" bestFit="1" customWidth="1"/>
    <col min="13829" max="14080" width="9.140625" style="193"/>
    <col min="14081" max="14081" width="32.28515625" style="193" customWidth="1"/>
    <col min="14082" max="14082" width="27.5703125" style="193" bestFit="1" customWidth="1"/>
    <col min="14083" max="14084" width="12.85546875" style="193" bestFit="1" customWidth="1"/>
    <col min="14085" max="14336" width="9.140625" style="193"/>
    <col min="14337" max="14337" width="32.28515625" style="193" customWidth="1"/>
    <col min="14338" max="14338" width="27.5703125" style="193" bestFit="1" customWidth="1"/>
    <col min="14339" max="14340" width="12.85546875" style="193" bestFit="1" customWidth="1"/>
    <col min="14341" max="14592" width="9.140625" style="193"/>
    <col min="14593" max="14593" width="32.28515625" style="193" customWidth="1"/>
    <col min="14594" max="14594" width="27.5703125" style="193" bestFit="1" customWidth="1"/>
    <col min="14595" max="14596" width="12.85546875" style="193" bestFit="1" customWidth="1"/>
    <col min="14597" max="14848" width="9.140625" style="193"/>
    <col min="14849" max="14849" width="32.28515625" style="193" customWidth="1"/>
    <col min="14850" max="14850" width="27.5703125" style="193" bestFit="1" customWidth="1"/>
    <col min="14851" max="14852" width="12.85546875" style="193" bestFit="1" customWidth="1"/>
    <col min="14853" max="15104" width="9.140625" style="193"/>
    <col min="15105" max="15105" width="32.28515625" style="193" customWidth="1"/>
    <col min="15106" max="15106" width="27.5703125" style="193" bestFit="1" customWidth="1"/>
    <col min="15107" max="15108" width="12.85546875" style="193" bestFit="1" customWidth="1"/>
    <col min="15109" max="15360" width="9.140625" style="193"/>
    <col min="15361" max="15361" width="32.28515625" style="193" customWidth="1"/>
    <col min="15362" max="15362" width="27.5703125" style="193" bestFit="1" customWidth="1"/>
    <col min="15363" max="15364" width="12.85546875" style="193" bestFit="1" customWidth="1"/>
    <col min="15365" max="15616" width="9.140625" style="193"/>
    <col min="15617" max="15617" width="32.28515625" style="193" customWidth="1"/>
    <col min="15618" max="15618" width="27.5703125" style="193" bestFit="1" customWidth="1"/>
    <col min="15619" max="15620" width="12.85546875" style="193" bestFit="1" customWidth="1"/>
    <col min="15621" max="15872" width="9.140625" style="193"/>
    <col min="15873" max="15873" width="32.28515625" style="193" customWidth="1"/>
    <col min="15874" max="15874" width="27.5703125" style="193" bestFit="1" customWidth="1"/>
    <col min="15875" max="15876" width="12.85546875" style="193" bestFit="1" customWidth="1"/>
    <col min="15877" max="16128" width="9.140625" style="193"/>
    <col min="16129" max="16129" width="32.28515625" style="193" customWidth="1"/>
    <col min="16130" max="16130" width="27.5703125" style="193" bestFit="1" customWidth="1"/>
    <col min="16131" max="16132" width="12.85546875" style="193" bestFit="1" customWidth="1"/>
    <col min="16133" max="16384" width="9.140625" style="193"/>
  </cols>
  <sheetData>
    <row r="1" spans="1:11" ht="6.6" customHeight="1"/>
    <row r="2" spans="1:11" ht="19.899999999999999" customHeight="1">
      <c r="B2" s="760" t="s">
        <v>777</v>
      </c>
      <c r="C2" s="761"/>
      <c r="D2" s="761"/>
      <c r="E2" s="762"/>
      <c r="F2" s="191"/>
      <c r="G2" s="194" t="s">
        <v>468</v>
      </c>
    </row>
    <row r="3" spans="1:11" ht="16.149999999999999" hidden="1" customHeight="1">
      <c r="B3" s="763" t="s">
        <v>469</v>
      </c>
      <c r="C3" s="764"/>
      <c r="D3" s="764"/>
      <c r="E3" s="765"/>
      <c r="F3" s="191"/>
      <c r="G3" s="195" t="s">
        <v>470</v>
      </c>
      <c r="H3" s="196" t="s">
        <v>469</v>
      </c>
      <c r="K3" s="197"/>
    </row>
    <row r="4" spans="1:11" ht="16.149999999999999" customHeight="1">
      <c r="B4" s="766" t="s">
        <v>471</v>
      </c>
      <c r="C4" s="766"/>
      <c r="D4" s="198" t="s">
        <v>472</v>
      </c>
      <c r="E4" s="198" t="s">
        <v>473</v>
      </c>
      <c r="F4" s="191"/>
      <c r="G4" s="195" t="s">
        <v>474</v>
      </c>
      <c r="H4" s="199">
        <v>12.25</v>
      </c>
      <c r="K4" s="197"/>
    </row>
    <row r="5" spans="1:11" s="205" customFormat="1" ht="16.149999999999999" customHeight="1">
      <c r="A5" s="200"/>
      <c r="B5" s="557" t="s">
        <v>475</v>
      </c>
      <c r="C5" s="201" t="s">
        <v>476</v>
      </c>
      <c r="D5" s="202">
        <f ca="1">ROUND((E$5*D$23/E$23),4)</f>
        <v>6.9055999999999997</v>
      </c>
      <c r="E5" s="558">
        <v>10</v>
      </c>
      <c r="F5" s="200"/>
      <c r="G5" s="195" t="s">
        <v>477</v>
      </c>
      <c r="H5" s="203">
        <v>5</v>
      </c>
      <c r="I5" s="204"/>
    </row>
    <row r="6" spans="1:11" ht="16.149999999999999" customHeight="1">
      <c r="B6" s="559" t="s">
        <v>478</v>
      </c>
      <c r="C6" s="206">
        <f>ROUND((((((1+($H$4/100))^(1/12))-1)*100)),2)</f>
        <v>0.97</v>
      </c>
      <c r="D6" s="202">
        <f ca="1">ROUND(((1-(D12/100))*$C$6),4)</f>
        <v>0.88959999999999995</v>
      </c>
      <c r="E6" s="214">
        <f ca="1">ROUND(D6*E$23/D$23,4)</f>
        <v>1.2882</v>
      </c>
      <c r="F6" s="191"/>
      <c r="G6" s="195" t="s">
        <v>479</v>
      </c>
      <c r="H6" s="207" t="s">
        <v>480</v>
      </c>
    </row>
    <row r="7" spans="1:11" ht="16.149999999999999" customHeight="1">
      <c r="B7" s="559" t="s">
        <v>481</v>
      </c>
      <c r="C7" s="208">
        <v>0.5</v>
      </c>
      <c r="D7" s="202">
        <f>C7</f>
        <v>0.5</v>
      </c>
      <c r="E7" s="214">
        <f ca="1">ROUND(D7*E$23/D$23,4)</f>
        <v>0.72409999999999997</v>
      </c>
      <c r="F7" s="191"/>
      <c r="G7" s="195" t="s">
        <v>482</v>
      </c>
      <c r="H7" s="207" t="s">
        <v>480</v>
      </c>
    </row>
    <row r="8" spans="1:11" ht="16.149999999999999" customHeight="1">
      <c r="B8" s="559" t="s">
        <v>483</v>
      </c>
      <c r="C8" s="208">
        <v>0.1</v>
      </c>
      <c r="D8" s="202">
        <f>C8</f>
        <v>0.1</v>
      </c>
      <c r="E8" s="214">
        <f ca="1">ROUND(D8*E$23/D$23,4)</f>
        <v>0.14480000000000001</v>
      </c>
      <c r="F8" s="191"/>
      <c r="G8" s="195" t="s">
        <v>484</v>
      </c>
      <c r="H8" s="207" t="s">
        <v>485</v>
      </c>
    </row>
    <row r="9" spans="1:11" ht="16.149999999999999" customHeight="1">
      <c r="B9" s="559"/>
      <c r="C9" s="209"/>
      <c r="D9" s="202"/>
      <c r="E9" s="214"/>
      <c r="F9" s="191"/>
    </row>
    <row r="10" spans="1:11" ht="16.149999999999999" customHeight="1">
      <c r="B10" s="560"/>
      <c r="C10" s="210" t="s">
        <v>486</v>
      </c>
      <c r="D10" s="211">
        <f ca="1">SUM(D$5:D$9)</f>
        <v>8.3951999999999991</v>
      </c>
      <c r="E10" s="561">
        <f ca="1">SUM(E$5:E$9)</f>
        <v>12.1571</v>
      </c>
      <c r="F10" s="191"/>
    </row>
    <row r="11" spans="1:11" s="205" customFormat="1" ht="16.149999999999999" customHeight="1">
      <c r="A11" s="200"/>
      <c r="B11" s="766" t="s">
        <v>487</v>
      </c>
      <c r="C11" s="766"/>
      <c r="D11" s="212" t="s">
        <v>472</v>
      </c>
      <c r="E11" s="212" t="s">
        <v>473</v>
      </c>
      <c r="F11" s="200"/>
    </row>
    <row r="12" spans="1:11" s="205" customFormat="1" ht="16.149999999999999" customHeight="1">
      <c r="A12" s="200"/>
      <c r="B12" s="557" t="s">
        <v>488</v>
      </c>
      <c r="C12" s="201" t="s">
        <v>476</v>
      </c>
      <c r="D12" s="202">
        <f ca="1">ROUNDUP((E$12*D$23/E$23),4)</f>
        <v>8.2866999999999997</v>
      </c>
      <c r="E12" s="558">
        <v>12</v>
      </c>
      <c r="F12" s="200"/>
      <c r="G12" s="193"/>
    </row>
    <row r="13" spans="1:11" ht="16.149999999999999" customHeight="1">
      <c r="B13" s="559"/>
      <c r="C13" s="209"/>
      <c r="D13" s="202"/>
      <c r="E13" s="214"/>
      <c r="F13" s="191"/>
    </row>
    <row r="14" spans="1:11" ht="16.149999999999999" customHeight="1">
      <c r="B14" s="560"/>
      <c r="C14" s="210" t="s">
        <v>489</v>
      </c>
      <c r="D14" s="211">
        <f ca="1">SUM(D12:D13)</f>
        <v>8.2866999999999997</v>
      </c>
      <c r="E14" s="211">
        <f>SUM(E12:E13)</f>
        <v>12</v>
      </c>
      <c r="F14" s="191"/>
    </row>
    <row r="15" spans="1:11" ht="16.149999999999999" customHeight="1">
      <c r="B15" s="766" t="s">
        <v>490</v>
      </c>
      <c r="C15" s="766"/>
      <c r="D15" s="212" t="s">
        <v>472</v>
      </c>
      <c r="E15" s="212" t="s">
        <v>473</v>
      </c>
      <c r="F15" s="191"/>
    </row>
    <row r="16" spans="1:11" ht="16.149999999999999" customHeight="1">
      <c r="B16" s="557" t="s">
        <v>491</v>
      </c>
      <c r="C16" s="213">
        <f>IF(H7="SIM",0,0.0165)</f>
        <v>1.6500000000000001E-2</v>
      </c>
      <c r="D16" s="214">
        <f>IF(C16=0,"REIDI",$C16*100)</f>
        <v>1.6500000000000001</v>
      </c>
      <c r="E16" s="558">
        <f ca="1">IF(C16=0,"REIDI",ROUND(D16*E$23/D$23,4))</f>
        <v>2.3894000000000002</v>
      </c>
      <c r="F16" s="191"/>
    </row>
    <row r="17" spans="2:6" ht="16.149999999999999" customHeight="1">
      <c r="B17" s="559" t="s">
        <v>492</v>
      </c>
      <c r="C17" s="213">
        <f>IF(H7="SIM",0,0.076)</f>
        <v>7.5999999999999998E-2</v>
      </c>
      <c r="D17" s="214">
        <f>IF(C17=0,"REIDI",$C17*100)</f>
        <v>7.6</v>
      </c>
      <c r="E17" s="214">
        <f ca="1">IF(C17=0,"REIDI",ROUND(D17*E$23/D$23,4))</f>
        <v>11.005599999999999</v>
      </c>
      <c r="F17" s="191"/>
    </row>
    <row r="18" spans="2:6" ht="16.149999999999999" customHeight="1">
      <c r="B18" s="559" t="s">
        <v>776</v>
      </c>
      <c r="C18" s="208">
        <f>$H$5</f>
        <v>5</v>
      </c>
      <c r="D18" s="214">
        <f>$H$5</f>
        <v>5</v>
      </c>
      <c r="E18" s="214">
        <f ca="1">ROUND(D18*E$23/D$23,4)</f>
        <v>7.2404999999999999</v>
      </c>
      <c r="F18" s="191"/>
    </row>
    <row r="19" spans="2:6" ht="16.149999999999999" hidden="1" customHeight="1">
      <c r="B19" s="562" t="str">
        <f>IF(H6="SIM","CPRB","")</f>
        <v/>
      </c>
      <c r="C19" s="213" t="str">
        <f>IF(H6="SIM",0.045,"")</f>
        <v/>
      </c>
      <c r="D19" s="214" t="str">
        <f>IF(C19="","",$C19*100)</f>
        <v/>
      </c>
      <c r="E19" s="214" t="str">
        <f>IF(C19="","",$D$19*$E$23/$D$23)</f>
        <v/>
      </c>
      <c r="F19" s="191"/>
    </row>
    <row r="20" spans="2:6" ht="16.149999999999999" customHeight="1">
      <c r="B20" s="562"/>
      <c r="C20" s="209"/>
      <c r="D20" s="214"/>
      <c r="E20" s="214"/>
      <c r="F20" s="191"/>
    </row>
    <row r="21" spans="2:6" ht="16.149999999999999" customHeight="1">
      <c r="B21" s="563"/>
      <c r="C21" s="215" t="s">
        <v>493</v>
      </c>
      <c r="D21" s="216">
        <f>SUM(D$16:D$19)</f>
        <v>14.25</v>
      </c>
      <c r="E21" s="216">
        <f ca="1">ROUND(SUM(E$16:E$19),4)</f>
        <v>20.6355</v>
      </c>
      <c r="F21" s="191"/>
    </row>
    <row r="22" spans="2:6" ht="16.149999999999999" hidden="1" customHeight="1" thickBot="1">
      <c r="B22" s="563"/>
      <c r="C22" s="215" t="s">
        <v>494</v>
      </c>
      <c r="D22" s="217">
        <f ca="1">SUM(D6:D8)+SUM(D16:D19)</f>
        <v>15.739599999999999</v>
      </c>
      <c r="E22" s="217">
        <f>E5+E12</f>
        <v>22</v>
      </c>
      <c r="F22" s="191"/>
    </row>
    <row r="23" spans="2:6" ht="19.899999999999999" customHeight="1">
      <c r="B23" s="564" t="s">
        <v>495</v>
      </c>
      <c r="C23" s="565"/>
      <c r="D23" s="566">
        <f ca="1">ROUND(((D$22/100)+(E$22/100))/(1+(E$22/100)),4)</f>
        <v>0.30930000000000002</v>
      </c>
      <c r="E23" s="567">
        <f ca="1">ROUND(((D$22/100)+(E$22/100))/(1-(D$22/100)),4)</f>
        <v>0.44790000000000002</v>
      </c>
      <c r="F23" s="191"/>
    </row>
    <row r="24" spans="2:6" ht="30.75" customHeight="1">
      <c r="B24" s="759" t="s">
        <v>775</v>
      </c>
      <c r="C24" s="759"/>
      <c r="D24" s="759"/>
      <c r="E24" s="759"/>
      <c r="F24" s="191"/>
    </row>
    <row r="25" spans="2:6" ht="20.100000000000001" customHeight="1">
      <c r="F25" s="191"/>
    </row>
    <row r="26" spans="2:6" ht="20.100000000000001" customHeight="1"/>
    <row r="27" spans="2:6" ht="20.100000000000001" customHeight="1"/>
    <row r="28" spans="2:6" ht="20.100000000000001" customHeight="1"/>
    <row r="29" spans="2:6" ht="20.100000000000001" customHeight="1"/>
    <row r="30" spans="2:6" ht="20.100000000000001" customHeight="1"/>
    <row r="31" spans="2:6" ht="20.100000000000001" customHeight="1"/>
    <row r="32" spans="2:6" ht="20.100000000000001" customHeight="1"/>
    <row r="33" ht="20.100000000000001" customHeight="1"/>
    <row r="34" ht="20.100000000000001" customHeight="1"/>
    <row r="35" ht="20.100000000000001" customHeight="1"/>
  </sheetData>
  <mergeCells count="6">
    <mergeCell ref="B24:E24"/>
    <mergeCell ref="B2:E2"/>
    <mergeCell ref="B3:E3"/>
    <mergeCell ref="B4:C4"/>
    <mergeCell ref="B11:C11"/>
    <mergeCell ref="B15:C15"/>
  </mergeCells>
  <dataValidations count="1">
    <dataValidation type="list" allowBlank="1" showInputMessage="1" showErrorMessage="1" sqref="H6:H7" xr:uid="{0FD650E0-BA89-41AB-95B1-29FE9E8FFA39}">
      <formula1>"NÃO, SIM"</formula1>
    </dataValidation>
  </dataValidations>
  <pageMargins left="0.25" right="0.25" top="0.75" bottom="0.75" header="0.3" footer="0.3"/>
  <pageSetup paperSize="9" scale="9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30</vt:i4>
      </vt:variant>
      <vt:variant>
        <vt:lpstr>Intervalos Nomeados</vt:lpstr>
      </vt:variant>
      <vt:variant>
        <vt:i4>19</vt:i4>
      </vt:variant>
    </vt:vector>
  </HeadingPairs>
  <TitlesOfParts>
    <vt:vector size="49" baseType="lpstr">
      <vt:lpstr>Dados</vt:lpstr>
      <vt:lpstr>Resumo</vt:lpstr>
      <vt:lpstr>Produtos</vt:lpstr>
      <vt:lpstr>Recursos</vt:lpstr>
      <vt:lpstr>Resumo-NT</vt:lpstr>
      <vt:lpstr>Mem.Cálculo-&gt;</vt:lpstr>
      <vt:lpstr>Cronograma</vt:lpstr>
      <vt:lpstr>Alocação MO</vt:lpstr>
      <vt:lpstr>BDI</vt:lpstr>
      <vt:lpstr>1.PdT</vt:lpstr>
      <vt:lpstr>2.EMD</vt:lpstr>
      <vt:lpstr>3.1.EEN</vt:lpstr>
      <vt:lpstr>3.2.EEN</vt:lpstr>
      <vt:lpstr>4.EOP</vt:lpstr>
      <vt:lpstr>5.EMA</vt:lpstr>
      <vt:lpstr>6.MEF</vt:lpstr>
      <vt:lpstr>7.EJR</vt:lpstr>
      <vt:lpstr>8.GPeR</vt:lpstr>
      <vt:lpstr>Inspeção-Veículo</vt:lpstr>
      <vt:lpstr>Diárias e Passagens</vt:lpstr>
      <vt:lpstr>Preços-&gt;</vt:lpstr>
      <vt:lpstr>Diárias</vt:lpstr>
      <vt:lpstr>Voos</vt:lpstr>
      <vt:lpstr>Voos Pesquisa</vt:lpstr>
      <vt:lpstr>SICFER</vt:lpstr>
      <vt:lpstr>TC 07-2023</vt:lpstr>
      <vt:lpstr>TC-CustosGerais</vt:lpstr>
      <vt:lpstr>Categorias</vt:lpstr>
      <vt:lpstr>Equip.Info</vt:lpstr>
      <vt:lpstr>Mat.Info</vt:lpstr>
      <vt:lpstr>'1.PdT'!Area_de_impressao</vt:lpstr>
      <vt:lpstr>'2.EMD'!Area_de_impressao</vt:lpstr>
      <vt:lpstr>'3.1.EEN'!Area_de_impressao</vt:lpstr>
      <vt:lpstr>'3.2.EEN'!Area_de_impressao</vt:lpstr>
      <vt:lpstr>'4.EOP'!Area_de_impressao</vt:lpstr>
      <vt:lpstr>'5.EMA'!Area_de_impressao</vt:lpstr>
      <vt:lpstr>'6.MEF'!Area_de_impressao</vt:lpstr>
      <vt:lpstr>'7.EJR'!Area_de_impressao</vt:lpstr>
      <vt:lpstr>'8.GPeR'!Area_de_impressao</vt:lpstr>
      <vt:lpstr>BDI!Area_de_impressao</vt:lpstr>
      <vt:lpstr>'Diárias e Passagens'!Area_de_impressao</vt:lpstr>
      <vt:lpstr>Produtos!Area_de_impressao</vt:lpstr>
      <vt:lpstr>Recursos!Area_de_impressao</vt:lpstr>
      <vt:lpstr>'Resumo-NT'!Area_de_impressao</vt:lpstr>
      <vt:lpstr>'TC 07-2023'!Area_de_impressao</vt:lpstr>
      <vt:lpstr>'TC-CustosGerais'!Area_de_impressao</vt:lpstr>
      <vt:lpstr>'Diárias e Passagens'!Titulos_de_impressao</vt:lpstr>
      <vt:lpstr>Recursos!Titulos_de_impressao</vt:lpstr>
      <vt:lpstr>'TC 07-2023'!Titulos_de_impressao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Wagner Edson Ribeiro Ferreira</dc:creator>
  <cp:keywords/>
  <dc:description/>
  <cp:lastModifiedBy>Márcia Dalvi</cp:lastModifiedBy>
  <cp:revision/>
  <cp:lastPrinted>2023-12-19T20:50:17Z</cp:lastPrinted>
  <dcterms:created xsi:type="dcterms:W3CDTF">2023-06-05T17:51:35Z</dcterms:created>
  <dcterms:modified xsi:type="dcterms:W3CDTF">2023-12-19T21:02:17Z</dcterms:modified>
  <cp:category/>
  <cp:contentStatus/>
</cp:coreProperties>
</file>