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EINF\PPI's\PPI Portos\Concessões Portuárias\Canal Rio Grande\Papéis de Trabalho\INFRASA - Contratação de Estudos RS\"/>
    </mc:Choice>
  </mc:AlternateContent>
  <xr:revisionPtr revIDLastSave="0" documentId="13_ncr:1_{12A9DC91-8707-47AD-A391-B14B99B3A623}" xr6:coauthVersionLast="47" xr6:coauthVersionMax="47" xr10:uidLastSave="{00000000-0000-0000-0000-000000000000}"/>
  <bookViews>
    <workbookView xWindow="28680" yWindow="-120" windowWidth="29040" windowHeight="15840" xr2:uid="{E49114D2-CDDD-4BFC-9722-A7C54FF26D8D}"/>
  </bookViews>
  <sheets>
    <sheet name="Planilha Orçamentária" sheetId="2" r:id="rId1"/>
    <sheet name="Pesquisa de Mercado" sheetId="13" r:id="rId2"/>
    <sheet name="CRONOGRAMA" sheetId="5" r:id="rId3"/>
    <sheet name="Estrutura Dados" sheetId="1" r:id="rId4"/>
    <sheet name="NOTAS" sheetId="3" r:id="rId5"/>
    <sheet name="Simulacoes" sheetId="7" r:id="rId6"/>
    <sheet name="Geofísica" sheetId="9" r:id="rId7"/>
    <sheet name="Circularizacao" sheetId="4" r:id="rId8"/>
    <sheet name="Fontes" sheetId="15" r:id="rId9"/>
  </sheets>
  <externalReferences>
    <externalReference r:id="rId10"/>
    <externalReference r:id="rId11"/>
    <externalReference r:id="rId12"/>
  </externalReferences>
  <definedNames>
    <definedName name="\i" localSheetId="7">#REF!</definedName>
    <definedName name="\i" localSheetId="2">#REF!</definedName>
    <definedName name="\i" localSheetId="8">#REF!</definedName>
    <definedName name="\i">#REF!</definedName>
    <definedName name="_xlnm._FilterDatabase" localSheetId="7" hidden="1">Circularizacao!$B$4:$L$27</definedName>
    <definedName name="_xlnm._FilterDatabase" localSheetId="3" hidden="1">'Estrutura Dados'!$A$5:$E$27</definedName>
    <definedName name="COFINS" localSheetId="7">#REF!</definedName>
    <definedName name="COFINS" localSheetId="2">#REF!</definedName>
    <definedName name="COFINS">#REF!</definedName>
    <definedName name="FOLHA1" localSheetId="7">#REF!</definedName>
    <definedName name="FOLHA1" localSheetId="2">#REF!</definedName>
    <definedName name="FOLHA1">#REF!</definedName>
    <definedName name="FOLHA2" localSheetId="7">#REF!</definedName>
    <definedName name="FOLHA2" localSheetId="2">#REF!</definedName>
    <definedName name="FOLHA2">#REF!</definedName>
    <definedName name="FOLHA3" localSheetId="7">#REF!</definedName>
    <definedName name="FOLHA3" localSheetId="2">#REF!</definedName>
    <definedName name="FOLHA3">#REF!</definedName>
    <definedName name="FOLHA4" localSheetId="2">#REF!</definedName>
    <definedName name="FOLHA4">#REF!</definedName>
    <definedName name="FOLHA5" localSheetId="2">#REF!</definedName>
    <definedName name="FOLHA5">#REF!</definedName>
    <definedName name="FOLHA6" localSheetId="2">#REF!</definedName>
    <definedName name="FOLHA6">#REF!</definedName>
    <definedName name="FOLHA7" localSheetId="2">#REF!</definedName>
    <definedName name="FOLHA7">#REF!</definedName>
    <definedName name="FOLHA8" localSheetId="2">#REF!</definedName>
    <definedName name="FOLHA8">#REF!</definedName>
    <definedName name="FOLHA9" localSheetId="2">#REF!</definedName>
    <definedName name="FOLHA9">#REF!</definedName>
    <definedName name="k">'[1]Tab. Consultoria Jan-11'!#REF!</definedName>
    <definedName name="kt" localSheetId="7">#REF!</definedName>
    <definedName name="kt" localSheetId="2">#REF!</definedName>
    <definedName name="kt">#REF!</definedName>
    <definedName name="MEM" localSheetId="7">#REF!</definedName>
    <definedName name="MEM" localSheetId="2">#REF!</definedName>
    <definedName name="MEM">#REF!</definedName>
    <definedName name="p" localSheetId="7">#REF!</definedName>
    <definedName name="p" localSheetId="2">#REF!</definedName>
    <definedName name="p">#REF!</definedName>
    <definedName name="per" localSheetId="7">'[2]Qd.11-Orçamento'!#REF!</definedName>
    <definedName name="per" localSheetId="2">'[2]Qd.11-Orçamento'!#REF!</definedName>
    <definedName name="per">'[2]Qd.11-Orçamento'!#REF!</definedName>
    <definedName name="perp" localSheetId="7">#REF!</definedName>
    <definedName name="perp" localSheetId="2">#REF!</definedName>
    <definedName name="perp">#REF!</definedName>
    <definedName name="PIS" localSheetId="7">#REF!</definedName>
    <definedName name="PIS" localSheetId="2">#REF!</definedName>
    <definedName name="PIS">#REF!</definedName>
    <definedName name="ref" localSheetId="7">'[1]Tab. Consultoria Jan-11'!#REF!</definedName>
    <definedName name="ref" localSheetId="2">'[1]Tab. Consultoria Jan-11'!#REF!</definedName>
    <definedName name="ref">'[1]Tab. Consultoria Jan-11'!#REF!</definedName>
    <definedName name="t" localSheetId="7">#REF!</definedName>
    <definedName name="t" localSheetId="2">#REF!</definedName>
    <definedName name="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3" i="13" l="1"/>
  <c r="L52" i="13"/>
  <c r="L51" i="13"/>
  <c r="D52" i="13"/>
  <c r="D13" i="2"/>
  <c r="D14" i="2"/>
  <c r="D15" i="2"/>
  <c r="D16" i="2"/>
  <c r="D17" i="2"/>
  <c r="D18" i="2"/>
  <c r="D19" i="2"/>
  <c r="D20" i="2"/>
  <c r="D21" i="2"/>
  <c r="D12" i="2"/>
  <c r="D10" i="2"/>
  <c r="D8" i="2"/>
  <c r="D7" i="2"/>
  <c r="D9" i="2"/>
  <c r="D61" i="13"/>
  <c r="H59" i="13" l="1"/>
  <c r="H62" i="13" s="1"/>
  <c r="G52" i="13" s="1"/>
  <c r="M11" i="2" l="1"/>
  <c r="M22" i="2"/>
  <c r="M25" i="2"/>
  <c r="H51" i="13"/>
  <c r="G8" i="2" s="1"/>
  <c r="F8" i="2" s="1"/>
  <c r="M8" i="2" s="1"/>
  <c r="F51" i="13"/>
  <c r="G53" i="13"/>
  <c r="H53" i="13" s="1"/>
  <c r="G10" i="2" s="1"/>
  <c r="F10" i="2" s="1"/>
  <c r="M10" i="2" s="1"/>
  <c r="I50" i="13"/>
  <c r="D50" i="13"/>
  <c r="E50" i="13"/>
  <c r="F50" i="13"/>
  <c r="G50" i="13"/>
  <c r="H50" i="13"/>
  <c r="C50" i="13"/>
  <c r="AD10" i="13"/>
  <c r="AD11" i="13"/>
  <c r="AD12" i="13"/>
  <c r="AD13" i="13"/>
  <c r="AD14" i="13"/>
  <c r="AD15" i="13"/>
  <c r="AD16" i="13"/>
  <c r="AD17" i="13"/>
  <c r="AD18" i="13"/>
  <c r="AD19" i="13"/>
  <c r="AD20" i="13"/>
  <c r="AD21" i="13"/>
  <c r="AD22" i="13"/>
  <c r="AD23" i="13"/>
  <c r="AD24" i="13"/>
  <c r="AD25" i="13"/>
  <c r="AD26" i="13"/>
  <c r="AD27" i="13"/>
  <c r="AD28" i="13"/>
  <c r="AD29" i="13"/>
  <c r="AD30" i="13"/>
  <c r="AD31" i="13"/>
  <c r="AD32" i="13"/>
  <c r="AD33" i="13"/>
  <c r="AD34" i="13"/>
  <c r="AD35" i="13"/>
  <c r="AD7" i="13"/>
  <c r="P335" i="5"/>
  <c r="P326" i="5"/>
  <c r="P327" i="5"/>
  <c r="P328" i="5"/>
  <c r="P329" i="5"/>
  <c r="P330" i="5"/>
  <c r="P331" i="5"/>
  <c r="P332" i="5"/>
  <c r="P333" i="5"/>
  <c r="P334" i="5"/>
  <c r="P337" i="5"/>
  <c r="P338" i="5"/>
  <c r="P339" i="5"/>
  <c r="P340" i="5"/>
  <c r="P341" i="5"/>
  <c r="P325" i="5"/>
  <c r="AK11" i="2"/>
  <c r="AK22" i="2"/>
  <c r="AK25" i="2"/>
  <c r="G12" i="13"/>
  <c r="G13" i="13"/>
  <c r="G14" i="13"/>
  <c r="G15" i="13"/>
  <c r="G16" i="13"/>
  <c r="G17" i="13"/>
  <c r="G18" i="13"/>
  <c r="G11" i="13"/>
  <c r="G20" i="13"/>
  <c r="G32" i="13"/>
  <c r="G31" i="13"/>
  <c r="G24" i="13"/>
  <c r="G23" i="13"/>
  <c r="H52" i="13" l="1"/>
  <c r="G9" i="2" s="1"/>
  <c r="G32" i="2" s="1"/>
  <c r="P336" i="5"/>
  <c r="Z7" i="13"/>
  <c r="G7" i="2" s="1"/>
  <c r="Y7" i="13"/>
  <c r="Y28" i="13"/>
  <c r="Y35" i="13"/>
  <c r="Y29" i="13"/>
  <c r="Y27" i="13"/>
  <c r="Y25" i="13"/>
  <c r="Y21" i="13"/>
  <c r="Y22" i="13"/>
  <c r="Y23" i="13"/>
  <c r="Y24" i="13"/>
  <c r="Y26" i="13"/>
  <c r="Y31" i="13"/>
  <c r="Y32" i="13"/>
  <c r="Y34" i="13"/>
  <c r="Y20" i="13"/>
  <c r="Z35" i="13"/>
  <c r="G27" i="2" s="1"/>
  <c r="Z32" i="13"/>
  <c r="G24" i="2" s="1"/>
  <c r="Z31" i="13"/>
  <c r="G23" i="2" s="1"/>
  <c r="Z29" i="13"/>
  <c r="Z28" i="13"/>
  <c r="Z27" i="13"/>
  <c r="G19" i="2" s="1"/>
  <c r="Z25" i="13"/>
  <c r="G17" i="2" s="1"/>
  <c r="Z21" i="13"/>
  <c r="G13" i="2" s="1"/>
  <c r="Z22" i="13"/>
  <c r="G14" i="2" s="1"/>
  <c r="Z23" i="13"/>
  <c r="G15" i="2" s="1"/>
  <c r="Z24" i="13"/>
  <c r="G16" i="2" s="1"/>
  <c r="Z26" i="13"/>
  <c r="G18" i="2" s="1"/>
  <c r="Z34" i="13"/>
  <c r="G26" i="2" s="1"/>
  <c r="Z20" i="13"/>
  <c r="D300" i="5"/>
  <c r="D323" i="5" s="1"/>
  <c r="AK23" i="2" l="1"/>
  <c r="U23" i="2"/>
  <c r="AK24" i="2"/>
  <c r="U24" i="2"/>
  <c r="AK18" i="2"/>
  <c r="U18" i="2"/>
  <c r="F18" i="2"/>
  <c r="M18" i="2" s="1"/>
  <c r="AK15" i="2"/>
  <c r="F15" i="2"/>
  <c r="M15" i="2" s="1"/>
  <c r="U15" i="2"/>
  <c r="AK17" i="2"/>
  <c r="F17" i="2"/>
  <c r="M17" i="2" s="1"/>
  <c r="U17" i="2"/>
  <c r="U16" i="2"/>
  <c r="AK16" i="2"/>
  <c r="F16" i="2"/>
  <c r="M16" i="2" s="1"/>
  <c r="AK14" i="2"/>
  <c r="U14" i="2"/>
  <c r="F14" i="2"/>
  <c r="M14" i="2" s="1"/>
  <c r="F13" i="2"/>
  <c r="M13" i="2" s="1"/>
  <c r="U13" i="2"/>
  <c r="AK13" i="2"/>
  <c r="U19" i="2"/>
  <c r="AK19" i="2"/>
  <c r="F19" i="2"/>
  <c r="M19" i="2" s="1"/>
  <c r="AK27" i="2"/>
  <c r="F27" i="2"/>
  <c r="M27" i="2" s="1"/>
  <c r="U27" i="2"/>
  <c r="F26" i="2"/>
  <c r="M26" i="2" s="1"/>
  <c r="AK26" i="2"/>
  <c r="U26" i="2"/>
  <c r="U7" i="2"/>
  <c r="R7" i="2"/>
  <c r="AK7" i="2"/>
  <c r="G12" i="2"/>
  <c r="G21" i="2"/>
  <c r="G20" i="2"/>
  <c r="Z37" i="13"/>
  <c r="AB26" i="13" s="1"/>
  <c r="Y37" i="13"/>
  <c r="R21" i="13"/>
  <c r="R20" i="13"/>
  <c r="G33" i="2" l="1"/>
  <c r="AK21" i="2"/>
  <c r="U21" i="2"/>
  <c r="F21" i="2"/>
  <c r="M21" i="2" s="1"/>
  <c r="F12" i="2"/>
  <c r="M12" i="2" s="1"/>
  <c r="U12" i="2"/>
  <c r="AK12" i="2"/>
  <c r="AK20" i="2"/>
  <c r="U20" i="2"/>
  <c r="F20" i="2"/>
  <c r="M20" i="2" s="1"/>
  <c r="AB34" i="13"/>
  <c r="AB22" i="13"/>
  <c r="AB29" i="13"/>
  <c r="AB7" i="13"/>
  <c r="AB24" i="13"/>
  <c r="AB28" i="13"/>
  <c r="AB27" i="13"/>
  <c r="AB35" i="13"/>
  <c r="AB23" i="13"/>
  <c r="AB32" i="13"/>
  <c r="AB25" i="13"/>
  <c r="AB31" i="13"/>
  <c r="AB21" i="13"/>
  <c r="AB20" i="13"/>
  <c r="F9" i="2"/>
  <c r="D69" i="13"/>
  <c r="F69" i="13" s="1"/>
  <c r="C69" i="13"/>
  <c r="D68" i="13"/>
  <c r="F68" i="13" s="1"/>
  <c r="C68" i="13"/>
  <c r="M9" i="2" l="1"/>
  <c r="C67" i="13"/>
  <c r="D67" i="13"/>
  <c r="F7" i="13" s="1"/>
  <c r="AI5" i="13"/>
  <c r="AJ5" i="13"/>
  <c r="T20" i="13"/>
  <c r="T21" i="13"/>
  <c r="T22" i="13"/>
  <c r="T23" i="13"/>
  <c r="T24" i="13"/>
  <c r="T25" i="13"/>
  <c r="T26" i="13"/>
  <c r="T27" i="13"/>
  <c r="T28" i="13"/>
  <c r="T29" i="13"/>
  <c r="T31" i="13"/>
  <c r="T32" i="13"/>
  <c r="T34" i="13"/>
  <c r="T35" i="13"/>
  <c r="T7" i="13"/>
  <c r="S20" i="13"/>
  <c r="S21" i="13"/>
  <c r="S22" i="13"/>
  <c r="S23" i="13"/>
  <c r="S24" i="13"/>
  <c r="S25" i="13"/>
  <c r="S26" i="13"/>
  <c r="S27" i="13"/>
  <c r="S28" i="13"/>
  <c r="S29" i="13"/>
  <c r="S31" i="13"/>
  <c r="S32" i="13"/>
  <c r="S34" i="13"/>
  <c r="S35" i="13"/>
  <c r="S7" i="13"/>
  <c r="R22" i="13"/>
  <c r="R23" i="13"/>
  <c r="R24" i="13"/>
  <c r="R25" i="13"/>
  <c r="R26" i="13"/>
  <c r="R27" i="13"/>
  <c r="R28" i="13"/>
  <c r="R29" i="13"/>
  <c r="R31" i="13"/>
  <c r="R32" i="13"/>
  <c r="R34" i="13"/>
  <c r="R35" i="13"/>
  <c r="R7" i="13"/>
  <c r="O37" i="13"/>
  <c r="W7" i="13" l="1"/>
  <c r="V7" i="13"/>
  <c r="AI37" i="13"/>
  <c r="G32" i="4"/>
  <c r="I32" i="4" s="1"/>
  <c r="V31" i="13"/>
  <c r="W31" i="13"/>
  <c r="W35" i="13"/>
  <c r="V35" i="13"/>
  <c r="W29" i="13"/>
  <c r="V29" i="13"/>
  <c r="V28" i="13"/>
  <c r="W28" i="13"/>
  <c r="V20" i="13"/>
  <c r="W20" i="13"/>
  <c r="V32" i="13"/>
  <c r="W32" i="13"/>
  <c r="V27" i="13"/>
  <c r="W27" i="13"/>
  <c r="V25" i="13"/>
  <c r="W25" i="13"/>
  <c r="W24" i="13"/>
  <c r="V24" i="13"/>
  <c r="W26" i="13"/>
  <c r="V26" i="13"/>
  <c r="W23" i="13"/>
  <c r="V23" i="13"/>
  <c r="V34" i="13"/>
  <c r="W34" i="13"/>
  <c r="V22" i="13"/>
  <c r="W22" i="13"/>
  <c r="V21" i="13"/>
  <c r="W21" i="13"/>
  <c r="F67" i="13"/>
  <c r="F71" i="13" s="1"/>
  <c r="F72" i="13" s="1"/>
  <c r="AI34" i="13"/>
  <c r="AI32" i="13"/>
  <c r="AI43" i="13" s="1"/>
  <c r="AI7" i="13"/>
  <c r="AI35" i="13"/>
  <c r="AI31" i="13"/>
  <c r="AI42" i="13" s="1"/>
  <c r="AI29" i="13"/>
  <c r="AI28" i="13"/>
  <c r="AI27" i="13"/>
  <c r="AI26" i="13"/>
  <c r="AI25" i="13"/>
  <c r="AI41" i="13" s="1"/>
  <c r="AI24" i="13"/>
  <c r="AI23" i="13"/>
  <c r="AI22" i="13"/>
  <c r="AI21" i="13"/>
  <c r="AI20" i="13"/>
  <c r="AJ43" i="13"/>
  <c r="AJ42" i="13"/>
  <c r="AJ41" i="13"/>
  <c r="AF5" i="13"/>
  <c r="AG5" i="13"/>
  <c r="AH5" i="13"/>
  <c r="AE5" i="13"/>
  <c r="K32" i="4" l="1"/>
  <c r="I35" i="4"/>
  <c r="I34" i="4"/>
  <c r="AI45" i="13"/>
  <c r="AJ45" i="13"/>
  <c r="K37" i="13"/>
  <c r="L37" i="13"/>
  <c r="M37" i="13"/>
  <c r="AG31" i="13" s="1"/>
  <c r="N37" i="13"/>
  <c r="P37" i="13"/>
  <c r="K35" i="4" l="1"/>
  <c r="K34" i="4"/>
  <c r="T37" i="13"/>
  <c r="AH31" i="13"/>
  <c r="AH42" i="13" s="1"/>
  <c r="AH34" i="13"/>
  <c r="AH32" i="13"/>
  <c r="AH43" i="13" s="1"/>
  <c r="AH35" i="13"/>
  <c r="AH7" i="13"/>
  <c r="AH37" i="13"/>
  <c r="AH22" i="13"/>
  <c r="AH20" i="13"/>
  <c r="AH21" i="13"/>
  <c r="AH25" i="13"/>
  <c r="AH41" i="13" s="1"/>
  <c r="AH45" i="13" s="1"/>
  <c r="AH23" i="13"/>
  <c r="AH24" i="13"/>
  <c r="AH26" i="13"/>
  <c r="AH27" i="13"/>
  <c r="AH28" i="13"/>
  <c r="AH29" i="13"/>
  <c r="AG37" i="13"/>
  <c r="AG7" i="13"/>
  <c r="AG20" i="13"/>
  <c r="AG21" i="13"/>
  <c r="AG22" i="13"/>
  <c r="AG26" i="13"/>
  <c r="AG23" i="13"/>
  <c r="AG29" i="13"/>
  <c r="AG24" i="13"/>
  <c r="AG28" i="13"/>
  <c r="AG35" i="13"/>
  <c r="AG25" i="13"/>
  <c r="AG41" i="13" s="1"/>
  <c r="AG27" i="13"/>
  <c r="AG42" i="13"/>
  <c r="AG34" i="13"/>
  <c r="AG32" i="13"/>
  <c r="AG43" i="13" s="1"/>
  <c r="AF21" i="13"/>
  <c r="AF23" i="13"/>
  <c r="AF20" i="13"/>
  <c r="AF22" i="13"/>
  <c r="AF24" i="13"/>
  <c r="AF25" i="13"/>
  <c r="AF41" i="13" s="1"/>
  <c r="AF26" i="13"/>
  <c r="AF34" i="13"/>
  <c r="AF35" i="13"/>
  <c r="AF27" i="13"/>
  <c r="AF28" i="13"/>
  <c r="AF29" i="13"/>
  <c r="AF31" i="13"/>
  <c r="AF42" i="13" s="1"/>
  <c r="AF32" i="13"/>
  <c r="AF43" i="13" s="1"/>
  <c r="AF37" i="13"/>
  <c r="AF7" i="13"/>
  <c r="AE22" i="13"/>
  <c r="AE23" i="13"/>
  <c r="AE24" i="13"/>
  <c r="AE25" i="13"/>
  <c r="AE41" i="13" s="1"/>
  <c r="AE27" i="13"/>
  <c r="AE26" i="13"/>
  <c r="AE28" i="13"/>
  <c r="AE29" i="13"/>
  <c r="AE31" i="13"/>
  <c r="AE42" i="13" s="1"/>
  <c r="AE32" i="13"/>
  <c r="AE43" i="13" s="1"/>
  <c r="AE21" i="13"/>
  <c r="AE34" i="13"/>
  <c r="AE37" i="13"/>
  <c r="AE35" i="13"/>
  <c r="AE7" i="13"/>
  <c r="AE20" i="13"/>
  <c r="S37" i="13"/>
  <c r="H35" i="13"/>
  <c r="H34" i="13"/>
  <c r="D32" i="13"/>
  <c r="D31" i="13"/>
  <c r="H29" i="13"/>
  <c r="F29" i="13"/>
  <c r="H28" i="13"/>
  <c r="F28" i="13"/>
  <c r="H27" i="13"/>
  <c r="F27" i="13"/>
  <c r="H26" i="13"/>
  <c r="F26" i="13"/>
  <c r="H25" i="13"/>
  <c r="H24" i="13"/>
  <c r="H23" i="13"/>
  <c r="H22" i="13"/>
  <c r="F22" i="13"/>
  <c r="H21" i="13"/>
  <c r="H20" i="13"/>
  <c r="H18" i="13"/>
  <c r="H17" i="13"/>
  <c r="H16" i="13"/>
  <c r="H15" i="13"/>
  <c r="H14" i="13"/>
  <c r="H13" i="13"/>
  <c r="H12" i="13"/>
  <c r="H11" i="13"/>
  <c r="D7" i="13"/>
  <c r="I29" i="4"/>
  <c r="K29" i="4" s="1"/>
  <c r="I30" i="4"/>
  <c r="K30" i="4" s="1"/>
  <c r="I31" i="4"/>
  <c r="K31" i="4" s="1"/>
  <c r="I28" i="4"/>
  <c r="K28" i="4" s="1"/>
  <c r="C279" i="5"/>
  <c r="C302" i="5" s="1"/>
  <c r="C325" i="5" s="1"/>
  <c r="C280" i="5"/>
  <c r="C303" i="5" s="1"/>
  <c r="C326" i="5" s="1"/>
  <c r="C281" i="5"/>
  <c r="C304" i="5" s="1"/>
  <c r="C327" i="5" s="1"/>
  <c r="C282" i="5"/>
  <c r="C305" i="5" s="1"/>
  <c r="C328" i="5" s="1"/>
  <c r="C283" i="5"/>
  <c r="C306" i="5" s="1"/>
  <c r="C329" i="5" s="1"/>
  <c r="C284" i="5"/>
  <c r="C307" i="5" s="1"/>
  <c r="C330" i="5" s="1"/>
  <c r="C285" i="5"/>
  <c r="C308" i="5" s="1"/>
  <c r="C331" i="5" s="1"/>
  <c r="C286" i="5"/>
  <c r="C309" i="5" s="1"/>
  <c r="C332" i="5" s="1"/>
  <c r="C287" i="5"/>
  <c r="C310" i="5" s="1"/>
  <c r="C333" i="5" s="1"/>
  <c r="C288" i="5"/>
  <c r="C311" i="5" s="1"/>
  <c r="C334" i="5" s="1"/>
  <c r="C289" i="5"/>
  <c r="C312" i="5" s="1"/>
  <c r="C335" i="5" s="1"/>
  <c r="C290" i="5"/>
  <c r="C313" i="5" s="1"/>
  <c r="C336" i="5" s="1"/>
  <c r="C291" i="5"/>
  <c r="C314" i="5" s="1"/>
  <c r="C337" i="5" s="1"/>
  <c r="C292" i="5"/>
  <c r="C315" i="5" s="1"/>
  <c r="C338" i="5" s="1"/>
  <c r="C293" i="5"/>
  <c r="C316" i="5" s="1"/>
  <c r="C339" i="5" s="1"/>
  <c r="C294" i="5"/>
  <c r="C317" i="5" s="1"/>
  <c r="C340" i="5" s="1"/>
  <c r="C318" i="5"/>
  <c r="C341" i="5" s="1"/>
  <c r="C278" i="5"/>
  <c r="C301" i="5" s="1"/>
  <c r="C324" i="5" s="1"/>
  <c r="E278" i="5"/>
  <c r="E271" i="5"/>
  <c r="E295" i="5" s="1"/>
  <c r="E270" i="5"/>
  <c r="E294" i="5" s="1"/>
  <c r="E269" i="5"/>
  <c r="E293" i="5" s="1"/>
  <c r="G271" i="5"/>
  <c r="H265" i="5" s="1"/>
  <c r="G264" i="5"/>
  <c r="H254" i="5" s="1"/>
  <c r="E256" i="5"/>
  <c r="E280" i="5" s="1"/>
  <c r="E257" i="5"/>
  <c r="E281" i="5" s="1"/>
  <c r="E258" i="5"/>
  <c r="E282" i="5" s="1"/>
  <c r="E259" i="5"/>
  <c r="E283" i="5" s="1"/>
  <c r="E260" i="5"/>
  <c r="E284" i="5" s="1"/>
  <c r="E261" i="5"/>
  <c r="E285" i="5" s="1"/>
  <c r="E262" i="5"/>
  <c r="E286" i="5" s="1"/>
  <c r="E263" i="5"/>
  <c r="E287" i="5" s="1"/>
  <c r="E264" i="5"/>
  <c r="E288" i="5" s="1"/>
  <c r="E265" i="5"/>
  <c r="E289" i="5" s="1"/>
  <c r="E266" i="5"/>
  <c r="E290" i="5" s="1"/>
  <c r="E267" i="5"/>
  <c r="E291" i="5" s="1"/>
  <c r="E268" i="5"/>
  <c r="E292" i="5" s="1"/>
  <c r="AF45" i="13" l="1"/>
  <c r="H32" i="13"/>
  <c r="R37" i="13"/>
  <c r="H7" i="13"/>
  <c r="AE45" i="13"/>
  <c r="H31" i="13"/>
  <c r="AG45" i="13"/>
  <c r="K27" i="4"/>
  <c r="K26" i="4"/>
  <c r="H37" i="13" l="1"/>
  <c r="H39" i="13" s="1"/>
  <c r="H43" i="13" s="1"/>
  <c r="H42" i="13"/>
  <c r="C153" i="5"/>
  <c r="C241" i="5" s="1"/>
  <c r="C151" i="5"/>
  <c r="C239" i="5" s="1"/>
  <c r="C147" i="5"/>
  <c r="C235" i="5" s="1"/>
  <c r="C145" i="5"/>
  <c r="C233" i="5" s="1"/>
  <c r="C135" i="5"/>
  <c r="C223" i="5" s="1"/>
  <c r="C137" i="5"/>
  <c r="C225" i="5" s="1"/>
  <c r="C139" i="5"/>
  <c r="C227" i="5" s="1"/>
  <c r="C141" i="5"/>
  <c r="C229" i="5" s="1"/>
  <c r="C125" i="5"/>
  <c r="C213" i="5" s="1"/>
  <c r="C127" i="5"/>
  <c r="C215" i="5" s="1"/>
  <c r="C129" i="5"/>
  <c r="C217" i="5" s="1"/>
  <c r="C131" i="5"/>
  <c r="C219" i="5" s="1"/>
  <c r="C133" i="5"/>
  <c r="C221" i="5" s="1"/>
  <c r="C123" i="5"/>
  <c r="C211" i="5" s="1"/>
  <c r="C149" i="5"/>
  <c r="C237" i="5" s="1"/>
  <c r="C143" i="5"/>
  <c r="C231" i="5" s="1"/>
  <c r="C121" i="5"/>
  <c r="C209" i="5" s="1"/>
  <c r="C119" i="5"/>
  <c r="C207" i="5" s="1"/>
  <c r="C117" i="5"/>
  <c r="C205" i="5" s="1"/>
  <c r="I25" i="4"/>
  <c r="K25" i="4" s="1"/>
  <c r="F7" i="2" l="1"/>
  <c r="M7" i="2" s="1"/>
  <c r="K24" i="4"/>
  <c r="K23" i="4"/>
  <c r="K22" i="4"/>
  <c r="K21" i="4"/>
  <c r="K20" i="4"/>
  <c r="K18" i="4" l="1"/>
  <c r="K19" i="4"/>
  <c r="K15" i="4" l="1"/>
  <c r="K16" i="4"/>
  <c r="K17" i="4"/>
  <c r="K13" i="4" l="1"/>
  <c r="K14" i="4"/>
  <c r="D14" i="9" l="1"/>
  <c r="D11" i="9"/>
  <c r="D12" i="9"/>
  <c r="D13" i="9"/>
  <c r="D10" i="9"/>
  <c r="D9" i="9"/>
  <c r="D5" i="9"/>
  <c r="D6" i="9"/>
  <c r="D7" i="9"/>
  <c r="D8" i="9"/>
  <c r="C4" i="9"/>
  <c r="D3" i="9"/>
  <c r="D4" i="9" l="1"/>
  <c r="C23" i="7" l="1"/>
  <c r="D23" i="7"/>
  <c r="E23" i="7"/>
  <c r="B23" i="7"/>
  <c r="C16" i="7"/>
  <c r="D16" i="7"/>
  <c r="E16" i="7"/>
  <c r="B16" i="7"/>
  <c r="A21" i="7"/>
  <c r="A18" i="7"/>
  <c r="A19" i="7"/>
  <c r="A20" i="7"/>
  <c r="A17" i="7"/>
  <c r="C11" i="7"/>
  <c r="D11" i="7"/>
  <c r="E11" i="7"/>
  <c r="B11" i="7"/>
  <c r="F11" i="7" l="1"/>
  <c r="D23" i="2" s="1"/>
  <c r="F23" i="2" s="1"/>
  <c r="M23" i="2" s="1"/>
  <c r="F23" i="7"/>
  <c r="D24" i="2" s="1"/>
  <c r="F24" i="2" s="1"/>
  <c r="M24" i="2" s="1"/>
  <c r="K12" i="4"/>
  <c r="H12" i="4"/>
  <c r="K11" i="4"/>
  <c r="H11" i="4"/>
  <c r="K10" i="4"/>
  <c r="J9" i="4"/>
  <c r="K9" i="4" s="1"/>
  <c r="G9" i="4"/>
  <c r="K8" i="4"/>
  <c r="G8" i="4"/>
  <c r="K7" i="4"/>
  <c r="G7" i="4"/>
  <c r="K6" i="4"/>
  <c r="K5" i="4"/>
  <c r="E7" i="1" l="1"/>
  <c r="E24" i="1"/>
  <c r="E13" i="1"/>
  <c r="E255" i="5" l="1"/>
  <c r="E279" i="5" s="1"/>
  <c r="D302" i="5" s="1"/>
  <c r="P302" i="5" s="1"/>
  <c r="D279" i="5" l="1"/>
  <c r="D280" i="5" s="1"/>
  <c r="D281" i="5" s="1"/>
  <c r="D282" i="5" s="1"/>
  <c r="D283" i="5" s="1"/>
  <c r="D284" i="5" s="1"/>
  <c r="D285" i="5" s="1"/>
  <c r="D286" i="5" s="1"/>
  <c r="D287" i="5" s="1"/>
  <c r="D288" i="5" s="1"/>
  <c r="D289" i="5" s="1"/>
  <c r="D290" i="5" s="1"/>
  <c r="D291" i="5" s="1"/>
  <c r="D292" i="5" s="1"/>
  <c r="D293" i="5" s="1"/>
  <c r="D294" i="5" s="1"/>
  <c r="D295" i="5" s="1"/>
  <c r="G289" i="5" s="1"/>
  <c r="H289" i="5" s="1"/>
  <c r="D303" i="5"/>
  <c r="G278" i="5"/>
  <c r="H278" i="5" s="1"/>
  <c r="R10" i="2"/>
  <c r="D304" i="5" l="1"/>
  <c r="P303" i="5"/>
  <c r="U10" i="2"/>
  <c r="AK10" i="2"/>
  <c r="AK8" i="2"/>
  <c r="U8" i="2"/>
  <c r="R8" i="2"/>
  <c r="AK9" i="2"/>
  <c r="U9" i="2"/>
  <c r="R9" i="2"/>
  <c r="AK29" i="2"/>
  <c r="G29" i="2"/>
  <c r="D305" i="5" l="1"/>
  <c r="P304" i="5"/>
  <c r="J33" i="2"/>
  <c r="J32" i="2"/>
  <c r="J13" i="2"/>
  <c r="G34" i="2"/>
  <c r="R29" i="2"/>
  <c r="J23" i="2"/>
  <c r="U29" i="2"/>
  <c r="J7" i="2"/>
  <c r="J27" i="2"/>
  <c r="J18" i="2"/>
  <c r="J16" i="2"/>
  <c r="J24" i="2"/>
  <c r="J17" i="2"/>
  <c r="J21" i="2"/>
  <c r="J14" i="2"/>
  <c r="J12" i="2"/>
  <c r="J9" i="2"/>
  <c r="J20" i="2"/>
  <c r="J8" i="2"/>
  <c r="J10" i="2"/>
  <c r="J19" i="2"/>
  <c r="J26" i="2"/>
  <c r="J15" i="2"/>
  <c r="D306" i="5" l="1"/>
  <c r="P305" i="5"/>
  <c r="D307" i="5" l="1"/>
  <c r="P306" i="5"/>
  <c r="D308" i="5" l="1"/>
  <c r="P307" i="5"/>
  <c r="D309" i="5" l="1"/>
  <c r="P308" i="5"/>
  <c r="D310" i="5" l="1"/>
  <c r="P309" i="5"/>
  <c r="D311" i="5" l="1"/>
  <c r="P310" i="5"/>
  <c r="D312" i="5" l="1"/>
  <c r="P311" i="5"/>
  <c r="D313" i="5" l="1"/>
  <c r="P312" i="5"/>
  <c r="D314" i="5" l="1"/>
  <c r="P313" i="5"/>
  <c r="D315" i="5" l="1"/>
  <c r="P314" i="5"/>
  <c r="D316" i="5" l="1"/>
  <c r="P315" i="5"/>
  <c r="D317" i="5" l="1"/>
  <c r="P316" i="5"/>
  <c r="D318" i="5" l="1"/>
  <c r="P318" i="5" s="1"/>
  <c r="P31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tc={D8472B34-9437-42D2-968C-157FA2818B7D}</author>
  </authors>
  <commentList>
    <comment ref="H59" authorId="0" shapeId="0" xr:uid="{D8472B34-9437-42D2-968C-157FA2818B7D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Os preços unitários do SICRO abr/2023 foram atualizados pelo IPCA para jun/2023 
(calculadora cidadão)</t>
      </text>
    </comment>
  </commentList>
</comments>
</file>

<file path=xl/sharedStrings.xml><?xml version="1.0" encoding="utf-8"?>
<sst xmlns="http://schemas.openxmlformats.org/spreadsheetml/2006/main" count="819" uniqueCount="482">
  <si>
    <t>ACESSO AQUAVIÁRIO PORTOS RS</t>
  </si>
  <si>
    <t>ESTRUTURA DO TERMO DE REFERÊNCIA DA COLETA DE DADOS (item 2 do Cronograma)</t>
  </si>
  <si>
    <t>FID</t>
  </si>
  <si>
    <t>Categoria</t>
  </si>
  <si>
    <t>Escopo do Levantamento/Estudo</t>
  </si>
  <si>
    <t>Objetivos</t>
  </si>
  <si>
    <t>Levantamento de Campo</t>
  </si>
  <si>
    <t>Levantamento Hidrográfico Multifeixe (Batimetria)</t>
  </si>
  <si>
    <t xml:space="preserve">Os levantamentos hidrográficos multifeixe são o ponto de partida para a avaliação das condições do acesso aquaviário. Serão fundamentais para os cálculos de volume de dragagem e para a definição de CAPEX do projeto. </t>
  </si>
  <si>
    <t>Levantamento Hidrográfico Monofeixe (Batimetria)</t>
  </si>
  <si>
    <t xml:space="preserve">Os levantamentos hidrográficos monofeixe são o ponto de partida para a avaliação das condições do acesso aquaviário. Serão fundamentais para os cálculos de volume de dragagem e para a definição de CAPEX do projeto. </t>
  </si>
  <si>
    <t>Levantamento Hidrográfico Monofeixe de Dupla Frequência</t>
  </si>
  <si>
    <t>Os levantamentos hidrográficos monofeixe de dupla frequência (33KHz e 200KHz) são importantes para avaliar as potencialidades de navegação em condições extremas de uso da infraestrutura e podem indicar possibilidades para equilibrar a matriz de risco contratual.</t>
  </si>
  <si>
    <t>Levantamento Sísmico de Baixa Frequência nos trechos críticos para a navegação</t>
  </si>
  <si>
    <t xml:space="preserve">Caracterizar a formação geomorfológica presente na região, bem como o os tipos de sedimentos existentes no solo e formações rochosas que eventualmente devam ser submetidos a metodologias de dragagem específicas. </t>
  </si>
  <si>
    <t>Levantamento sonográfico nos trechos críticos para a navegação</t>
  </si>
  <si>
    <t>Investigações para caracterização geotécnica e química do solo</t>
  </si>
  <si>
    <t xml:space="preserve">Realizar ensaios Vibracore, Jet-Probe, SPT e, eventualmente, sondagens mistas e rotativas para caracterizar os sedimentos a serem dragados. </t>
  </si>
  <si>
    <t>Estudos</t>
  </si>
  <si>
    <t>Estudos das condições Meteoceanográficas (numérico e matemático)</t>
  </si>
  <si>
    <t>Deverá ser desenvolvido um estudo meteoceanográfico detalhado que indique a distribuição temporal de intensidades e direções de corrente, vento, maré e onda na região do canal de acesso, áreas de manobras e nos berços de atracação existentes e futuros para avaliar as condições ambientais para subsidiar as rodadas de simulação de manobra e definir parâmetros operacionais da concessão</t>
  </si>
  <si>
    <t>Estudo de área de despejo de material dragado</t>
  </si>
  <si>
    <t>Será realizado um levantamento topobatimétrico para caracterizar o relevo de áreas atualmente utilizadas como Bota-Fora. Deve-se observar o que dispõe a resolução CONAMA nº454/2012, que “Estabelece as diretrizes gerais e os procedimentos referenciais para o gerenciamento do material a ser dragado em águas sob a jurisdição nacional”.</t>
  </si>
  <si>
    <t>Estudos dos Navios de Projeto</t>
  </si>
  <si>
    <t xml:space="preserve">Analisar conjuntos de dados fornecidos por cada terminal e/ou obtidos a partir de serviços AIS (Automatic Identification System) e outras fontes disponíveis a respeito das embarcações que frequentam o porto em um período de um ano no intuito de identificar os navios críticos e os navios tendenciais para fins de dimensionamento da infraestrutura  de acesso aquaviário. </t>
  </si>
  <si>
    <t>Estudo de Dimensionamento dos Acessos Aquaviários</t>
  </si>
  <si>
    <t xml:space="preserve">Realizar o cálculo dos movimentos e consequente profundidade máxima atingida pelo fundo do casco para os navios de interesse em cada área. A partir dessa profundidade e demais margens de segurança aplicáveis será definido o calado seguro em função de cada condição ambiental analisada. Determinar a Folga Abaixo da Quilha (FAQ) segura para fins de dimensionamento da infraestrutura de acesso aquaviário. </t>
  </si>
  <si>
    <t>Estudos de Amarração</t>
  </si>
  <si>
    <t>Deverá ser realizada análise de amarração para o navio de projeto considerado em cada berço de interesse, a qual poderá servir de suporte à definição dos principais equipamentos de amarração necessários (defensas e cabeços), caso os atualmente existentes não se mostrem suficientes em quantidade ou capacidade em face do tráfego aquaviário simulado.</t>
  </si>
  <si>
    <t>Simulações de Manobra</t>
  </si>
  <si>
    <t>Simulações de manobras de navios tipo “Fast Time”</t>
  </si>
  <si>
    <t>Devem-se realizar simulações em tempo rápido (fast time) de manobras de entrada e saída dos navios de projeto, sob auxílio de rebocadores (quando necessário) em configuração típica. Devem ser simuladas, para os berços de interesse, atracações e desatracações, com e sem giro, sob ação das condições ambientais verificadas em cada área, em intensidades típicas e críticas.</t>
  </si>
  <si>
    <t>Simulações de manobras de navios tipo “Real time”</t>
  </si>
  <si>
    <t xml:space="preserve">A CONTRATADA deverá realizar simulações em tempo real de manobras de navegação, atracação e desatracação, considerando os navios de projeto que devem acessar cada área dos portos. As rodadas de simulação deverão ser acompanhadas por repreentantes da Autoridade Portuária, Autoridade Marítima, Praticagem, Infra S/A, Ministério, ANTAQ e outros agentes relevantes para o processo. </t>
  </si>
  <si>
    <t>Projetos</t>
  </si>
  <si>
    <t>Projeto de Dragagem</t>
  </si>
  <si>
    <t xml:space="preserve">Definir o gabarito geométrico ótimo (larguras, diãmetros de bacia de evolução e profundidades) para os acessos aquaviários da Portos RS, estimar o volume a dragar e verificar as métricas de produtividade para os equipamentos de dragagem. </t>
  </si>
  <si>
    <t>Projeto de Sinalização e Balizamento Náutico</t>
  </si>
  <si>
    <t xml:space="preserve">Elaborar projeto de sinalização e balizamento náutico com base no gabarito geométrico a ser implantado após a concessão. Compilar referências de mercado para os custos de manutenção dos auxílios à navegação. Avaliar as necessidades de alteração da sinalização e balizamento náutico durante a execução de obras de dragagem. </t>
  </si>
  <si>
    <t>Projeto de Remoção do Soçobrado Apollo I</t>
  </si>
  <si>
    <t xml:space="preserve">Avaliar eventual importância histórica da embarcação e estabelecer metodologia de remoção do casco soçobrado. </t>
  </si>
  <si>
    <t>Projeto de Revitalização dos Molhes de Rio Grande</t>
  </si>
  <si>
    <t xml:space="preserve">Investigar as eventuais necessidades de melhoria das condições de segurança das estruturas de abrigo. </t>
  </si>
  <si>
    <t>Levantamento de custos para atendimento das condicionantes ambientais</t>
  </si>
  <si>
    <t xml:space="preserve">Compilar referências de mercado para o estabelecimento dos custos de licenciamento e atendimento das condicionantes ambientais. </t>
  </si>
  <si>
    <t>Levantamento Batimétrico (Monofeixe ou Multifeixe) dos Bancos Sedimentares</t>
  </si>
  <si>
    <t>Estudo de Ondas no Canal Externo (Sinergia com o SIMCosta?)</t>
  </si>
  <si>
    <t>Refinar as estimativas do Balanço Sedimentar</t>
  </si>
  <si>
    <t>Desenvolvimento de modelagem economico financeira para o suporte a estruturação de projetos de Parcerias Público-Privadas no setor portuário, capaz de avaliar vários cenários dentro das metodologias de Value For Money e Análise de Custo-Benefício, e desenvolvimento de estudo de caso.</t>
  </si>
  <si>
    <t>Modelagem economico financeira (Value for Money e Análise de Custo-Benefício)</t>
  </si>
  <si>
    <t>Item</t>
  </si>
  <si>
    <t>Descrição</t>
  </si>
  <si>
    <t>Quantidade</t>
  </si>
  <si>
    <t>Unidade</t>
  </si>
  <si>
    <t>Valor Total</t>
  </si>
  <si>
    <t>Pergunta / Nota</t>
  </si>
  <si>
    <t>Assunto</t>
  </si>
  <si>
    <t>Batimetria Lagoa dos Patos 2023</t>
  </si>
  <si>
    <t>Haverá prorrogação do contrato 1252?</t>
  </si>
  <si>
    <t>A Portos RS poderia disponibilizar o Termo de referência do Contrato Emergencial 1252/2023? É batimetria Monofeixe? Processo Administrativo nº: 23/9301-0000538-6 e Relatório de Estiagem</t>
  </si>
  <si>
    <t>Balanço Sedimentar</t>
  </si>
  <si>
    <t>Disponibilizar Contrato 949/2018, aditivos, termo de referência e protudos (Objeto: Levantamento geodésicos, topográficos e batimétricos para monitoramento ambiental e acompanhamento de alterações
morfológicas na orla adjacente ao Porto Organizado do Rio Grande Contrato 949/2018 Preço: 96.800)</t>
  </si>
  <si>
    <t>Relatório do Contrato 940 Apresentação de alternativas locacionais para o descarte de sedimentos oriundos das dragagens contrato 940</t>
  </si>
  <si>
    <t>Área de Despejo</t>
  </si>
  <si>
    <t>Observações</t>
  </si>
  <si>
    <t>OK Pasta [Portos RS - Contratos em Geral]</t>
  </si>
  <si>
    <t>Atendido por 2 contratos: 
- Contrato Emergencial 1252/2023 (Empresa Superfície)
- Contrato 1206/2022 (Empresa Spectrah)</t>
  </si>
  <si>
    <t>CIRCULARIZAÇÃO DE PREÇOS</t>
  </si>
  <si>
    <t>Contratante</t>
  </si>
  <si>
    <t>Documento de Referência</t>
  </si>
  <si>
    <t>Objeto</t>
  </si>
  <si>
    <t>Valor Referencial</t>
  </si>
  <si>
    <t>Data Referencial</t>
  </si>
  <si>
    <t>Valor Mensal</t>
  </si>
  <si>
    <t>Área (m²)</t>
  </si>
  <si>
    <t>APPA</t>
  </si>
  <si>
    <t>Contratado 003/2020 
(TR ESTIMADO)</t>
  </si>
  <si>
    <t>Contratação de empresa especializada para a realização de levantamentos hidrográficos, topográficos, geotécnicos e elaboração de Projeto Básico e Executivo, visando a derrocagem submarina do maciço rochoso da pedra da Palangana e dragagem das áreas sob administração da APPA, que abrangem desde o canal de acesso (Área Alfa) até a Área Echo, em Antonina</t>
  </si>
  <si>
    <t>Contratado 003/2020</t>
  </si>
  <si>
    <t>SEP</t>
  </si>
  <si>
    <t>Contrato nº 26/2015</t>
  </si>
  <si>
    <t>Projeto Básico e Executivo de Dragagem e Sinalização e Execução das Obras de Dragagem de Aprofundamento por Resultado no Porto de Paranaguá/PR</t>
  </si>
  <si>
    <t>Contrato nº 24/2015</t>
  </si>
  <si>
    <t>Projeto Básico e Executivo de Dragagem e Sinalização e Execução das Obras de Dragagem de Aprofundamento por Resultado no Porto do Rio Grande/RS</t>
  </si>
  <si>
    <t>CDRJ</t>
  </si>
  <si>
    <t>Edital RCE 02/2023</t>
  </si>
  <si>
    <t>EPL</t>
  </si>
  <si>
    <t>CT 11/2020</t>
  </si>
  <si>
    <t>Edital RCE 03/2023</t>
  </si>
  <si>
    <t xml:space="preserve">O objeto do presente instrumento é a contratação de empresa especializada na prestação de
serviços necessários à realização de estudos para subsidiar a EPL na desestatização do Porto Organizado de Itajaí (“PORTO”), localizado no município de Itajaí, no Estado de Santa Catarina - SC, conforme condições e especificações constantes no PROJETO BÁSICO. </t>
  </si>
  <si>
    <t>Execução dos Programas de Monitoramento Ambiental</t>
  </si>
  <si>
    <t>CRONOGRAMA A DESESTATIZAÇÃO DO ACESSO AQUAVIÁRIO DA PORTOS RS</t>
  </si>
  <si>
    <t>Prazo</t>
  </si>
  <si>
    <t>(meses)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</si>
  <si>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</si>
  <si>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</si>
  <si>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</si>
  <si>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</si>
  <si>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</si>
  <si>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</si>
  <si>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</si>
  <si>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</si>
  <si>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</si>
  <si>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</si>
  <si>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</si>
  <si>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</si>
  <si>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Contratação da Coleta de Dados e Insumos</t>
  </si>
  <si>
    <t>1.1</t>
  </si>
  <si>
    <t>Contratação de Projetos e Rodadas de Simulação de Manobra</t>
  </si>
  <si>
    <t>1.2</t>
  </si>
  <si>
    <t>Discussões técnicas entre INFRA S/A e Portos RS para definição de escopo</t>
  </si>
  <si>
    <t>Elaboração de Projetos, Estudos e Simulações de Manobra</t>
  </si>
  <si>
    <t>2.1</t>
  </si>
  <si>
    <t>Levantamentos de Campo</t>
  </si>
  <si>
    <t>3.2</t>
  </si>
  <si>
    <t>Estudos e Projetos</t>
  </si>
  <si>
    <t>3.3</t>
  </si>
  <si>
    <t>Consolidação de Relatórios</t>
  </si>
  <si>
    <t>Elaboração do EVTEA (Peças Técnicas e Jurídicas)</t>
  </si>
  <si>
    <t>3.1</t>
  </si>
  <si>
    <t>Estudo de Apresentação (Seção A)</t>
  </si>
  <si>
    <t>Estudo de Mercado (Seção B)</t>
  </si>
  <si>
    <t>Estudo de Engenharia (Seção C)</t>
  </si>
  <si>
    <t>3.4</t>
  </si>
  <si>
    <t>Estudo Operacional (Seção D)</t>
  </si>
  <si>
    <t>3.5</t>
  </si>
  <si>
    <t>Estudo Econômico-Financeiro (Seção E)</t>
  </si>
  <si>
    <t>3.6</t>
  </si>
  <si>
    <t>Estudo Ambiental (Seção F)</t>
  </si>
  <si>
    <t>3.7</t>
  </si>
  <si>
    <t>Minutas de Edital e Contrato</t>
  </si>
  <si>
    <t>Audiência Pública EVTEA</t>
  </si>
  <si>
    <t>4.1</t>
  </si>
  <si>
    <t>Ato Justificatório do Ministério de Portos e Aeroportos (MPOR)</t>
  </si>
  <si>
    <t>4.2</t>
  </si>
  <si>
    <t>Período de recepção de contribuições ao EVTEA</t>
  </si>
  <si>
    <t>4.3</t>
  </si>
  <si>
    <t>Revisão Pós-Audiência Pública</t>
  </si>
  <si>
    <t>Auditoria</t>
  </si>
  <si>
    <t>5.1</t>
  </si>
  <si>
    <t>Análise do estudo pelo Tribunal de Contas da União (TCU)</t>
  </si>
  <si>
    <t>5.2</t>
  </si>
  <si>
    <t>Publicação de Acórdão</t>
  </si>
  <si>
    <t>5.3</t>
  </si>
  <si>
    <t>Revisão Pós-TCU</t>
  </si>
  <si>
    <t>Leilão</t>
  </si>
  <si>
    <t>6.1</t>
  </si>
  <si>
    <t>Abertura de edital</t>
  </si>
  <si>
    <t>6.2</t>
  </si>
  <si>
    <t>Leilão na B3</t>
  </si>
  <si>
    <t>#</t>
  </si>
  <si>
    <t>Total</t>
  </si>
  <si>
    <t>Etapas Administrativas (INFRA S/A)</t>
  </si>
  <si>
    <t>Etapas Técnicas (INFRA S/A)</t>
  </si>
  <si>
    <t>Etapas Externas</t>
  </si>
  <si>
    <t>Auditoria do TCU</t>
  </si>
  <si>
    <t>CRONOGRAMA DA COLETA DE INSUMOS DA INFRA S/A</t>
  </si>
  <si>
    <t>Contratação de empresa especializada para elaboração de estudos e projetos que subsidiem o processo de desestatização dos acessos aquaviários da Portos RS, Estado do Rio Grande do Sul/RS</t>
  </si>
  <si>
    <t>Referência</t>
  </si>
  <si>
    <t>Coordenação Geral</t>
  </si>
  <si>
    <t>Levantamento sísmico de baixa frequência</t>
  </si>
  <si>
    <t>Levantamento sonográfico de alta resolução</t>
  </si>
  <si>
    <t>Sondagens Vibracore</t>
  </si>
  <si>
    <t>Análise química de sedimentos</t>
  </si>
  <si>
    <t xml:space="preserve">Sondagens mistas </t>
  </si>
  <si>
    <t>Sondagens rotativas</t>
  </si>
  <si>
    <t>Estudo das condições meteoceanográficas</t>
  </si>
  <si>
    <t>Estudo dos navios de projeto</t>
  </si>
  <si>
    <t>Estudos de amarração</t>
  </si>
  <si>
    <t>Simulações de manobra "Fast-Time"</t>
  </si>
  <si>
    <t>Simulações de manobra "Real-Time"</t>
  </si>
  <si>
    <t>Valor de Referência</t>
  </si>
  <si>
    <t>Estudo de dimensionamento (calado seguro)</t>
  </si>
  <si>
    <t>km²</t>
  </si>
  <si>
    <t>Consultoria</t>
  </si>
  <si>
    <t>Estudo Value for Money</t>
  </si>
  <si>
    <t>mês</t>
  </si>
  <si>
    <t>Valor Unitário Atualizado</t>
  </si>
  <si>
    <t>unid</t>
  </si>
  <si>
    <t>Rio Grande</t>
  </si>
  <si>
    <t>Lagoa dos Patos</t>
  </si>
  <si>
    <t>Pelotas</t>
  </si>
  <si>
    <t>APERFEICOAMENTOS
- Prevê dragagem de manutenção?</t>
  </si>
  <si>
    <t>APERFEICOAMENTO
- Canal da Feitoria
- Canal de Porto Alegre (Guaíba)</t>
  </si>
  <si>
    <t>APERFEICOAMENTOS 
- Bacia de Evolução TECON
- Áreas de espera
- Degrau na entrada dos Molhes
- Revitalização dos Molhes?
- Soçobrado Apollo I?
- Dragagem de aprofundamento Y</t>
  </si>
  <si>
    <t>Portos RS está fazendo monitoramento topográfico dos molhes</t>
  </si>
  <si>
    <t>Apollo I</t>
  </si>
  <si>
    <t>DWG do Canal da Feitoria + Guaíba</t>
  </si>
  <si>
    <t>Batimetria de todos os canais da Lagoa dos Patos e Guaíba</t>
  </si>
  <si>
    <t>Plano Conceitual de Dragagem (próximos 5 anos)</t>
  </si>
  <si>
    <t>Estudo FURG Lama no Cassino. Solução é aprofundar o canal para que a velocidade da corrente carregue o sedimento para mar aberto</t>
  </si>
  <si>
    <t>Embarcações</t>
  </si>
  <si>
    <t>Condição de Carga</t>
  </si>
  <si>
    <t>Condições Ambientais</t>
  </si>
  <si>
    <t>Acesso Aquaviário a Rio Grande</t>
  </si>
  <si>
    <t>Canal da Feitoria</t>
  </si>
  <si>
    <t>Itapoã a Porto Alegre</t>
  </si>
  <si>
    <t>TECON Rio Grande</t>
  </si>
  <si>
    <t>Porto de Pelotas</t>
  </si>
  <si>
    <t>TOTAL</t>
  </si>
  <si>
    <t>SIMULAÇÕES FAST-TIME</t>
  </si>
  <si>
    <t>SIMULAÇÕES REAL-TIME</t>
  </si>
  <si>
    <t>vb</t>
  </si>
  <si>
    <t>Levantamento topobatimétrico da Área de Bota-Fora</t>
  </si>
  <si>
    <t>Análise química de amostras de sedimento considerando a toxicidade de tributilestanho</t>
  </si>
  <si>
    <t>Estudo para Uso Benéfico do Material Dragado</t>
  </si>
  <si>
    <t>Estudo para reforma estrutural dos molhes</t>
  </si>
  <si>
    <t>Bacia de Evolução TECON</t>
  </si>
  <si>
    <t>Comprimento (km)</t>
  </si>
  <si>
    <t>Largura (km)</t>
  </si>
  <si>
    <t>Área (km²)</t>
  </si>
  <si>
    <t>Área de Espera 1</t>
  </si>
  <si>
    <t>Área de Espera 2</t>
  </si>
  <si>
    <t>Área de Espera 3</t>
  </si>
  <si>
    <t>Área de Espera 4</t>
  </si>
  <si>
    <t>Área de Espera 5</t>
  </si>
  <si>
    <t>São José do Norte</t>
  </si>
  <si>
    <t>Canal da Setia</t>
  </si>
  <si>
    <t>Acesso a Pelotas</t>
  </si>
  <si>
    <t>Canal do Itapuã</t>
  </si>
  <si>
    <t>P8066</t>
  </si>
  <si>
    <t>P8061</t>
  </si>
  <si>
    <t>P8113</t>
  </si>
  <si>
    <t>P8118</t>
  </si>
  <si>
    <t>Projeto Básico e Executivo de Dragagem e Projeto de Sinalização e Balizamento Náutico para os Acessos Aquaviários ao Porto do Rio de Janeiro/RJ</t>
  </si>
  <si>
    <t>Prazo de Execução (meses)</t>
  </si>
  <si>
    <t>SUAPE</t>
  </si>
  <si>
    <t>Elaboração do diagnóstico e projeto básico de engenharia para recuperação de pontos críticos no molhe de abrigo do Porto de Suape</t>
  </si>
  <si>
    <t>Contrato 68/2019</t>
  </si>
  <si>
    <t>Contratada</t>
  </si>
  <si>
    <t>Não se aplica</t>
  </si>
  <si>
    <t>Consórcio Exe-Belov</t>
  </si>
  <si>
    <t>DTA Engenharia</t>
  </si>
  <si>
    <t>Consórcio Jan de Nul - Deme</t>
  </si>
  <si>
    <t>Consórcio Demarest - Exe - Mind</t>
  </si>
  <si>
    <t>Infinito Engenharia</t>
  </si>
  <si>
    <t>Valor jan/2023 (IPCA)</t>
  </si>
  <si>
    <t>Elaboração de estudo hidrodinâmico e de sedimentação na área que envolve o
canal de acesso, bacia de manobras e berços de atracação do Porto de Vitória-ES</t>
  </si>
  <si>
    <t>TERRA CONSULTORIA EM MEIO AMBIENTE</t>
  </si>
  <si>
    <t>Contrato 22/2021</t>
  </si>
  <si>
    <t>CODESA</t>
  </si>
  <si>
    <t>DISPENSA DE LICITAÇÃO N.º 045/2021/CPL/PROCESSO N° 069/2021/CPL</t>
  </si>
  <si>
    <t>Contratação de empresa especializada para elaboração de simulação real time de manobras de navios da classe capesize no canal externo de acesso ao porto de suape e atracação/desatracação no futuro terminal de minérios na ilha de cocaia, além de adaptações e detecção do navio máximo para proposta de deslocamento do projeto de canal de acesso ao norte, sem dragagem e de navios com até 225 metros de comprimento e 32 metros de largura no novo canal 1 de acesso ao cluster naval</t>
  </si>
  <si>
    <t xml:space="preserve">FDTE – FUNDAÇÃO PARA O DESENVOLVIMENTO TECNOLÓGICO DA ENGENHARIA </t>
  </si>
  <si>
    <t>Adequação de Projeto Executivo de Dragagem Para a Cota de -15,50 M, da continuação de canal de acesso e bacia de aproximação dos CAIS 06 E 07</t>
  </si>
  <si>
    <t>Contrato 45/2018</t>
  </si>
  <si>
    <t>Projeto básico de dragagem de manutenção do porto organizado de Suape</t>
  </si>
  <si>
    <t>EICOMNOR  LTDA</t>
  </si>
  <si>
    <t>Contrato 29/2018</t>
  </si>
  <si>
    <t>ELABORAÇÃO DE ESTUDOS DE ATRACAÇÃO E AMARRAÇÃO, NO PÍER DE GRANÉIS LÍQUIDOS Nº 2-PGL-2, DE NAVIOS DAS CLASSES AFRAMAX E SUEZMAX, INCLUSIVE A CONTRABORDO (SHIP-TO-SHIP), NO PORTO EXTERNO</t>
  </si>
  <si>
    <t>FDTE – FUNDAÇÃO PARA O DESENVOLVIMENTO TECNOLÓGICO DA ENGENHARIA</t>
  </si>
  <si>
    <t>Contrato 36/2020</t>
  </si>
  <si>
    <t>SERVIÇOS DE SONAGEM À PERCUSSÃO, TIPO SPT, A SEREM EXECUTADAS NA ILHA DE COCAIA, EM SUAPE</t>
  </si>
  <si>
    <t>Contrato 42/2020</t>
  </si>
  <si>
    <t>EVOLUÇÃO ENGENHARIA CONSTRUÇÃO E ADMINISTRAÇÃO LTDA-EPP</t>
  </si>
  <si>
    <t>AHSUL</t>
  </si>
  <si>
    <t>CHD - CARTOGRAFIA, HIDROLOGIA E DIGITALIZACAO DE MAPAS</t>
  </si>
  <si>
    <t>Execução dos serviços de levantamentos hidrográficos (batimetria), acompanhamento dos serviços de dragagem, quantificação de material dragado, fornecimento e posicionamento de sinalização flutuante e de margem (balizamento), da Hidrovia do Rio Taquari.</t>
  </si>
  <si>
    <t>PREGÃO Nº 327/17-33 e Ata de Julgamento da Proposta</t>
  </si>
  <si>
    <t>Contratação de empresa de consultoria oara elaboração e atualização de Plano de Desenvolvimento e Zoneamento do Porto do Rio Grande, conforme Portaria nº 03 da SEP/PR de 07 de janeiro de 2014</t>
  </si>
  <si>
    <t>Contrato 803/2016 SUPRG</t>
  </si>
  <si>
    <t>SUPRG</t>
  </si>
  <si>
    <t>STE Serviços Técnicos de Engenharia S/A</t>
  </si>
  <si>
    <t>Elaboração de projeto de auxílio a navegação em todo o canal de acesso ao Porto de Santos, em conformidade com a NORMAN 17/DHN, de acordo com projeto geométrico para aprofundamento para -15 metros do canal de acesso, elaborado pelo INPH e implantado pela Secretaria de Portos</t>
  </si>
  <si>
    <t>CODESP</t>
  </si>
  <si>
    <t>Hidrotopo Consultoria e Projetos Ltda</t>
  </si>
  <si>
    <t>Carta Contrato DIED/166.2013</t>
  </si>
  <si>
    <t>OCEÂNICA ENGENHARIA, CONSULTORIA E PROJETOS LTDA.</t>
  </si>
  <si>
    <t>Carta Contrato DP-ED/81-A.2013</t>
  </si>
  <si>
    <t>Contratação de pessoa jurídica para a prestação dos serviços para elaboração de Projeto Executivo de Sinalização Náutica no canal de acesso ao porto de Santos, pelo prazo de execução de 2 (dois) meses e vigência de 5 (cinco) meses</t>
  </si>
  <si>
    <t>SPA</t>
  </si>
  <si>
    <t>Umi San Serviços de Apoio à Navegação e Engenharia Ltda</t>
  </si>
  <si>
    <t>Contrato SPA/44.2021</t>
  </si>
  <si>
    <t>Programas Ambientais</t>
  </si>
  <si>
    <t>Estudo Hidrodinâmico</t>
  </si>
  <si>
    <t>Estudo de Amarração</t>
  </si>
  <si>
    <t>Sondagens Geotécnicas</t>
  </si>
  <si>
    <t>Fornecimento de análise da manobrabilidade para a região do canal do Porto de Santos, através da aplicação de ferramenta de simulação em tempo real</t>
  </si>
  <si>
    <t>Estudo de Simulação Dinâmica (Arena)</t>
  </si>
  <si>
    <t>Software de Apoio (Hidrografia)</t>
  </si>
  <si>
    <t>CONTRATAÇÃO DE ESTUDOS  E LEVANTAMENTOS PRÉVIOS À DRAGAGEM DO PORTO DE BELÉM E TERMINAL PETROQUÍMICO DE MIRAMAR, COMPREENDENDO A COLETA E A CARACTERIZAÇÃO DE SEDIMENTOS, BATIMETRIA, CORRENTOMETRIA E MODELAGEM HIDRODINÂMICA</t>
  </si>
  <si>
    <t>CDP</t>
  </si>
  <si>
    <t>Edital 05/2023</t>
  </si>
  <si>
    <t>Arranjos de Rebocadores</t>
  </si>
  <si>
    <t>Estudo de Sedimentação</t>
  </si>
  <si>
    <t>Estudo sobre o Casco Soçobrado Apollo I</t>
  </si>
  <si>
    <t>Projeto Conceitual de Dragagem</t>
  </si>
  <si>
    <t>Projeto Conceitual  de Sinalização e Balizamento Náutico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</si>
  <si>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</si>
  <si>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</si>
  <si>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</si>
  <si>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</si>
  <si>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</si>
  <si>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</si>
  <si>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</si>
  <si>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</si>
  <si>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</si>
  <si>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Contrato 03/2020 (Atualizado FGV DNIT)</t>
  </si>
  <si>
    <t>Contrato PNUD - Paolo Alfredini (Atualizado IPCA)</t>
  </si>
  <si>
    <t>Pesquisa de Mercado + Contrato PNUD Pleno (Atualizado IPCA)</t>
  </si>
  <si>
    <t>Referências BNDES (Atualizado pelo IPCA)</t>
  </si>
  <si>
    <t>Contrato PNUD Pleno Relatório Prelimiar + Final (Atualizado IPCA)</t>
  </si>
  <si>
    <t>Contrato PNUD Sênior 3 meses (Atualizado IPCA)</t>
  </si>
  <si>
    <t>Contrato PNUD Sênior 1 mês (Atualizado IPCA)</t>
  </si>
  <si>
    <t>Fiscalização das obras e Execução dos Levantamentos Hidrográficos de acompanhamento</t>
  </si>
  <si>
    <t>SCPar Porto de Imbituba</t>
  </si>
  <si>
    <t>INFRAS ENGENHARIA LTDA</t>
  </si>
  <si>
    <t>CONTRATAÇÃO DE EMPRESA ESPECIALIZADA PARA A REALIZAÇÃO DE LEVANTAMENTOS GEOFÍSICO, GEOTÉCNICO E ELABORAÇÃO DE PROJETO BÁSICO VISANDO O APROFUNDAMENTO DOS BERÇOS 1 E 3 DO PORTO DE IMBITUBA, conforme Anexo I – Termo de Referência – do Edital de Pregão Eletrônicon° 026/2022.</t>
  </si>
  <si>
    <t>Batimetria
Fiscalização de Dragagem</t>
  </si>
  <si>
    <t>Projetos Molhe</t>
  </si>
  <si>
    <t>Projetos de Dragagem</t>
  </si>
  <si>
    <t>Batimetria
Manutenção de Sinalização</t>
  </si>
  <si>
    <t>Estudos
Projetos de Dragagem
Projetos de Sinalização
Sondagens Geotécnicas</t>
  </si>
  <si>
    <t>Projetos de Dragagem
Projetos de Sinalização
Sondagens Geotécnicas</t>
  </si>
  <si>
    <t>Projetos de Sinalização</t>
  </si>
  <si>
    <t>Projetos de Dragagem
Geofísica
Sondagens Geotécnicas</t>
  </si>
  <si>
    <t>SLI MEIO AMBIENTE E INFRAESTRUTURA EIRELI</t>
  </si>
  <si>
    <t>Contrato nº 072/2022</t>
  </si>
  <si>
    <t>Contrato nº 076/2021</t>
  </si>
  <si>
    <t>REALIZAÇÃO DE ESTUDO E PESQUISA SOBRE A MANOBRABILIDADE E ACESSOS NÁUTICOS NO PORTO DE IMBITUBA, conforme Anexo I – Termo de Referência – do Edital de Pregão Eletrônico n° 020/2021.</t>
  </si>
  <si>
    <t>Contratação</t>
  </si>
  <si>
    <t>Documentos preparatório da área demandante</t>
  </si>
  <si>
    <t>Conclusão dos documentos preparatórios</t>
  </si>
  <si>
    <t>Encaminhamento da DIPLAN para SUPOF</t>
  </si>
  <si>
    <t>Encaminhamento DIPLAN para SULIC</t>
  </si>
  <si>
    <t>Declaração de disponibilidade Orçamentária</t>
  </si>
  <si>
    <t>Conclusão da Análise GECCO/SULIC e envio à PROJUR</t>
  </si>
  <si>
    <t>Parecer PROJUR</t>
  </si>
  <si>
    <t>Nota Técnica da área demandante (Atendimento à PROJUR)</t>
  </si>
  <si>
    <t>Elaboração da minuta de contrato (GECCO)</t>
  </si>
  <si>
    <t>Elaboração da minuta de edital (GELIC)</t>
  </si>
  <si>
    <t>Deliberação DIREXE</t>
  </si>
  <si>
    <t>Publicação do EDITAL</t>
  </si>
  <si>
    <t>Dias</t>
  </si>
  <si>
    <t>Proposta Comercial</t>
  </si>
  <si>
    <t>Ata de Sessão</t>
  </si>
  <si>
    <t>Termo de Homologação</t>
  </si>
  <si>
    <t>Relatório de Homologação</t>
  </si>
  <si>
    <t>CRONOGRAMA DA LICITAÇÃO</t>
  </si>
  <si>
    <t>Assinatura do CONTRATO 14/2023</t>
  </si>
  <si>
    <t>Meses</t>
  </si>
  <si>
    <t>Despacho SULIC para DIPLAN</t>
  </si>
  <si>
    <t>Superintendente emite SOLICITAÇÃO DE EMPENHO</t>
  </si>
  <si>
    <t>SUROD</t>
  </si>
  <si>
    <t>RIO GRANDE</t>
  </si>
  <si>
    <t>CENÁRIO 2</t>
  </si>
  <si>
    <t>Pesquisa de Mercado</t>
  </si>
  <si>
    <t>INFRASA</t>
  </si>
  <si>
    <t>Arvut</t>
  </si>
  <si>
    <t>Caruso</t>
  </si>
  <si>
    <t>MTCN Engenharia</t>
  </si>
  <si>
    <t>Média</t>
  </si>
  <si>
    <t>Mediana</t>
  </si>
  <si>
    <t>Prestação de serviços necessários à elaboração de estudos e projetos subsidiários ao Estudo de Viabilidade Técnica Econômica e Ambiental (EVTEA) para concessão dos acessos aquaviários da Portos RS, localizados no estado do Rio Grande do Sul</t>
  </si>
  <si>
    <t>Valor Total Estimado</t>
  </si>
  <si>
    <t>ARVUT</t>
  </si>
  <si>
    <t>CARUSO</t>
  </si>
  <si>
    <t>INFRAS ENGENHARIA</t>
  </si>
  <si>
    <t>MTCN</t>
  </si>
  <si>
    <t>OCEANAUTA</t>
  </si>
  <si>
    <t>MEDIANA</t>
  </si>
  <si>
    <t>MÉDIA</t>
  </si>
  <si>
    <t>DESVIO PADRÃO</t>
  </si>
  <si>
    <t>DISTRIBUIÇÃO PERCENTUAL DOS SERVIÇOS (POR EMPRESA)</t>
  </si>
  <si>
    <t>RESULTADOS DA PESQUISA DE MERCADO</t>
  </si>
  <si>
    <t>ARGONAUTICA</t>
  </si>
  <si>
    <t>Registro CREA ou AOCEANO</t>
  </si>
  <si>
    <t>Projeto Básico de Dragagem</t>
  </si>
  <si>
    <t>Projeto Básico de Dragagem / sísmica / sonografia</t>
  </si>
  <si>
    <t>Projeto Básico de Sinalização Náutica</t>
  </si>
  <si>
    <t>Qualificação técnca da empresa</t>
  </si>
  <si>
    <t>Cód</t>
  </si>
  <si>
    <t>Valor de Tabela</t>
  </si>
  <si>
    <t>Custo Mensal</t>
  </si>
  <si>
    <t>Custo Total</t>
  </si>
  <si>
    <t>QUALIFICAÇÃO DA EQUIPE TÉCNICA PARAMÉTRICA</t>
  </si>
  <si>
    <t>ESTATÍSTICA DESCRITIVA</t>
  </si>
  <si>
    <t>Ref: Orçamento preliminar (Contrato APPA)</t>
  </si>
  <si>
    <t>PLANILHA ORÇAMENTÁRIA FINAL</t>
  </si>
  <si>
    <t>Coordenação do Projeto (Porto Alegre, Rio Grande ou Pelotas)</t>
  </si>
  <si>
    <t>Subcontratação</t>
  </si>
  <si>
    <t>Data base: junho/2023</t>
  </si>
  <si>
    <t>Participação</t>
  </si>
  <si>
    <t>Motorista</t>
  </si>
  <si>
    <t>Referências</t>
  </si>
  <si>
    <t>Engenheiro Coordenador (P8061) abr/2023 atualizado pelo IPCA</t>
  </si>
  <si>
    <t>BDI = 44,96%</t>
  </si>
  <si>
    <t>1.4</t>
  </si>
  <si>
    <t>1.3</t>
  </si>
  <si>
    <t>CRONOGRAMA FÍSICO-FINANCEIRO</t>
  </si>
  <si>
    <t>Audiência Pública</t>
  </si>
  <si>
    <t>Auditoria TCU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</si>
  <si>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</si>
  <si>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</si>
  <si>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</si>
  <si>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</si>
  <si>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</si>
  <si>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</si>
  <si>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</si>
  <si>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</si>
  <si>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</si>
  <si>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</si>
  <si>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</si>
  <si>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</si>
  <si>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mês 13</t>
  </si>
  <si>
    <t>mês 14</t>
  </si>
  <si>
    <t>mês 15</t>
  </si>
  <si>
    <t>mês 16</t>
  </si>
  <si>
    <t>mês 17</t>
  </si>
  <si>
    <t>mês 18</t>
  </si>
  <si>
    <t>mês 19</t>
  </si>
  <si>
    <t>mês 20</t>
  </si>
  <si>
    <t>mês 21</t>
  </si>
  <si>
    <t>mês 22</t>
  </si>
  <si>
    <t>mês 23</t>
  </si>
  <si>
    <t>mês 24</t>
  </si>
  <si>
    <t>Elaboração de estudos</t>
  </si>
  <si>
    <t>Elaboração de EVTEA pela Infra S/A</t>
  </si>
  <si>
    <t xml:space="preserve">Encerramento </t>
  </si>
  <si>
    <t>Meses com previsão de medições</t>
  </si>
  <si>
    <t>CENÁRIO 1</t>
  </si>
  <si>
    <t>Valor Unitário</t>
  </si>
  <si>
    <t>Veículo de Apoio (custo produtivo)</t>
  </si>
  <si>
    <t>Veículo de Apoio (custo improdutivo)</t>
  </si>
  <si>
    <t>Estudo de Simulação Dinâmica de Capacidade</t>
  </si>
  <si>
    <t>Média-DP</t>
  </si>
  <si>
    <t>Média+DP</t>
  </si>
  <si>
    <t>Mediana Tratada</t>
  </si>
  <si>
    <t>Média Tratada</t>
  </si>
  <si>
    <t>Pesquisa de Mercado INFRA S/A (Média Tratada)</t>
  </si>
  <si>
    <t>Veículo leve - 53kW (E8889) Custo Produtivo atualizado IPCA</t>
  </si>
  <si>
    <t>Proposta Comercial de Único Fornecedor no Brasil jul/2023</t>
  </si>
  <si>
    <t>Motorista de veículo leve (P8113) atualizado IPCA</t>
  </si>
  <si>
    <t>Pelotas / Porto Alegre</t>
  </si>
  <si>
    <t>OBJETIVOS DA CONSULTORIA</t>
  </si>
  <si>
    <t>QUANTITATIVO DE SIMULAÇÕES</t>
  </si>
  <si>
    <t>ESTIMATIVA PRELIMINAR (PARA PESQUISA DE MERCADO)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</si>
  <si>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</si>
  <si>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</si>
  <si>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</si>
  <si>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</si>
  <si>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</si>
  <si>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</si>
  <si>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</si>
  <si>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</si>
  <si>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</si>
  <si>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</si>
  <si>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</si>
  <si>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</si>
  <si>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Mês 13</t>
  </si>
  <si>
    <t>Mês 14</t>
  </si>
  <si>
    <t>Mês 15</t>
  </si>
  <si>
    <t>Mês 16</t>
  </si>
  <si>
    <t>Mês 17</t>
  </si>
  <si>
    <t>Mês 18</t>
  </si>
  <si>
    <t>Mês 19</t>
  </si>
  <si>
    <t>Mês 20</t>
  </si>
  <si>
    <t>Mês 21</t>
  </si>
  <si>
    <t>Mês 22</t>
  </si>
  <si>
    <t>Mês 23</t>
  </si>
  <si>
    <t>EXECUTADO</t>
  </si>
  <si>
    <t>DIAS</t>
  </si>
  <si>
    <t>Ref: Processo 50050.000859/2023-04 - Contrato 14/2023</t>
  </si>
  <si>
    <t>Assinatura do CONTRATO</t>
  </si>
  <si>
    <t>COMPOSIÇÃO DE EQUIPE DE APOIO</t>
  </si>
  <si>
    <t>Motorista de veículo leve (P8113)</t>
  </si>
  <si>
    <t>E8889</t>
  </si>
  <si>
    <t>SICRO+A2</t>
  </si>
  <si>
    <t>Pesquisa</t>
  </si>
  <si>
    <t>TESTE</t>
  </si>
  <si>
    <t>R$/mês</t>
  </si>
  <si>
    <t>R$/dia</t>
  </si>
  <si>
    <t>CIRCULARIZAÇÃO VEÍCULO</t>
  </si>
  <si>
    <t>Valores</t>
  </si>
  <si>
    <t>Horas</t>
  </si>
  <si>
    <t>Horas de Veículo</t>
  </si>
  <si>
    <t>Horas Mensais</t>
  </si>
  <si>
    <t>BDI</t>
  </si>
  <si>
    <t>Preço Mensal</t>
  </si>
  <si>
    <t>Veículo leve - 53kW (E8889) Custo atualizado IPCA</t>
  </si>
  <si>
    <t>Veículo de Apoio</t>
  </si>
  <si>
    <t>Mês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</si>
</sst>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%"/>
    <numFmt numFmtId="165" formatCode="[$-416]dd\-mmm\-yy;@"/>
    <numFmt numFmtId="166" formatCode="_-* #,##0_-;\-* #,##0_-;_-* &quot;-&quot;??_-;_-@_-"/>
    <numFmt numFmtId="167" formatCode="_-* #,##0.000_-;\-* #,##0.000_-;_-* &quot;-&quot;??_-;_-@_-"/>
    <numFmt numFmtId="168" formatCode="_-* #,##0.0000_-;\-* #,##0.0000_-;_-* &quot;-&quot;??_-;_-@_-"/>
    <numFmt numFmtId="169" formatCode="_-* #,##0.000_-;\-* #,##0.000_-;_-* &quot;-&quot;?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0"/>
      <name val="Arial"/>
      <family val="2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4"/>
      <color rgb="FFFF0000"/>
      <name val="Calibri"/>
      <family val="2"/>
      <scheme val="minor"/>
    </font>
    <font>
      <sz val="14"/>
      <name val="Arial"/>
      <family val="2"/>
    </font>
    <font>
      <b/>
      <sz val="12"/>
      <color rgb="FFFF0000"/>
      <name val="Arial"/>
      <family val="2"/>
    </font>
    <font>
      <i/>
      <sz val="14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92D05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0" fontId="19" fillId="0" borderId="0"/>
    <xf numFmtId="43" fontId="20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</cellStyleXfs>
  <cellXfs count="236">
    <xf numFmtId="0" fontId="0" fillId="0" borderId="0" xfId="0"/>
    <xf numFmtId="0" fontId="1" fillId="0" borderId="0" xfId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1" fillId="0" borderId="0" xfId="1" applyAlignment="1">
      <alignment wrapText="1"/>
    </xf>
    <xf numFmtId="0" fontId="1" fillId="0" borderId="0" xfId="1"/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0" fontId="1" fillId="0" borderId="1" xfId="1" applyBorder="1" applyAlignment="1">
      <alignment vertical="center" wrapText="1"/>
    </xf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3" fillId="0" borderId="0" xfId="4" applyFont="1"/>
    <xf numFmtId="0" fontId="1" fillId="0" borderId="0" xfId="4"/>
    <xf numFmtId="43" fontId="0" fillId="0" borderId="0" xfId="5" applyFont="1"/>
    <xf numFmtId="43" fontId="0" fillId="0" borderId="0" xfId="5" applyFont="1" applyAlignment="1">
      <alignment vertical="center"/>
    </xf>
    <xf numFmtId="0" fontId="1" fillId="0" borderId="0" xfId="4" applyAlignment="1">
      <alignment vertical="center"/>
    </xf>
    <xf numFmtId="0" fontId="2" fillId="0" borderId="0" xfId="4" applyFont="1" applyAlignment="1">
      <alignment vertical="center" wrapText="1"/>
    </xf>
    <xf numFmtId="0" fontId="8" fillId="3" borderId="0" xfId="6" applyFont="1" applyFill="1" applyAlignment="1">
      <alignment horizontal="center" vertical="center"/>
    </xf>
    <xf numFmtId="0" fontId="9" fillId="3" borderId="0" xfId="6" applyFont="1" applyFill="1" applyAlignment="1">
      <alignment horizontal="left" vertical="center"/>
    </xf>
    <xf numFmtId="0" fontId="8" fillId="3" borderId="0" xfId="6" applyFont="1" applyFill="1" applyAlignment="1">
      <alignment vertical="center"/>
    </xf>
    <xf numFmtId="0" fontId="7" fillId="3" borderId="0" xfId="6" applyFill="1" applyAlignment="1">
      <alignment vertical="center"/>
    </xf>
    <xf numFmtId="0" fontId="7" fillId="0" borderId="0" xfId="6"/>
    <xf numFmtId="0" fontId="10" fillId="3" borderId="2" xfId="6" applyFont="1" applyFill="1" applyBorder="1" applyAlignment="1">
      <alignment horizontal="center" vertical="center"/>
    </xf>
    <xf numFmtId="0" fontId="10" fillId="3" borderId="7" xfId="6" applyFont="1" applyFill="1" applyBorder="1" applyAlignment="1">
      <alignment horizontal="center" vertical="center"/>
    </xf>
    <xf numFmtId="0" fontId="8" fillId="3" borderId="7" xfId="6" applyFont="1" applyFill="1" applyBorder="1" applyAlignment="1">
      <alignment horizontal="center" vertical="center"/>
    </xf>
    <xf numFmtId="0" fontId="13" fillId="3" borderId="8" xfId="6" applyFont="1" applyFill="1" applyBorder="1" applyAlignment="1">
      <alignment horizontal="center" vertical="center"/>
    </xf>
    <xf numFmtId="0" fontId="13" fillId="3" borderId="3" xfId="6" applyFont="1" applyFill="1" applyBorder="1" applyAlignment="1">
      <alignment horizontal="center" vertical="center"/>
    </xf>
    <xf numFmtId="0" fontId="13" fillId="3" borderId="9" xfId="6" applyFont="1" applyFill="1" applyBorder="1" applyAlignment="1">
      <alignment horizontal="center" vertical="center"/>
    </xf>
    <xf numFmtId="0" fontId="10" fillId="3" borderId="10" xfId="6" applyFont="1" applyFill="1" applyBorder="1" applyAlignment="1">
      <alignment horizontal="center" vertical="center"/>
    </xf>
    <xf numFmtId="0" fontId="11" fillId="3" borderId="10" xfId="6" applyFont="1" applyFill="1" applyBorder="1" applyAlignment="1">
      <alignment horizontal="center" vertical="center"/>
    </xf>
    <xf numFmtId="0" fontId="8" fillId="3" borderId="2" xfId="6" applyFont="1" applyFill="1" applyBorder="1" applyAlignment="1">
      <alignment horizontal="center" vertical="center"/>
    </xf>
    <xf numFmtId="0" fontId="7" fillId="3" borderId="4" xfId="6" applyFill="1" applyBorder="1" applyAlignment="1">
      <alignment horizontal="center" vertical="center"/>
    </xf>
    <xf numFmtId="0" fontId="7" fillId="3" borderId="5" xfId="6" applyFill="1" applyBorder="1" applyAlignment="1">
      <alignment horizontal="center" vertical="center"/>
    </xf>
    <xf numFmtId="0" fontId="7" fillId="3" borderId="6" xfId="6" applyFill="1" applyBorder="1" applyAlignment="1">
      <alignment horizontal="center" vertical="center"/>
    </xf>
    <xf numFmtId="0" fontId="7" fillId="3" borderId="5" xfId="6" applyFill="1" applyBorder="1" applyAlignment="1">
      <alignment vertical="center"/>
    </xf>
    <xf numFmtId="17" fontId="7" fillId="3" borderId="11" xfId="6" applyNumberFormat="1" applyFill="1" applyBorder="1" applyAlignment="1">
      <alignment horizontal="center" vertical="center"/>
    </xf>
    <xf numFmtId="0" fontId="7" fillId="3" borderId="0" xfId="6" applyFill="1" applyAlignment="1">
      <alignment horizontal="center" vertical="center"/>
    </xf>
    <xf numFmtId="0" fontId="7" fillId="3" borderId="12" xfId="6" applyFill="1" applyBorder="1" applyAlignment="1">
      <alignment horizontal="center" vertical="center"/>
    </xf>
    <xf numFmtId="0" fontId="11" fillId="3" borderId="10" xfId="6" applyFont="1" applyFill="1" applyBorder="1" applyAlignment="1">
      <alignment vertical="center"/>
    </xf>
    <xf numFmtId="0" fontId="7" fillId="3" borderId="11" xfId="6" applyFill="1" applyBorder="1" applyAlignment="1">
      <alignment vertical="center"/>
    </xf>
    <xf numFmtId="0" fontId="7" fillId="3" borderId="12" xfId="6" applyFill="1" applyBorder="1" applyAlignment="1">
      <alignment vertical="center"/>
    </xf>
    <xf numFmtId="17" fontId="7" fillId="3" borderId="0" xfId="6" applyNumberFormat="1" applyFill="1" applyAlignment="1">
      <alignment horizontal="center" vertical="center"/>
    </xf>
    <xf numFmtId="0" fontId="8" fillId="3" borderId="10" xfId="6" applyFont="1" applyFill="1" applyBorder="1" applyAlignment="1">
      <alignment horizontal="center" vertical="center"/>
    </xf>
    <xf numFmtId="0" fontId="14" fillId="3" borderId="10" xfId="6" applyFont="1" applyFill="1" applyBorder="1" applyAlignment="1">
      <alignment vertical="center"/>
    </xf>
    <xf numFmtId="0" fontId="5" fillId="4" borderId="1" xfId="6" applyFont="1" applyFill="1" applyBorder="1" applyAlignment="1">
      <alignment horizontal="center" vertical="center"/>
    </xf>
    <xf numFmtId="0" fontId="5" fillId="5" borderId="1" xfId="6" applyFont="1" applyFill="1" applyBorder="1" applyAlignment="1">
      <alignment horizontal="center" vertical="center"/>
    </xf>
    <xf numFmtId="0" fontId="2" fillId="3" borderId="0" xfId="6" applyFont="1" applyFill="1" applyAlignment="1">
      <alignment vertical="center"/>
    </xf>
    <xf numFmtId="0" fontId="2" fillId="3" borderId="12" xfId="6" applyFont="1" applyFill="1" applyBorder="1" applyAlignment="1">
      <alignment vertical="center"/>
    </xf>
    <xf numFmtId="0" fontId="8" fillId="6" borderId="1" xfId="6" applyFont="1" applyFill="1" applyBorder="1" applyAlignment="1">
      <alignment horizontal="center" vertical="center"/>
    </xf>
    <xf numFmtId="0" fontId="7" fillId="7" borderId="1" xfId="6" applyFill="1" applyBorder="1" applyAlignment="1">
      <alignment vertical="center"/>
    </xf>
    <xf numFmtId="0" fontId="15" fillId="3" borderId="0" xfId="6" applyFont="1" applyFill="1" applyAlignment="1">
      <alignment horizontal="right" vertical="center"/>
    </xf>
    <xf numFmtId="0" fontId="11" fillId="3" borderId="7" xfId="6" applyFont="1" applyFill="1" applyBorder="1" applyAlignment="1">
      <alignment vertical="center"/>
    </xf>
    <xf numFmtId="0" fontId="2" fillId="3" borderId="13" xfId="6" applyFont="1" applyFill="1" applyBorder="1" applyAlignment="1">
      <alignment vertical="center"/>
    </xf>
    <xf numFmtId="0" fontId="2" fillId="3" borderId="14" xfId="6" applyFont="1" applyFill="1" applyBorder="1" applyAlignment="1">
      <alignment vertical="center"/>
    </xf>
    <xf numFmtId="0" fontId="2" fillId="3" borderId="15" xfId="6" applyFont="1" applyFill="1" applyBorder="1" applyAlignment="1">
      <alignment vertical="center"/>
    </xf>
    <xf numFmtId="0" fontId="7" fillId="3" borderId="14" xfId="6" applyFill="1" applyBorder="1" applyAlignment="1">
      <alignment vertical="center"/>
    </xf>
    <xf numFmtId="17" fontId="7" fillId="3" borderId="14" xfId="6" applyNumberFormat="1" applyFill="1" applyBorder="1" applyAlignment="1">
      <alignment horizontal="center" vertical="center"/>
    </xf>
    <xf numFmtId="0" fontId="14" fillId="3" borderId="0" xfId="6" applyFont="1" applyFill="1" applyAlignment="1">
      <alignment vertical="center"/>
    </xf>
    <xf numFmtId="0" fontId="2" fillId="0" borderId="0" xfId="0" applyFont="1"/>
    <xf numFmtId="0" fontId="12" fillId="0" borderId="0" xfId="0" applyFont="1"/>
    <xf numFmtId="4" fontId="0" fillId="0" borderId="0" xfId="0" applyNumberFormat="1"/>
    <xf numFmtId="43" fontId="0" fillId="0" borderId="0" xfId="2" applyFont="1"/>
    <xf numFmtId="4" fontId="17" fillId="0" borderId="0" xfId="0" applyNumberFormat="1" applyFont="1" applyAlignment="1">
      <alignment vertical="center"/>
    </xf>
    <xf numFmtId="17" fontId="0" fillId="0" borderId="0" xfId="0" applyNumberFormat="1"/>
    <xf numFmtId="43" fontId="0" fillId="0" borderId="0" xfId="0" applyNumberFormat="1"/>
    <xf numFmtId="164" fontId="0" fillId="0" borderId="0" xfId="3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/>
    <xf numFmtId="0" fontId="16" fillId="0" borderId="0" xfId="0" applyFont="1"/>
    <xf numFmtId="43" fontId="2" fillId="0" borderId="0" xfId="0" applyNumberFormat="1" applyFont="1"/>
    <xf numFmtId="0" fontId="7" fillId="3" borderId="4" xfId="6" applyFill="1" applyBorder="1" applyAlignment="1">
      <alignment vertical="center"/>
    </xf>
    <xf numFmtId="0" fontId="7" fillId="3" borderId="6" xfId="6" applyFill="1" applyBorder="1" applyAlignment="1">
      <alignment vertical="center"/>
    </xf>
    <xf numFmtId="0" fontId="7" fillId="9" borderId="0" xfId="6" applyFill="1" applyAlignment="1">
      <alignment vertical="center"/>
    </xf>
    <xf numFmtId="0" fontId="7" fillId="8" borderId="0" xfId="6" applyFill="1" applyAlignment="1">
      <alignment vertical="center"/>
    </xf>
    <xf numFmtId="0" fontId="7" fillId="10" borderId="0" xfId="6" applyFill="1" applyAlignment="1">
      <alignment vertical="center"/>
    </xf>
    <xf numFmtId="0" fontId="7" fillId="11" borderId="0" xfId="6" applyFill="1" applyAlignment="1">
      <alignment vertical="center"/>
    </xf>
    <xf numFmtId="0" fontId="7" fillId="3" borderId="13" xfId="6" applyFill="1" applyBorder="1" applyAlignment="1">
      <alignment vertical="center"/>
    </xf>
    <xf numFmtId="0" fontId="7" fillId="3" borderId="15" xfId="6" applyFill="1" applyBorder="1" applyAlignment="1">
      <alignment vertical="center"/>
    </xf>
    <xf numFmtId="17" fontId="7" fillId="3" borderId="4" xfId="6" applyNumberFormat="1" applyFill="1" applyBorder="1" applyAlignment="1">
      <alignment horizontal="center" vertical="center"/>
    </xf>
    <xf numFmtId="0" fontId="1" fillId="0" borderId="0" xfId="4" applyAlignment="1">
      <alignment wrapText="1"/>
    </xf>
    <xf numFmtId="0" fontId="2" fillId="0" borderId="1" xfId="4" applyFont="1" applyBorder="1" applyAlignment="1">
      <alignment vertical="center" wrapText="1"/>
    </xf>
    <xf numFmtId="0" fontId="1" fillId="0" borderId="1" xfId="4" applyBorder="1" applyAlignment="1">
      <alignment vertical="center" wrapText="1"/>
    </xf>
    <xf numFmtId="43" fontId="0" fillId="0" borderId="1" xfId="5" applyFont="1" applyBorder="1" applyAlignment="1">
      <alignment vertical="center"/>
    </xf>
    <xf numFmtId="17" fontId="0" fillId="0" borderId="1" xfId="5" applyNumberFormat="1" applyFont="1" applyBorder="1" applyAlignment="1">
      <alignment vertical="center"/>
    </xf>
    <xf numFmtId="43" fontId="1" fillId="0" borderId="1" xfId="4" applyNumberFormat="1" applyBorder="1" applyAlignment="1">
      <alignment vertical="center"/>
    </xf>
    <xf numFmtId="0" fontId="1" fillId="0" borderId="1" xfId="4" applyBorder="1" applyAlignment="1">
      <alignment vertical="center"/>
    </xf>
    <xf numFmtId="4" fontId="1" fillId="0" borderId="1" xfId="4" applyNumberFormat="1" applyBorder="1" applyAlignment="1">
      <alignment vertical="center"/>
    </xf>
    <xf numFmtId="0" fontId="8" fillId="3" borderId="4" xfId="6" applyFont="1" applyFill="1" applyBorder="1" applyAlignment="1">
      <alignment horizontal="center" vertical="center"/>
    </xf>
    <xf numFmtId="0" fontId="8" fillId="3" borderId="11" xfId="6" applyFont="1" applyFill="1" applyBorder="1" applyAlignment="1">
      <alignment horizontal="center" vertical="center"/>
    </xf>
    <xf numFmtId="0" fontId="10" fillId="3" borderId="13" xfId="6" applyFont="1" applyFill="1" applyBorder="1" applyAlignment="1">
      <alignment horizontal="center" vertical="center"/>
    </xf>
    <xf numFmtId="0" fontId="13" fillId="3" borderId="5" xfId="6" applyFont="1" applyFill="1" applyBorder="1" applyAlignment="1">
      <alignment horizontal="center" vertical="center"/>
    </xf>
    <xf numFmtId="0" fontId="13" fillId="3" borderId="6" xfId="6" applyFont="1" applyFill="1" applyBorder="1" applyAlignment="1">
      <alignment horizontal="center" vertical="center"/>
    </xf>
    <xf numFmtId="0" fontId="7" fillId="12" borderId="0" xfId="6" applyFill="1" applyAlignment="1">
      <alignment vertical="center"/>
    </xf>
    <xf numFmtId="165" fontId="8" fillId="3" borderId="0" xfId="6" applyNumberFormat="1" applyFont="1" applyFill="1" applyAlignment="1">
      <alignment horizontal="center" vertical="center"/>
    </xf>
    <xf numFmtId="165" fontId="8" fillId="3" borderId="1" xfId="6" applyNumberFormat="1" applyFont="1" applyFill="1" applyBorder="1" applyAlignment="1">
      <alignment horizontal="center" vertical="center"/>
    </xf>
    <xf numFmtId="0" fontId="24" fillId="3" borderId="1" xfId="6" applyFont="1" applyFill="1" applyBorder="1" applyAlignment="1">
      <alignment horizontal="center" vertical="center"/>
    </xf>
    <xf numFmtId="0" fontId="24" fillId="3" borderId="2" xfId="6" applyFont="1" applyFill="1" applyBorder="1" applyAlignment="1">
      <alignment horizontal="center" vertical="center"/>
    </xf>
    <xf numFmtId="0" fontId="8" fillId="3" borderId="16" xfId="6" applyFont="1" applyFill="1" applyBorder="1" applyAlignment="1">
      <alignment vertical="center"/>
    </xf>
    <xf numFmtId="165" fontId="8" fillId="3" borderId="17" xfId="6" applyNumberFormat="1" applyFont="1" applyFill="1" applyBorder="1" applyAlignment="1">
      <alignment horizontal="center" vertical="center"/>
    </xf>
    <xf numFmtId="0" fontId="24" fillId="3" borderId="17" xfId="6" applyFont="1" applyFill="1" applyBorder="1" applyAlignment="1">
      <alignment horizontal="center" vertical="center"/>
    </xf>
    <xf numFmtId="0" fontId="7" fillId="3" borderId="18" xfId="6" applyFill="1" applyBorder="1" applyAlignment="1">
      <alignment vertical="center"/>
    </xf>
    <xf numFmtId="0" fontId="24" fillId="3" borderId="19" xfId="6" applyFont="1" applyFill="1" applyBorder="1" applyAlignment="1">
      <alignment horizontal="center" vertical="center"/>
    </xf>
    <xf numFmtId="0" fontId="8" fillId="3" borderId="20" xfId="6" applyFont="1" applyFill="1" applyBorder="1" applyAlignment="1">
      <alignment vertical="center"/>
    </xf>
    <xf numFmtId="0" fontId="24" fillId="3" borderId="21" xfId="6" applyFont="1" applyFill="1" applyBorder="1" applyAlignment="1">
      <alignment horizontal="center" vertical="center"/>
    </xf>
    <xf numFmtId="0" fontId="8" fillId="3" borderId="22" xfId="6" applyFont="1" applyFill="1" applyBorder="1" applyAlignment="1">
      <alignment vertical="center"/>
    </xf>
    <xf numFmtId="165" fontId="8" fillId="3" borderId="23" xfId="6" applyNumberFormat="1" applyFont="1" applyFill="1" applyBorder="1" applyAlignment="1">
      <alignment horizontal="center" vertical="center"/>
    </xf>
    <xf numFmtId="0" fontId="24" fillId="3" borderId="23" xfId="6" applyFont="1" applyFill="1" applyBorder="1" applyAlignment="1">
      <alignment horizontal="center" vertical="center"/>
    </xf>
    <xf numFmtId="0" fontId="7" fillId="3" borderId="24" xfId="6" applyFill="1" applyBorder="1" applyAlignment="1">
      <alignment vertical="center"/>
    </xf>
    <xf numFmtId="0" fontId="24" fillId="3" borderId="25" xfId="6" applyFont="1" applyFill="1" applyBorder="1" applyAlignment="1">
      <alignment horizontal="center" vertical="center"/>
    </xf>
    <xf numFmtId="0" fontId="23" fillId="3" borderId="0" xfId="6" applyFont="1" applyFill="1" applyAlignment="1">
      <alignment vertical="center"/>
    </xf>
    <xf numFmtId="0" fontId="8" fillId="3" borderId="32" xfId="6" applyFont="1" applyFill="1" applyBorder="1" applyAlignment="1">
      <alignment vertical="center"/>
    </xf>
    <xf numFmtId="165" fontId="8" fillId="3" borderId="2" xfId="6" applyNumberFormat="1" applyFont="1" applyFill="1" applyBorder="1" applyAlignment="1">
      <alignment horizontal="center" vertical="center"/>
    </xf>
    <xf numFmtId="0" fontId="25" fillId="3" borderId="0" xfId="6" applyFont="1" applyFill="1" applyAlignment="1">
      <alignment vertical="center"/>
    </xf>
    <xf numFmtId="0" fontId="26" fillId="3" borderId="0" xfId="6" applyFont="1" applyFill="1" applyAlignment="1">
      <alignment vertical="center"/>
    </xf>
    <xf numFmtId="0" fontId="8" fillId="3" borderId="1" xfId="6" applyFont="1" applyFill="1" applyBorder="1" applyAlignment="1">
      <alignment vertical="center"/>
    </xf>
    <xf numFmtId="0" fontId="25" fillId="3" borderId="0" xfId="6" applyFont="1" applyFill="1" applyAlignment="1">
      <alignment horizontal="left" vertical="center"/>
    </xf>
    <xf numFmtId="43" fontId="1" fillId="0" borderId="0" xfId="4" applyNumberFormat="1"/>
    <xf numFmtId="0" fontId="16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164" fontId="0" fillId="0" borderId="0" xfId="0" applyNumberForma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27" fillId="13" borderId="37" xfId="0" applyFont="1" applyFill="1" applyBorder="1" applyAlignment="1">
      <alignment horizontal="center" vertical="center" wrapText="1"/>
    </xf>
    <xf numFmtId="0" fontId="27" fillId="13" borderId="38" xfId="0" applyFont="1" applyFill="1" applyBorder="1" applyAlignment="1">
      <alignment horizontal="center" vertical="center" wrapText="1"/>
    </xf>
    <xf numFmtId="0" fontId="27" fillId="13" borderId="39" xfId="0" applyFont="1" applyFill="1" applyBorder="1" applyAlignment="1">
      <alignment horizontal="center" vertical="center" wrapText="1"/>
    </xf>
    <xf numFmtId="0" fontId="0" fillId="3" borderId="0" xfId="0" applyFill="1"/>
    <xf numFmtId="0" fontId="12" fillId="3" borderId="0" xfId="0" applyFont="1" applyFill="1"/>
    <xf numFmtId="0" fontId="0" fillId="3" borderId="0" xfId="0" applyFill="1" applyAlignment="1">
      <alignment vertical="center"/>
    </xf>
    <xf numFmtId="0" fontId="0" fillId="3" borderId="0" xfId="0" applyFill="1" applyAlignment="1">
      <alignment wrapText="1"/>
    </xf>
    <xf numFmtId="0" fontId="0" fillId="3" borderId="35" xfId="0" applyFill="1" applyBorder="1" applyAlignment="1">
      <alignment horizontal="center"/>
    </xf>
    <xf numFmtId="0" fontId="2" fillId="3" borderId="18" xfId="0" applyFont="1" applyFill="1" applyBorder="1"/>
    <xf numFmtId="0" fontId="0" fillId="3" borderId="18" xfId="0" applyFill="1" applyBorder="1" applyAlignment="1">
      <alignment horizontal="center" vertical="center"/>
    </xf>
    <xf numFmtId="0" fontId="0" fillId="3" borderId="18" xfId="0" applyFill="1" applyBorder="1"/>
    <xf numFmtId="43" fontId="0" fillId="3" borderId="18" xfId="2" applyFont="1" applyFill="1" applyBorder="1"/>
    <xf numFmtId="0" fontId="0" fillId="3" borderId="36" xfId="0" applyFill="1" applyBorder="1"/>
    <xf numFmtId="0" fontId="0" fillId="3" borderId="20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4" fontId="0" fillId="3" borderId="1" xfId="0" applyNumberFormat="1" applyFill="1" applyBorder="1"/>
    <xf numFmtId="43" fontId="0" fillId="3" borderId="1" xfId="2" applyFont="1" applyFill="1" applyBorder="1"/>
    <xf numFmtId="0" fontId="0" fillId="3" borderId="22" xfId="0" applyFill="1" applyBorder="1" applyAlignment="1">
      <alignment horizontal="center"/>
    </xf>
    <xf numFmtId="0" fontId="0" fillId="3" borderId="23" xfId="0" applyFill="1" applyBorder="1"/>
    <xf numFmtId="0" fontId="0" fillId="3" borderId="23" xfId="0" applyFill="1" applyBorder="1" applyAlignment="1">
      <alignment horizontal="center" vertical="center"/>
    </xf>
    <xf numFmtId="43" fontId="0" fillId="3" borderId="23" xfId="2" applyFont="1" applyFill="1" applyBorder="1"/>
    <xf numFmtId="43" fontId="0" fillId="3" borderId="18" xfId="0" applyNumberFormat="1" applyFill="1" applyBorder="1"/>
    <xf numFmtId="43" fontId="0" fillId="3" borderId="1" xfId="0" applyNumberFormat="1" applyFill="1" applyBorder="1"/>
    <xf numFmtId="0" fontId="2" fillId="3" borderId="0" xfId="0" applyFont="1" applyFill="1"/>
    <xf numFmtId="0" fontId="16" fillId="3" borderId="0" xfId="0" applyFont="1" applyFill="1"/>
    <xf numFmtId="43" fontId="2" fillId="3" borderId="0" xfId="0" applyNumberFormat="1" applyFont="1" applyFill="1"/>
    <xf numFmtId="43" fontId="0" fillId="3" borderId="0" xfId="0" applyNumberFormat="1" applyFill="1"/>
    <xf numFmtId="0" fontId="16" fillId="3" borderId="0" xfId="0" applyFont="1" applyFill="1" applyAlignment="1">
      <alignment vertical="center" wrapText="1"/>
    </xf>
    <xf numFmtId="0" fontId="12" fillId="3" borderId="5" xfId="6" applyFont="1" applyFill="1" applyBorder="1" applyAlignment="1">
      <alignment vertical="center"/>
    </xf>
    <xf numFmtId="0" fontId="12" fillId="3" borderId="6" xfId="6" applyFont="1" applyFill="1" applyBorder="1" applyAlignment="1">
      <alignment vertical="center" wrapText="1"/>
    </xf>
    <xf numFmtId="9" fontId="7" fillId="3" borderId="0" xfId="6" applyNumberFormat="1" applyFill="1" applyAlignment="1">
      <alignment vertical="center"/>
    </xf>
    <xf numFmtId="0" fontId="7" fillId="9" borderId="1" xfId="6" applyFill="1" applyBorder="1" applyAlignment="1">
      <alignment vertical="center"/>
    </xf>
    <xf numFmtId="9" fontId="7" fillId="9" borderId="1" xfId="6" applyNumberFormat="1" applyFill="1" applyBorder="1" applyAlignment="1">
      <alignment vertical="center"/>
    </xf>
    <xf numFmtId="0" fontId="7" fillId="8" borderId="1" xfId="6" applyFill="1" applyBorder="1" applyAlignment="1">
      <alignment vertical="center"/>
    </xf>
    <xf numFmtId="0" fontId="7" fillId="10" borderId="1" xfId="6" applyFill="1" applyBorder="1" applyAlignment="1">
      <alignment vertical="center"/>
    </xf>
    <xf numFmtId="0" fontId="7" fillId="11" borderId="1" xfId="6" applyFill="1" applyBorder="1" applyAlignment="1">
      <alignment vertical="center"/>
    </xf>
    <xf numFmtId="0" fontId="8" fillId="14" borderId="0" xfId="6" applyFont="1" applyFill="1" applyAlignment="1">
      <alignment horizontal="center" vertical="center"/>
    </xf>
    <xf numFmtId="0" fontId="13" fillId="3" borderId="14" xfId="6" applyFont="1" applyFill="1" applyBorder="1" applyAlignment="1">
      <alignment horizontal="center" vertical="center"/>
    </xf>
    <xf numFmtId="0" fontId="13" fillId="14" borderId="14" xfId="6" applyFont="1" applyFill="1" applyBorder="1" applyAlignment="1">
      <alignment horizontal="center" vertical="center"/>
    </xf>
    <xf numFmtId="0" fontId="7" fillId="3" borderId="0" xfId="6" applyFill="1"/>
    <xf numFmtId="43" fontId="0" fillId="3" borderId="0" xfId="3" applyNumberFormat="1" applyFont="1" applyFill="1"/>
    <xf numFmtId="0" fontId="0" fillId="0" borderId="30" xfId="0" applyBorder="1"/>
    <xf numFmtId="43" fontId="0" fillId="0" borderId="30" xfId="2" applyFont="1" applyBorder="1"/>
    <xf numFmtId="0" fontId="2" fillId="15" borderId="29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0" xfId="4" applyAlignment="1">
      <alignment vertical="center" wrapText="1"/>
    </xf>
    <xf numFmtId="43" fontId="0" fillId="0" borderId="0" xfId="5" applyFont="1" applyBorder="1" applyAlignment="1">
      <alignment vertical="center"/>
    </xf>
    <xf numFmtId="17" fontId="0" fillId="0" borderId="0" xfId="5" applyNumberFormat="1" applyFont="1" applyBorder="1" applyAlignment="1">
      <alignment vertical="center"/>
    </xf>
    <xf numFmtId="43" fontId="1" fillId="0" borderId="0" xfId="4" applyNumberFormat="1" applyAlignment="1">
      <alignment vertical="center"/>
    </xf>
    <xf numFmtId="43" fontId="2" fillId="0" borderId="31" xfId="0" applyNumberFormat="1" applyFont="1" applyBorder="1"/>
    <xf numFmtId="164" fontId="0" fillId="0" borderId="21" xfId="3" applyNumberFormat="1" applyFont="1" applyBorder="1"/>
    <xf numFmtId="164" fontId="0" fillId="0" borderId="21" xfId="3" applyNumberFormat="1" applyFont="1" applyFill="1" applyBorder="1"/>
    <xf numFmtId="164" fontId="0" fillId="0" borderId="25" xfId="3" applyNumberFormat="1" applyFont="1" applyBorder="1"/>
    <xf numFmtId="164" fontId="0" fillId="0" borderId="36" xfId="3" applyNumberFormat="1" applyFont="1" applyBorder="1"/>
    <xf numFmtId="164" fontId="0" fillId="0" borderId="25" xfId="3" applyNumberFormat="1" applyFont="1" applyFill="1" applyBorder="1"/>
    <xf numFmtId="0" fontId="0" fillId="0" borderId="1" xfId="0" applyBorder="1" applyAlignment="1">
      <alignment wrapText="1"/>
    </xf>
    <xf numFmtId="0" fontId="0" fillId="0" borderId="1" xfId="0" applyBorder="1"/>
    <xf numFmtId="43" fontId="0" fillId="0" borderId="1" xfId="0" applyNumberFormat="1" applyBorder="1"/>
    <xf numFmtId="165" fontId="7" fillId="3" borderId="0" xfId="6" applyNumberFormat="1" applyFill="1" applyAlignment="1">
      <alignment vertical="center"/>
    </xf>
    <xf numFmtId="0" fontId="7" fillId="0" borderId="0" xfId="6" applyAlignment="1">
      <alignment horizontal="center"/>
    </xf>
    <xf numFmtId="166" fontId="7" fillId="0" borderId="0" xfId="2" applyNumberFormat="1" applyFont="1" applyAlignment="1">
      <alignment horizont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3" fontId="0" fillId="0" borderId="31" xfId="2" applyFont="1" applyBorder="1"/>
    <xf numFmtId="0" fontId="28" fillId="15" borderId="40" xfId="0" applyFont="1" applyFill="1" applyBorder="1" applyAlignment="1">
      <alignment horizontal="center" vertical="center" wrapText="1"/>
    </xf>
    <xf numFmtId="43" fontId="0" fillId="3" borderId="0" xfId="0" applyNumberForma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center"/>
    </xf>
    <xf numFmtId="43" fontId="2" fillId="0" borderId="0" xfId="2" applyFont="1"/>
    <xf numFmtId="0" fontId="2" fillId="0" borderId="0" xfId="0" applyFont="1" applyAlignment="1">
      <alignment vertical="center"/>
    </xf>
    <xf numFmtId="43" fontId="2" fillId="0" borderId="0" xfId="0" applyNumberFormat="1" applyFont="1" applyAlignment="1">
      <alignment vertical="center"/>
    </xf>
    <xf numFmtId="167" fontId="0" fillId="0" borderId="0" xfId="0" applyNumberFormat="1"/>
    <xf numFmtId="168" fontId="0" fillId="0" borderId="0" xfId="0" applyNumberFormat="1"/>
    <xf numFmtId="164" fontId="0" fillId="3" borderId="0" xfId="3" applyNumberFormat="1" applyFont="1" applyFill="1"/>
    <xf numFmtId="169" fontId="0" fillId="0" borderId="0" xfId="0" applyNumberFormat="1"/>
    <xf numFmtId="0" fontId="29" fillId="0" borderId="0" xfId="0" applyFont="1"/>
    <xf numFmtId="43" fontId="29" fillId="0" borderId="0" xfId="0" applyNumberFormat="1" applyFont="1"/>
    <xf numFmtId="0" fontId="1" fillId="3" borderId="1" xfId="6" applyFont="1" applyFill="1" applyBorder="1" applyAlignment="1">
      <alignment horizontal="center" vertical="center"/>
    </xf>
    <xf numFmtId="0" fontId="2" fillId="3" borderId="1" xfId="6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0" fillId="3" borderId="2" xfId="6" applyFont="1" applyFill="1" applyBorder="1" applyAlignment="1">
      <alignment horizontal="center" vertical="center"/>
    </xf>
    <xf numFmtId="0" fontId="10" fillId="3" borderId="7" xfId="6" applyFont="1" applyFill="1" applyBorder="1" applyAlignment="1">
      <alignment horizontal="center" vertical="center"/>
    </xf>
    <xf numFmtId="0" fontId="11" fillId="3" borderId="2" xfId="6" applyFont="1" applyFill="1" applyBorder="1" applyAlignment="1">
      <alignment horizontal="center" vertical="center"/>
    </xf>
    <xf numFmtId="0" fontId="11" fillId="3" borderId="7" xfId="6" applyFont="1" applyFill="1" applyBorder="1" applyAlignment="1">
      <alignment horizontal="center" vertical="center"/>
    </xf>
    <xf numFmtId="0" fontId="12" fillId="3" borderId="3" xfId="6" applyFont="1" applyFill="1" applyBorder="1" applyAlignment="1">
      <alignment horizontal="center" vertical="center"/>
    </xf>
    <xf numFmtId="0" fontId="12" fillId="3" borderId="1" xfId="6" applyFont="1" applyFill="1" applyBorder="1" applyAlignment="1">
      <alignment horizontal="center" vertical="center"/>
    </xf>
    <xf numFmtId="0" fontId="12" fillId="3" borderId="4" xfId="6" applyFont="1" applyFill="1" applyBorder="1" applyAlignment="1">
      <alignment horizontal="center" vertical="center"/>
    </xf>
    <xf numFmtId="0" fontId="12" fillId="3" borderId="5" xfId="6" applyFont="1" applyFill="1" applyBorder="1" applyAlignment="1">
      <alignment horizontal="center" vertical="center"/>
    </xf>
    <xf numFmtId="0" fontId="12" fillId="3" borderId="6" xfId="6" applyFont="1" applyFill="1" applyBorder="1" applyAlignment="1">
      <alignment horizontal="center" vertical="center"/>
    </xf>
    <xf numFmtId="0" fontId="24" fillId="3" borderId="19" xfId="6" applyFont="1" applyFill="1" applyBorder="1" applyAlignment="1">
      <alignment horizontal="center" vertical="center"/>
    </xf>
    <xf numFmtId="0" fontId="24" fillId="3" borderId="21" xfId="6" applyFont="1" applyFill="1" applyBorder="1" applyAlignment="1">
      <alignment horizontal="center" vertical="center"/>
    </xf>
    <xf numFmtId="0" fontId="24" fillId="3" borderId="25" xfId="6" applyFont="1" applyFill="1" applyBorder="1" applyAlignment="1">
      <alignment horizontal="center" vertical="center"/>
    </xf>
    <xf numFmtId="0" fontId="24" fillId="3" borderId="33" xfId="6" applyFont="1" applyFill="1" applyBorder="1" applyAlignment="1">
      <alignment horizontal="center" vertical="center"/>
    </xf>
    <xf numFmtId="0" fontId="24" fillId="3" borderId="10" xfId="6" applyFont="1" applyFill="1" applyBorder="1" applyAlignment="1">
      <alignment horizontal="center" vertical="center"/>
    </xf>
    <xf numFmtId="0" fontId="24" fillId="3" borderId="34" xfId="6" applyFont="1" applyFill="1" applyBorder="1" applyAlignment="1">
      <alignment horizontal="center" vertical="center"/>
    </xf>
    <xf numFmtId="0" fontId="24" fillId="3" borderId="26" xfId="6" applyFont="1" applyFill="1" applyBorder="1" applyAlignment="1">
      <alignment horizontal="center" vertical="center"/>
    </xf>
    <xf numFmtId="0" fontId="24" fillId="3" borderId="27" xfId="6" applyFont="1" applyFill="1" applyBorder="1" applyAlignment="1">
      <alignment horizontal="center" vertical="center"/>
    </xf>
    <xf numFmtId="0" fontId="24" fillId="3" borderId="28" xfId="6" applyFont="1" applyFill="1" applyBorder="1" applyAlignment="1">
      <alignment horizontal="center" vertical="center"/>
    </xf>
    <xf numFmtId="0" fontId="24" fillId="3" borderId="29" xfId="6" applyFont="1" applyFill="1" applyBorder="1" applyAlignment="1">
      <alignment horizontal="center" vertical="center"/>
    </xf>
    <xf numFmtId="0" fontId="24" fillId="3" borderId="30" xfId="6" applyFont="1" applyFill="1" applyBorder="1" applyAlignment="1">
      <alignment horizontal="center" vertical="center"/>
    </xf>
    <xf numFmtId="0" fontId="24" fillId="3" borderId="31" xfId="6" applyFont="1" applyFill="1" applyBorder="1" applyAlignment="1">
      <alignment horizontal="center" vertical="center"/>
    </xf>
  </cellXfs>
  <cellStyles count="13">
    <cellStyle name="Normal" xfId="0" builtinId="0"/>
    <cellStyle name="Normal 2" xfId="6" xr:uid="{B1AA98CE-2DBD-430F-8F8E-0605E15BF7A6}"/>
    <cellStyle name="Normal 3" xfId="7" xr:uid="{39B6CD6C-2F18-445B-BED5-B1B536092BCA}"/>
    <cellStyle name="Normal 4" xfId="4" xr:uid="{F0DB384B-1DC2-4809-B665-F18A767F2842}"/>
    <cellStyle name="Normal 5" xfId="1" xr:uid="{3AF99BBE-D7F9-4AAB-A38C-9D0FE107277B}"/>
    <cellStyle name="Normal 6" xfId="9" xr:uid="{41818F45-A4E3-443B-B1C5-19B38E8EC14E}"/>
    <cellStyle name="Normal 7" xfId="11" xr:uid="{7A316942-C950-4669-9FF7-020C1CC61EF2}"/>
    <cellStyle name="Porcentagem" xfId="3" builtinId="5"/>
    <cellStyle name="Porcentagem 2" xfId="10" xr:uid="{987AD0B9-750C-40CA-8B18-2D39820BD0EF}"/>
    <cellStyle name="Vírgula" xfId="2" builtinId="3"/>
    <cellStyle name="Vírgula 2" xfId="5" xr:uid="{BE0BFEBC-C7E4-4757-82C4-0D433823F4D4}"/>
    <cellStyle name="Vírgula 3" xfId="8" xr:uid="{2D73AA32-A8CD-4B6C-BF34-F4125370910B}"/>
    <cellStyle name="Vírgula 4" xfId="12" xr:uid="{1C8CE526-16BA-475A-8894-B0F14C15E771}"/>
  </cellStyles>
  <dxfs count="1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181400</xdr:colOff>
      <xdr:row>74</xdr:row>
      <xdr:rowOff>149676</xdr:rowOff>
    </xdr:from>
    <xdr:to>
      <xdr:col>8</xdr:col>
      <xdr:colOff>326572</xdr:colOff>
      <xdr:row>108</xdr:row>
      <xdr:rowOff>140514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69A6502-A1C9-CE0A-158C-1C6A5C692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00" y="11933462"/>
          <a:ext cx="9983136" cy="6467838"/>
        </a:xfrm>
        <a:prstGeom prst="rect">
          <a:avLst/>
        </a:prstGeom>
      </xdr:spPr>
    </xdr:pic>
    <xdr:clientData/>
  </xdr:twoCellAnchor>
  <xdr:twoCellAnchor editAs="oneCell">
    <xdr:from>
      <xdr:col>12</xdr:col>
      <xdr:colOff>67193</xdr:colOff>
      <xdr:row>48</xdr:row>
      <xdr:rowOff>54430</xdr:rowOff>
    </xdr:from>
    <xdr:to>
      <xdr:col>18</xdr:col>
      <xdr:colOff>593114</xdr:colOff>
      <xdr:row>87</xdr:row>
      <xdr:rowOff>0</xdr:rowOff>
    </xdr:to>
    <xdr:pic>
      <xdr:nvPicPr>
        <xdr:cNvPr id="4" name="Imagem 3" descr="Interface gráfica do usuário, Site&#10;&#10;Descrição gerada automaticamente">
          <a:extLst>
            <a:ext uri="{FF2B5EF4-FFF2-40B4-BE49-F238E27FC236}">
              <a16:creationId xmlns:a16="http://schemas.microsoft.com/office/drawing/2014/main" id="{4427A673-1F0B-A016-E837-46AC83938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65979" y="7837716"/>
          <a:ext cx="8009849" cy="80009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0</xdr:row>
      <xdr:rowOff>51955</xdr:rowOff>
    </xdr:from>
    <xdr:to>
      <xdr:col>2</xdr:col>
      <xdr:colOff>3367955</xdr:colOff>
      <xdr:row>3</xdr:row>
      <xdr:rowOff>86591</xdr:rowOff>
    </xdr:to>
    <xdr:pic>
      <xdr:nvPicPr>
        <xdr:cNvPr id="3" name="Imagem 2" descr="Imagem de desenho animado&#10;&#10;Descrição gerada automaticamente com confiança média">
          <a:extLst>
            <a:ext uri="{FF2B5EF4-FFF2-40B4-BE49-F238E27FC236}">
              <a16:creationId xmlns:a16="http://schemas.microsoft.com/office/drawing/2014/main" id="{E1AC0A84-DE30-4F1A-9AA1-7E5FC5D3A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773" y="51955"/>
          <a:ext cx="3939455" cy="762000"/>
        </a:xfrm>
        <a:prstGeom prst="rect">
          <a:avLst/>
        </a:prstGeom>
      </xdr:spPr>
    </xdr:pic>
    <xdr:clientData/>
  </xdr:twoCellAnchor>
  <xdr:twoCellAnchor editAs="oneCell">
    <xdr:from>
      <xdr:col>2</xdr:col>
      <xdr:colOff>51953</xdr:colOff>
      <xdr:row>274</xdr:row>
      <xdr:rowOff>86591</xdr:rowOff>
    </xdr:from>
    <xdr:to>
      <xdr:col>2</xdr:col>
      <xdr:colOff>1810268</xdr:colOff>
      <xdr:row>275</xdr:row>
      <xdr:rowOff>180052</xdr:rowOff>
    </xdr:to>
    <xdr:pic>
      <xdr:nvPicPr>
        <xdr:cNvPr id="4" name="Imagem 3" descr="Imagem de desenho animado&#10;&#10;Descrição gerada automaticamente com confiança média">
          <a:extLst>
            <a:ext uri="{FF2B5EF4-FFF2-40B4-BE49-F238E27FC236}">
              <a16:creationId xmlns:a16="http://schemas.microsoft.com/office/drawing/2014/main" id="{61930672-6DE0-4901-8354-B41B3CD3A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3226" y="42602727"/>
          <a:ext cx="1758315" cy="335915"/>
        </a:xfrm>
        <a:prstGeom prst="rect">
          <a:avLst/>
        </a:prstGeom>
      </xdr:spPr>
    </xdr:pic>
    <xdr:clientData/>
  </xdr:twoCellAnchor>
  <xdr:twoCellAnchor editAs="oneCell">
    <xdr:from>
      <xdr:col>0</xdr:col>
      <xdr:colOff>221032</xdr:colOff>
      <xdr:row>158</xdr:row>
      <xdr:rowOff>128155</xdr:rowOff>
    </xdr:from>
    <xdr:to>
      <xdr:col>2</xdr:col>
      <xdr:colOff>3340828</xdr:colOff>
      <xdr:row>161</xdr:row>
      <xdr:rowOff>171756</xdr:rowOff>
    </xdr:to>
    <xdr:pic>
      <xdr:nvPicPr>
        <xdr:cNvPr id="2" name="Imagem 1" descr="Imagem de desenho animado&#10;&#10;Descrição gerada automaticamente com confiança média">
          <a:extLst>
            <a:ext uri="{FF2B5EF4-FFF2-40B4-BE49-F238E27FC236}">
              <a16:creationId xmlns:a16="http://schemas.microsoft.com/office/drawing/2014/main" id="{3F9914EC-D8AB-4BC3-A373-7C2CBDD27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032" y="25352596"/>
          <a:ext cx="3960237" cy="7495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-JURA/DIR/Tabela%20de%20Consultoria/AVigente/02a%20%20-%20Tabela%20para%20Or&#231;amentos%20de%20Consultoria%20Mens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-Jura/DIR/AA%20TRefer&#234;ncia/Ano%202011/01-Jan-11/01%20-%20Assessoria%20Super.%20do%20Cear&#225;/01%20-%20Or&#231;amento%20Assessoria%20SR-%20Cear&#225;%20-%20Mar-11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cess&#245;es%20Portu&#225;rias\Canal%20Rio%20Grande\Pap&#233;is%20de%20Trabalho\DNIT%20-%20RIG\Tabela%20Consultoria%20202304\TC%2004-2023%20Relat&#243;rio%20de%20Consolida&#231;&#227;o%20dos%20Custos%20de%20M&#227;o%20de%20Obra.xlsx" TargetMode="External"/><Relationship Id="rId1" Type="http://schemas.openxmlformats.org/officeDocument/2006/relationships/externalLinkPath" Target="file:///F:\Concess&#245;es%20Portu&#225;rias\Canal%20Rio%20Grande\Pap&#233;is%20de%20Trabalho\DNIT%20-%20RIG\Tabela%20Consultoria%20202304\TC%2004-2023%20Relat&#243;rio%20de%20Consolida&#231;&#227;o%20dos%20Custos%20de%20M&#227;o%20de%20Ob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. Consultoria-Jul-10"/>
      <sheetName val="Tab. Consultoria-Ago-10"/>
      <sheetName val="Tab. Consultoria-Set-10"/>
      <sheetName val="Tab. Consultoria Jan-11"/>
      <sheetName val="Tab. Consultoria-Mar-11"/>
      <sheetName val="Tab. Consultoria-Abr-11"/>
      <sheetName val="Tab. Consultoria-Set-11"/>
      <sheetName val="Tab. Consultoria-Out-11"/>
      <sheetName val="Tab. Consultoria-Dez-11"/>
      <sheetName val="Tab. Consultoria-Jan-12"/>
      <sheetName val="Tab. Consultoria-Fev-12"/>
      <sheetName val="Tab. Consultoria-Mar-12"/>
      <sheetName val="Tab. Consultoria-Mai-12"/>
      <sheetName val="Tab. Consultoria-Jun-12"/>
      <sheetName val="Tab. Consultoria-Jul-12"/>
      <sheetName val="Tab. Consultoria-Ago-12"/>
      <sheetName val="Tab. Consultoria-Set-12"/>
      <sheetName val="Tab. Consultoria-Out-12"/>
      <sheetName val="Tab. Consultoria-Dez-12"/>
      <sheetName val="Tab. Consultoria-Jan-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d.11-Orçamento"/>
      <sheetName val="Qd.11-Auxiliar"/>
      <sheetName val="Qd.12-Cron. Fís-Fin"/>
      <sheetName val="Qd.13-Sv Gráficos"/>
      <sheetName val="Passagens e Estadias"/>
      <sheetName val="Informatica"/>
      <sheetName val="Tab. Consultoria-Mar-11"/>
      <sheetName val="Qd.11-Vazio"/>
      <sheetName val="Qd.12-VAZIO"/>
      <sheetName val="Qd.13-Vaz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a 1"/>
    </sheetNames>
    <sheetDataSet>
      <sheetData sheetId="0">
        <row r="4">
          <cell r="B4" t="str">
            <v>P8001</v>
          </cell>
          <cell r="C4" t="str">
            <v>Advogado júnior</v>
          </cell>
          <cell r="D4" t="str">
            <v>mês</v>
          </cell>
          <cell r="E4">
            <v>4222.1400000000003</v>
          </cell>
          <cell r="F4">
            <v>0.79630000000000001</v>
          </cell>
          <cell r="G4">
            <v>3362.09</v>
          </cell>
          <cell r="H4">
            <v>0.1603</v>
          </cell>
          <cell r="I4">
            <v>677.01</v>
          </cell>
          <cell r="J4">
            <v>6.1999999999999998E-3</v>
          </cell>
          <cell r="K4">
            <v>26.03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8.0000000000000004E-4</v>
          </cell>
          <cell r="Q4">
            <v>3.47</v>
          </cell>
          <cell r="R4">
            <v>0</v>
          </cell>
          <cell r="S4">
            <v>0</v>
          </cell>
          <cell r="T4">
            <v>7.1400000000000005E-2</v>
          </cell>
          <cell r="U4">
            <v>301.42</v>
          </cell>
          <cell r="V4">
            <v>2.3999999999999998E-3</v>
          </cell>
          <cell r="W4">
            <v>9.98</v>
          </cell>
          <cell r="X4">
            <v>1.0374000000000001</v>
          </cell>
          <cell r="Y4">
            <v>4379.99</v>
          </cell>
          <cell r="Z4">
            <v>8602.1299999999992</v>
          </cell>
        </row>
        <row r="5">
          <cell r="B5" t="str">
            <v>P8002</v>
          </cell>
          <cell r="C5" t="str">
            <v>Advogado pleno</v>
          </cell>
          <cell r="D5" t="str">
            <v>mês</v>
          </cell>
          <cell r="E5">
            <v>5629.52</v>
          </cell>
          <cell r="F5">
            <v>0.79630000000000001</v>
          </cell>
          <cell r="G5">
            <v>4482.78</v>
          </cell>
          <cell r="H5">
            <v>0.1203</v>
          </cell>
          <cell r="I5">
            <v>677.01</v>
          </cell>
          <cell r="J5">
            <v>4.5999999999999999E-3</v>
          </cell>
          <cell r="K5">
            <v>26.03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5.9999999999999995E-4</v>
          </cell>
          <cell r="Q5">
            <v>3.47</v>
          </cell>
          <cell r="R5">
            <v>0</v>
          </cell>
          <cell r="S5">
            <v>0</v>
          </cell>
          <cell r="T5">
            <v>5.3499999999999999E-2</v>
          </cell>
          <cell r="U5">
            <v>301.42</v>
          </cell>
          <cell r="V5">
            <v>1.8E-3</v>
          </cell>
          <cell r="W5">
            <v>9.98</v>
          </cell>
          <cell r="X5">
            <v>0.97709999999999997</v>
          </cell>
          <cell r="Y5">
            <v>5500.69</v>
          </cell>
          <cell r="Z5">
            <v>11130.21</v>
          </cell>
        </row>
        <row r="6">
          <cell r="B6" t="str">
            <v>P8003</v>
          </cell>
          <cell r="C6" t="str">
            <v>Advogado sênior</v>
          </cell>
          <cell r="D6" t="str">
            <v>mês</v>
          </cell>
          <cell r="E6">
            <v>9740.8700000000008</v>
          </cell>
          <cell r="F6">
            <v>0.79630000000000001</v>
          </cell>
          <cell r="G6">
            <v>7756.65</v>
          </cell>
          <cell r="H6">
            <v>6.9500000000000006E-2</v>
          </cell>
          <cell r="I6">
            <v>677.01</v>
          </cell>
          <cell r="J6">
            <v>2.7000000000000001E-3</v>
          </cell>
          <cell r="K6">
            <v>26.03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4.0000000000000002E-4</v>
          </cell>
          <cell r="Q6">
            <v>3.47</v>
          </cell>
          <cell r="R6">
            <v>0</v>
          </cell>
          <cell r="S6">
            <v>0</v>
          </cell>
          <cell r="T6">
            <v>3.09E-2</v>
          </cell>
          <cell r="U6">
            <v>301.42</v>
          </cell>
          <cell r="V6">
            <v>1E-3</v>
          </cell>
          <cell r="W6">
            <v>9.98</v>
          </cell>
          <cell r="X6">
            <v>0.90080000000000005</v>
          </cell>
          <cell r="Y6">
            <v>8774.56</v>
          </cell>
          <cell r="Z6">
            <v>18515.43</v>
          </cell>
        </row>
        <row r="7">
          <cell r="B7" t="str">
            <v>P8007</v>
          </cell>
          <cell r="C7" t="str">
            <v>Analista de desenvolvimento de sistemas júnior</v>
          </cell>
          <cell r="D7" t="str">
            <v>mês</v>
          </cell>
          <cell r="E7">
            <v>3731.91</v>
          </cell>
          <cell r="F7">
            <v>0.79379999999999995</v>
          </cell>
          <cell r="G7">
            <v>2962.39</v>
          </cell>
          <cell r="H7">
            <v>0.18140000000000001</v>
          </cell>
          <cell r="I7">
            <v>677.01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8.9999999999999998E-4</v>
          </cell>
          <cell r="Q7">
            <v>3.29</v>
          </cell>
          <cell r="R7">
            <v>0</v>
          </cell>
          <cell r="S7">
            <v>0</v>
          </cell>
          <cell r="T7">
            <v>8.0799999999999997E-2</v>
          </cell>
          <cell r="U7">
            <v>301.42</v>
          </cell>
          <cell r="V7">
            <v>2.7000000000000001E-3</v>
          </cell>
          <cell r="W7">
            <v>9.98</v>
          </cell>
          <cell r="X7">
            <v>1.0595000000000001</v>
          </cell>
          <cell r="Y7">
            <v>3954.09</v>
          </cell>
          <cell r="Z7">
            <v>7686</v>
          </cell>
        </row>
        <row r="8">
          <cell r="B8" t="str">
            <v>P8008</v>
          </cell>
          <cell r="C8" t="str">
            <v>Analista de desenvolvimento de sistemas pleno</v>
          </cell>
          <cell r="D8" t="str">
            <v>mês</v>
          </cell>
          <cell r="E8">
            <v>4975.88</v>
          </cell>
          <cell r="F8">
            <v>0.79379999999999995</v>
          </cell>
          <cell r="G8">
            <v>3949.85</v>
          </cell>
          <cell r="H8">
            <v>0.1361</v>
          </cell>
          <cell r="I8">
            <v>677.01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6.9999999999999999E-4</v>
          </cell>
          <cell r="Q8">
            <v>3.29</v>
          </cell>
          <cell r="R8">
            <v>0</v>
          </cell>
          <cell r="S8">
            <v>0</v>
          </cell>
          <cell r="T8">
            <v>6.0600000000000001E-2</v>
          </cell>
          <cell r="U8">
            <v>301.42</v>
          </cell>
          <cell r="V8">
            <v>2E-3</v>
          </cell>
          <cell r="W8">
            <v>9.98</v>
          </cell>
          <cell r="X8">
            <v>0.99309999999999998</v>
          </cell>
          <cell r="Y8">
            <v>4941.55</v>
          </cell>
          <cell r="Z8">
            <v>9917.43</v>
          </cell>
        </row>
        <row r="9">
          <cell r="B9" t="str">
            <v>P8009</v>
          </cell>
          <cell r="C9" t="str">
            <v>Analista de desenvolvimento de sistemas sênior</v>
          </cell>
          <cell r="D9" t="str">
            <v>mês</v>
          </cell>
          <cell r="E9">
            <v>8853.75</v>
          </cell>
          <cell r="F9">
            <v>0.79379999999999995</v>
          </cell>
          <cell r="G9">
            <v>7028.1</v>
          </cell>
          <cell r="H9">
            <v>7.6499999999999999E-2</v>
          </cell>
          <cell r="I9">
            <v>677.01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4.0000000000000002E-4</v>
          </cell>
          <cell r="Q9">
            <v>3.29</v>
          </cell>
          <cell r="R9">
            <v>0</v>
          </cell>
          <cell r="S9">
            <v>0</v>
          </cell>
          <cell r="T9">
            <v>3.4000000000000002E-2</v>
          </cell>
          <cell r="U9">
            <v>301.42</v>
          </cell>
          <cell r="V9">
            <v>1.1000000000000001E-3</v>
          </cell>
          <cell r="W9">
            <v>9.98</v>
          </cell>
          <cell r="X9">
            <v>0.90580000000000005</v>
          </cell>
          <cell r="Y9">
            <v>8019.8</v>
          </cell>
          <cell r="Z9">
            <v>16873.55</v>
          </cell>
        </row>
        <row r="10">
          <cell r="B10" t="str">
            <v>P8013</v>
          </cell>
          <cell r="C10" t="str">
            <v>Arquiteto júnior</v>
          </cell>
          <cell r="D10" t="str">
            <v>mês</v>
          </cell>
          <cell r="E10">
            <v>11067</v>
          </cell>
          <cell r="F10">
            <v>0.79239999999999999</v>
          </cell>
          <cell r="G10">
            <v>8769.49</v>
          </cell>
          <cell r="H10">
            <v>6.1199999999999997E-2</v>
          </cell>
          <cell r="I10">
            <v>677.01</v>
          </cell>
          <cell r="J10">
            <v>2.3999999999999998E-3</v>
          </cell>
          <cell r="K10">
            <v>26.03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2.0000000000000001E-4</v>
          </cell>
          <cell r="Q10">
            <v>2.6</v>
          </cell>
          <cell r="R10">
            <v>0</v>
          </cell>
          <cell r="S10">
            <v>0</v>
          </cell>
          <cell r="T10">
            <v>2.7199999999999998E-2</v>
          </cell>
          <cell r="U10">
            <v>301.42</v>
          </cell>
          <cell r="V10">
            <v>8.9999999999999998E-4</v>
          </cell>
          <cell r="W10">
            <v>9.98</v>
          </cell>
          <cell r="X10">
            <v>0.88429999999999997</v>
          </cell>
          <cell r="Y10">
            <v>9786.52</v>
          </cell>
          <cell r="Z10">
            <v>20853.52</v>
          </cell>
        </row>
        <row r="11">
          <cell r="B11" t="str">
            <v>P8014</v>
          </cell>
          <cell r="C11" t="str">
            <v>Arquiteto pleno</v>
          </cell>
          <cell r="D11" t="str">
            <v>mês</v>
          </cell>
          <cell r="E11">
            <v>11492.2</v>
          </cell>
          <cell r="F11">
            <v>0.79239999999999999</v>
          </cell>
          <cell r="G11">
            <v>9106.42</v>
          </cell>
          <cell r="H11">
            <v>5.8900000000000001E-2</v>
          </cell>
          <cell r="I11">
            <v>677.01</v>
          </cell>
          <cell r="J11">
            <v>2.3E-3</v>
          </cell>
          <cell r="K11">
            <v>26.03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2.0000000000000001E-4</v>
          </cell>
          <cell r="Q11">
            <v>2.6</v>
          </cell>
          <cell r="R11">
            <v>0</v>
          </cell>
          <cell r="S11">
            <v>0</v>
          </cell>
          <cell r="T11">
            <v>2.6200000000000001E-2</v>
          </cell>
          <cell r="U11">
            <v>301.42</v>
          </cell>
          <cell r="V11">
            <v>8.9999999999999998E-4</v>
          </cell>
          <cell r="W11">
            <v>9.98</v>
          </cell>
          <cell r="X11">
            <v>0.88090000000000002</v>
          </cell>
          <cell r="Y11">
            <v>10123.450000000001</v>
          </cell>
          <cell r="Z11">
            <v>21615.65</v>
          </cell>
        </row>
        <row r="12">
          <cell r="B12" t="str">
            <v>P8015</v>
          </cell>
          <cell r="C12" t="str">
            <v>Arquiteto sênior</v>
          </cell>
          <cell r="D12" t="str">
            <v>mês</v>
          </cell>
          <cell r="E12">
            <v>14185.72</v>
          </cell>
          <cell r="F12">
            <v>0.79239999999999999</v>
          </cell>
          <cell r="G12">
            <v>11240.77</v>
          </cell>
          <cell r="H12">
            <v>4.7699999999999999E-2</v>
          </cell>
          <cell r="I12">
            <v>677.01</v>
          </cell>
          <cell r="J12">
            <v>1.8E-3</v>
          </cell>
          <cell r="K12">
            <v>26.03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2.0000000000000001E-4</v>
          </cell>
          <cell r="Q12">
            <v>2.6</v>
          </cell>
          <cell r="R12">
            <v>0</v>
          </cell>
          <cell r="S12">
            <v>0</v>
          </cell>
          <cell r="T12">
            <v>2.12E-2</v>
          </cell>
          <cell r="U12">
            <v>301.42</v>
          </cell>
          <cell r="V12">
            <v>6.9999999999999999E-4</v>
          </cell>
          <cell r="W12">
            <v>9.98</v>
          </cell>
          <cell r="X12">
            <v>0.86409999999999998</v>
          </cell>
          <cell r="Y12">
            <v>12257.8</v>
          </cell>
          <cell r="Z12">
            <v>26443.52</v>
          </cell>
        </row>
        <row r="13">
          <cell r="B13" t="str">
            <v>P8019</v>
          </cell>
          <cell r="C13" t="str">
            <v>Assistente social júnior</v>
          </cell>
          <cell r="D13" t="str">
            <v>mês</v>
          </cell>
          <cell r="E13">
            <v>2867.66</v>
          </cell>
          <cell r="F13">
            <v>0.79969999999999997</v>
          </cell>
          <cell r="G13">
            <v>2293.27</v>
          </cell>
          <cell r="H13">
            <v>0.2361</v>
          </cell>
          <cell r="I13">
            <v>677.01</v>
          </cell>
          <cell r="J13">
            <v>9.1000000000000004E-3</v>
          </cell>
          <cell r="K13">
            <v>26.03</v>
          </cell>
          <cell r="L13">
            <v>0</v>
          </cell>
          <cell r="M13">
            <v>0</v>
          </cell>
          <cell r="N13">
            <v>1.6400000000000001E-2</v>
          </cell>
          <cell r="O13">
            <v>46.97</v>
          </cell>
          <cell r="P13">
            <v>1.2999999999999999E-3</v>
          </cell>
          <cell r="Q13">
            <v>3.82</v>
          </cell>
          <cell r="R13">
            <v>0</v>
          </cell>
          <cell r="S13">
            <v>0</v>
          </cell>
          <cell r="T13">
            <v>0.1051</v>
          </cell>
          <cell r="U13">
            <v>301.42</v>
          </cell>
          <cell r="V13">
            <v>3.5000000000000001E-3</v>
          </cell>
          <cell r="W13">
            <v>9.98</v>
          </cell>
          <cell r="X13">
            <v>1.1712</v>
          </cell>
          <cell r="Y13">
            <v>3358.5</v>
          </cell>
          <cell r="Z13">
            <v>6226.16</v>
          </cell>
        </row>
        <row r="14">
          <cell r="B14" t="str">
            <v>P8020</v>
          </cell>
          <cell r="C14" t="str">
            <v>Assistente social pleno</v>
          </cell>
          <cell r="D14" t="str">
            <v>mês</v>
          </cell>
          <cell r="E14">
            <v>3823.55</v>
          </cell>
          <cell r="F14">
            <v>0.79969999999999997</v>
          </cell>
          <cell r="G14">
            <v>3057.69</v>
          </cell>
          <cell r="H14">
            <v>0.17710000000000001</v>
          </cell>
          <cell r="I14">
            <v>677.01</v>
          </cell>
          <cell r="J14">
            <v>6.7999999999999996E-3</v>
          </cell>
          <cell r="K14">
            <v>26.03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1E-3</v>
          </cell>
          <cell r="Q14">
            <v>3.82</v>
          </cell>
          <cell r="R14">
            <v>0</v>
          </cell>
          <cell r="S14">
            <v>0</v>
          </cell>
          <cell r="T14">
            <v>7.8799999999999995E-2</v>
          </cell>
          <cell r="U14">
            <v>301.42</v>
          </cell>
          <cell r="V14">
            <v>2.5999999999999999E-3</v>
          </cell>
          <cell r="W14">
            <v>9.98</v>
          </cell>
          <cell r="X14">
            <v>1.0660000000000001</v>
          </cell>
          <cell r="Y14">
            <v>4075.95</v>
          </cell>
          <cell r="Z14">
            <v>7899.5</v>
          </cell>
        </row>
        <row r="15">
          <cell r="B15" t="str">
            <v>P8021</v>
          </cell>
          <cell r="C15" t="str">
            <v>Assistente social sênior</v>
          </cell>
          <cell r="D15" t="str">
            <v>mês</v>
          </cell>
          <cell r="E15">
            <v>6517.04</v>
          </cell>
          <cell r="F15">
            <v>0.79969999999999997</v>
          </cell>
          <cell r="G15">
            <v>5211.68</v>
          </cell>
          <cell r="H15">
            <v>0.10390000000000001</v>
          </cell>
          <cell r="I15">
            <v>677.01</v>
          </cell>
          <cell r="J15">
            <v>4.0000000000000001E-3</v>
          </cell>
          <cell r="K15">
            <v>26.03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5.9999999999999995E-4</v>
          </cell>
          <cell r="Q15">
            <v>3.82</v>
          </cell>
          <cell r="R15">
            <v>0</v>
          </cell>
          <cell r="S15">
            <v>0</v>
          </cell>
          <cell r="T15">
            <v>4.6300000000000001E-2</v>
          </cell>
          <cell r="U15">
            <v>301.42</v>
          </cell>
          <cell r="V15">
            <v>1.5E-3</v>
          </cell>
          <cell r="W15">
            <v>9.98</v>
          </cell>
          <cell r="X15">
            <v>0.95589999999999997</v>
          </cell>
          <cell r="Y15">
            <v>6229.93</v>
          </cell>
          <cell r="Z15">
            <v>12746.97</v>
          </cell>
        </row>
        <row r="16">
          <cell r="B16" t="str">
            <v>P8025</v>
          </cell>
          <cell r="C16" t="str">
            <v>Auxiliar</v>
          </cell>
          <cell r="D16" t="str">
            <v>mês</v>
          </cell>
          <cell r="E16">
            <v>1428.53</v>
          </cell>
          <cell r="F16">
            <v>0.79979999999999996</v>
          </cell>
          <cell r="G16">
            <v>1142.54</v>
          </cell>
          <cell r="H16">
            <v>0.47389999999999999</v>
          </cell>
          <cell r="I16">
            <v>677.01</v>
          </cell>
          <cell r="J16">
            <v>2.2200000000000001E-2</v>
          </cell>
          <cell r="K16">
            <v>31.69</v>
          </cell>
          <cell r="L16">
            <v>1.1000000000000001E-3</v>
          </cell>
          <cell r="M16">
            <v>1.62</v>
          </cell>
          <cell r="N16">
            <v>9.3299999999999994E-2</v>
          </cell>
          <cell r="O16">
            <v>133.32</v>
          </cell>
          <cell r="P16">
            <v>2.5000000000000001E-3</v>
          </cell>
          <cell r="Q16">
            <v>3.57</v>
          </cell>
          <cell r="R16">
            <v>0</v>
          </cell>
          <cell r="S16">
            <v>0</v>
          </cell>
          <cell r="T16">
            <v>0.21099999999999999</v>
          </cell>
          <cell r="U16">
            <v>301.42</v>
          </cell>
          <cell r="V16">
            <v>7.0000000000000001E-3</v>
          </cell>
          <cell r="W16">
            <v>9.98</v>
          </cell>
          <cell r="X16">
            <v>1.6109</v>
          </cell>
          <cell r="Y16">
            <v>2301.15</v>
          </cell>
          <cell r="Z16">
            <v>3729.68</v>
          </cell>
        </row>
        <row r="17">
          <cell r="B17" t="str">
            <v>P8026</v>
          </cell>
          <cell r="C17" t="str">
            <v>Auxiliar administrativo</v>
          </cell>
          <cell r="D17" t="str">
            <v>mês</v>
          </cell>
          <cell r="E17">
            <v>1708.51</v>
          </cell>
          <cell r="F17">
            <v>0.80110000000000003</v>
          </cell>
          <cell r="G17">
            <v>1368.69</v>
          </cell>
          <cell r="H17">
            <v>0.39629999999999999</v>
          </cell>
          <cell r="I17">
            <v>677.01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6.8199999999999997E-2</v>
          </cell>
          <cell r="O17">
            <v>116.52</v>
          </cell>
          <cell r="P17">
            <v>2.5000000000000001E-3</v>
          </cell>
          <cell r="Q17">
            <v>4.28</v>
          </cell>
          <cell r="R17">
            <v>0</v>
          </cell>
          <cell r="S17">
            <v>0</v>
          </cell>
          <cell r="T17">
            <v>0.1764</v>
          </cell>
          <cell r="U17">
            <v>301.42</v>
          </cell>
          <cell r="V17">
            <v>5.7999999999999996E-3</v>
          </cell>
          <cell r="W17">
            <v>9.98</v>
          </cell>
          <cell r="X17">
            <v>1.4502999999999999</v>
          </cell>
          <cell r="Y17">
            <v>2477.89</v>
          </cell>
          <cell r="Z17">
            <v>4186.3999999999996</v>
          </cell>
        </row>
        <row r="18">
          <cell r="B18" t="str">
            <v>P8027</v>
          </cell>
          <cell r="C18" t="str">
            <v>Auxiliar de laboratório</v>
          </cell>
          <cell r="D18" t="str">
            <v>mês</v>
          </cell>
          <cell r="E18">
            <v>1609.67</v>
          </cell>
          <cell r="F18">
            <v>0.79879999999999995</v>
          </cell>
          <cell r="G18">
            <v>1285.81</v>
          </cell>
          <cell r="H18">
            <v>0.42059999999999997</v>
          </cell>
          <cell r="I18">
            <v>677.01</v>
          </cell>
          <cell r="J18">
            <v>1.9699999999999999E-2</v>
          </cell>
          <cell r="K18">
            <v>31.69</v>
          </cell>
          <cell r="L18">
            <v>2.0999999999999999E-3</v>
          </cell>
          <cell r="M18">
            <v>3.35</v>
          </cell>
          <cell r="N18">
            <v>7.6100000000000001E-2</v>
          </cell>
          <cell r="O18">
            <v>122.45</v>
          </cell>
          <cell r="P18">
            <v>2.7000000000000001E-3</v>
          </cell>
          <cell r="Q18">
            <v>4.37</v>
          </cell>
          <cell r="R18">
            <v>0</v>
          </cell>
          <cell r="S18">
            <v>0</v>
          </cell>
          <cell r="T18">
            <v>0.18729999999999999</v>
          </cell>
          <cell r="U18">
            <v>301.42</v>
          </cell>
          <cell r="V18">
            <v>6.1999999999999998E-3</v>
          </cell>
          <cell r="W18">
            <v>9.98</v>
          </cell>
          <cell r="X18">
            <v>1.5134000000000001</v>
          </cell>
          <cell r="Y18">
            <v>2436.08</v>
          </cell>
          <cell r="Z18">
            <v>4045.75</v>
          </cell>
        </row>
        <row r="19">
          <cell r="B19" t="str">
            <v>P8028</v>
          </cell>
          <cell r="C19" t="str">
            <v>Auxiliar de topografia</v>
          </cell>
          <cell r="D19" t="str">
            <v>mês</v>
          </cell>
          <cell r="E19">
            <v>1428.53</v>
          </cell>
          <cell r="F19">
            <v>0.7994</v>
          </cell>
          <cell r="G19">
            <v>1141.97</v>
          </cell>
          <cell r="H19">
            <v>0.47389999999999999</v>
          </cell>
          <cell r="I19">
            <v>677.01</v>
          </cell>
          <cell r="J19">
            <v>2.2200000000000001E-2</v>
          </cell>
          <cell r="K19">
            <v>31.69</v>
          </cell>
          <cell r="L19">
            <v>1E-3</v>
          </cell>
          <cell r="M19">
            <v>1.41</v>
          </cell>
          <cell r="N19">
            <v>9.3299999999999994E-2</v>
          </cell>
          <cell r="O19">
            <v>133.32</v>
          </cell>
          <cell r="P19">
            <v>3.0999999999999999E-3</v>
          </cell>
          <cell r="Q19">
            <v>4.4800000000000004</v>
          </cell>
          <cell r="R19">
            <v>0</v>
          </cell>
          <cell r="S19">
            <v>0</v>
          </cell>
          <cell r="T19">
            <v>0.21099999999999999</v>
          </cell>
          <cell r="U19">
            <v>301.42</v>
          </cell>
          <cell r="V19">
            <v>7.0000000000000001E-3</v>
          </cell>
          <cell r="W19">
            <v>9.98</v>
          </cell>
          <cell r="X19">
            <v>1.6109</v>
          </cell>
          <cell r="Y19">
            <v>2301.27</v>
          </cell>
          <cell r="Z19">
            <v>3729.8</v>
          </cell>
        </row>
        <row r="20">
          <cell r="B20" t="str">
            <v>P8032</v>
          </cell>
          <cell r="C20" t="str">
            <v>Biólogo júnior</v>
          </cell>
          <cell r="D20" t="str">
            <v>mês</v>
          </cell>
          <cell r="E20">
            <v>3084.04</v>
          </cell>
          <cell r="F20">
            <v>0.79479999999999995</v>
          </cell>
          <cell r="G20">
            <v>2451.1999999999998</v>
          </cell>
          <cell r="H20">
            <v>0.2195</v>
          </cell>
          <cell r="I20">
            <v>677.01</v>
          </cell>
          <cell r="J20">
            <v>8.3999999999999995E-3</v>
          </cell>
          <cell r="K20">
            <v>26.03</v>
          </cell>
          <cell r="L20">
            <v>0</v>
          </cell>
          <cell r="M20">
            <v>0</v>
          </cell>
          <cell r="N20">
            <v>1.0999999999999999E-2</v>
          </cell>
          <cell r="O20">
            <v>33.99</v>
          </cell>
          <cell r="P20">
            <v>1.1000000000000001E-3</v>
          </cell>
          <cell r="Q20">
            <v>3.31</v>
          </cell>
          <cell r="R20">
            <v>0</v>
          </cell>
          <cell r="S20">
            <v>0</v>
          </cell>
          <cell r="T20">
            <v>9.7699999999999995E-2</v>
          </cell>
          <cell r="U20">
            <v>301.42</v>
          </cell>
          <cell r="V20">
            <v>3.2000000000000002E-3</v>
          </cell>
          <cell r="W20">
            <v>9.98</v>
          </cell>
          <cell r="X20">
            <v>1.1357999999999999</v>
          </cell>
          <cell r="Y20">
            <v>3502.93</v>
          </cell>
          <cell r="Z20">
            <v>6586.97</v>
          </cell>
        </row>
        <row r="21">
          <cell r="B21" t="str">
            <v>P8033</v>
          </cell>
          <cell r="C21" t="str">
            <v>Biólogo pleno</v>
          </cell>
          <cell r="D21" t="str">
            <v>mês</v>
          </cell>
          <cell r="E21">
            <v>4112.0600000000004</v>
          </cell>
          <cell r="F21">
            <v>0.79479999999999995</v>
          </cell>
          <cell r="G21">
            <v>3268.26</v>
          </cell>
          <cell r="H21">
            <v>0.1646</v>
          </cell>
          <cell r="I21">
            <v>677.01</v>
          </cell>
          <cell r="J21">
            <v>6.3E-3</v>
          </cell>
          <cell r="K21">
            <v>26.03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8.0000000000000004E-4</v>
          </cell>
          <cell r="Q21">
            <v>3.31</v>
          </cell>
          <cell r="R21">
            <v>0</v>
          </cell>
          <cell r="S21">
            <v>0</v>
          </cell>
          <cell r="T21">
            <v>7.3300000000000004E-2</v>
          </cell>
          <cell r="U21">
            <v>301.42</v>
          </cell>
          <cell r="V21">
            <v>2.3999999999999998E-3</v>
          </cell>
          <cell r="W21">
            <v>9.98</v>
          </cell>
          <cell r="X21">
            <v>1.0423</v>
          </cell>
          <cell r="Y21">
            <v>4286.01</v>
          </cell>
          <cell r="Z21">
            <v>8398.06</v>
          </cell>
        </row>
        <row r="22">
          <cell r="B22" t="str">
            <v>P8034</v>
          </cell>
          <cell r="C22" t="str">
            <v>Biólogo sênior</v>
          </cell>
          <cell r="D22" t="str">
            <v>mês</v>
          </cell>
          <cell r="E22">
            <v>7148.83</v>
          </cell>
          <cell r="F22">
            <v>0.79479999999999995</v>
          </cell>
          <cell r="G22">
            <v>5681.89</v>
          </cell>
          <cell r="H22">
            <v>9.4700000000000006E-2</v>
          </cell>
          <cell r="I22">
            <v>677.01</v>
          </cell>
          <cell r="J22">
            <v>3.5999999999999999E-3</v>
          </cell>
          <cell r="K22">
            <v>26.03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5.0000000000000001E-4</v>
          </cell>
          <cell r="Q22">
            <v>3.31</v>
          </cell>
          <cell r="R22">
            <v>0</v>
          </cell>
          <cell r="S22">
            <v>0</v>
          </cell>
          <cell r="T22">
            <v>4.2200000000000001E-2</v>
          </cell>
          <cell r="U22">
            <v>301.42</v>
          </cell>
          <cell r="V22">
            <v>1.4E-3</v>
          </cell>
          <cell r="W22">
            <v>9.98</v>
          </cell>
          <cell r="X22">
            <v>0.93720000000000003</v>
          </cell>
          <cell r="Y22">
            <v>6699.64</v>
          </cell>
          <cell r="Z22">
            <v>13848.47</v>
          </cell>
        </row>
        <row r="23">
          <cell r="B23" t="str">
            <v>P8038</v>
          </cell>
          <cell r="C23" t="str">
            <v>Chefe de escritório</v>
          </cell>
          <cell r="D23" t="str">
            <v>mês</v>
          </cell>
          <cell r="E23">
            <v>3122.68</v>
          </cell>
          <cell r="F23">
            <v>0.79720000000000002</v>
          </cell>
          <cell r="G23">
            <v>2489.4</v>
          </cell>
          <cell r="H23">
            <v>0.21679999999999999</v>
          </cell>
          <cell r="I23">
            <v>677.01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1.01E-2</v>
          </cell>
          <cell r="O23">
            <v>31.67</v>
          </cell>
          <cell r="P23">
            <v>1E-3</v>
          </cell>
          <cell r="Q23">
            <v>3.05</v>
          </cell>
          <cell r="R23">
            <v>0</v>
          </cell>
          <cell r="S23">
            <v>0</v>
          </cell>
          <cell r="T23">
            <v>9.6500000000000002E-2</v>
          </cell>
          <cell r="U23">
            <v>301.42</v>
          </cell>
          <cell r="V23">
            <v>3.2000000000000002E-3</v>
          </cell>
          <cell r="W23">
            <v>9.98</v>
          </cell>
          <cell r="X23">
            <v>1.1248</v>
          </cell>
          <cell r="Y23">
            <v>3512.52</v>
          </cell>
          <cell r="Z23">
            <v>6635.2</v>
          </cell>
        </row>
        <row r="24">
          <cell r="B24" t="str">
            <v>P8040</v>
          </cell>
          <cell r="C24" t="str">
            <v>Contador júnior</v>
          </cell>
          <cell r="D24" t="str">
            <v>mês</v>
          </cell>
          <cell r="E24">
            <v>3909.36</v>
          </cell>
          <cell r="F24">
            <v>0.79610000000000003</v>
          </cell>
          <cell r="G24">
            <v>3112.24</v>
          </cell>
          <cell r="H24">
            <v>0.17319999999999999</v>
          </cell>
          <cell r="I24">
            <v>677.01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8.0000000000000004E-4</v>
          </cell>
          <cell r="Q24">
            <v>3.14</v>
          </cell>
          <cell r="R24">
            <v>0</v>
          </cell>
          <cell r="S24">
            <v>0</v>
          </cell>
          <cell r="T24">
            <v>7.7100000000000002E-2</v>
          </cell>
          <cell r="U24">
            <v>301.42</v>
          </cell>
          <cell r="V24">
            <v>2.5999999999999999E-3</v>
          </cell>
          <cell r="W24">
            <v>9.98</v>
          </cell>
          <cell r="X24">
            <v>1.0497000000000001</v>
          </cell>
          <cell r="Y24">
            <v>4103.79</v>
          </cell>
          <cell r="Z24">
            <v>8013.14</v>
          </cell>
        </row>
        <row r="25">
          <cell r="B25" t="str">
            <v>P8041</v>
          </cell>
          <cell r="C25" t="str">
            <v>Contador pleno</v>
          </cell>
          <cell r="D25" t="str">
            <v>mês</v>
          </cell>
          <cell r="E25">
            <v>5212.47</v>
          </cell>
          <cell r="F25">
            <v>0.79610000000000003</v>
          </cell>
          <cell r="G25">
            <v>4149.6499999999996</v>
          </cell>
          <cell r="H25">
            <v>0.12989999999999999</v>
          </cell>
          <cell r="I25">
            <v>677.01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5.9999999999999995E-4</v>
          </cell>
          <cell r="Q25">
            <v>3.14</v>
          </cell>
          <cell r="R25">
            <v>0</v>
          </cell>
          <cell r="S25">
            <v>0</v>
          </cell>
          <cell r="T25">
            <v>5.7799999999999997E-2</v>
          </cell>
          <cell r="U25">
            <v>301.42</v>
          </cell>
          <cell r="V25">
            <v>1.9E-3</v>
          </cell>
          <cell r="W25">
            <v>9.98</v>
          </cell>
          <cell r="X25">
            <v>0.98629999999999995</v>
          </cell>
          <cell r="Y25">
            <v>5141.2</v>
          </cell>
          <cell r="Z25">
            <v>10353.67</v>
          </cell>
        </row>
        <row r="26">
          <cell r="B26" t="str">
            <v>P8042</v>
          </cell>
          <cell r="C26" t="str">
            <v>Contador sênior</v>
          </cell>
          <cell r="D26" t="str">
            <v>mês</v>
          </cell>
          <cell r="E26">
            <v>9737.02</v>
          </cell>
          <cell r="F26">
            <v>0.79610000000000003</v>
          </cell>
          <cell r="G26">
            <v>7751.64</v>
          </cell>
          <cell r="H26">
            <v>6.9500000000000006E-2</v>
          </cell>
          <cell r="I26">
            <v>677.01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2.9999999999999997E-4</v>
          </cell>
          <cell r="Q26">
            <v>3.14</v>
          </cell>
          <cell r="R26">
            <v>0</v>
          </cell>
          <cell r="S26">
            <v>0</v>
          </cell>
          <cell r="T26">
            <v>3.1E-2</v>
          </cell>
          <cell r="U26">
            <v>301.42</v>
          </cell>
          <cell r="V26">
            <v>1E-3</v>
          </cell>
          <cell r="W26">
            <v>9.98</v>
          </cell>
          <cell r="X26">
            <v>0.89790000000000003</v>
          </cell>
          <cell r="Y26">
            <v>8743.19</v>
          </cell>
          <cell r="Z26">
            <v>18480.22</v>
          </cell>
        </row>
        <row r="27">
          <cell r="B27" t="str">
            <v>P8044</v>
          </cell>
          <cell r="C27" t="str">
            <v xml:space="preserve">Coordenador ambiental </v>
          </cell>
          <cell r="D27" t="str">
            <v>mês</v>
          </cell>
          <cell r="E27">
            <v>15552.43</v>
          </cell>
          <cell r="F27">
            <v>0.79449999999999998</v>
          </cell>
          <cell r="G27">
            <v>12356.4</v>
          </cell>
          <cell r="H27">
            <v>4.3499999999999997E-2</v>
          </cell>
          <cell r="I27">
            <v>677.01</v>
          </cell>
          <cell r="J27">
            <v>1.5E-3</v>
          </cell>
          <cell r="K27">
            <v>23.77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2.0000000000000001E-4</v>
          </cell>
          <cell r="Q27">
            <v>3.38</v>
          </cell>
          <cell r="R27">
            <v>0</v>
          </cell>
          <cell r="S27">
            <v>0</v>
          </cell>
          <cell r="T27">
            <v>1.9400000000000001E-2</v>
          </cell>
          <cell r="U27">
            <v>301.42</v>
          </cell>
          <cell r="V27">
            <v>5.9999999999999995E-4</v>
          </cell>
          <cell r="W27">
            <v>9.98</v>
          </cell>
          <cell r="X27">
            <v>0.85980000000000001</v>
          </cell>
          <cell r="Y27">
            <v>13371.96</v>
          </cell>
          <cell r="Z27">
            <v>28924.39</v>
          </cell>
        </row>
        <row r="28">
          <cell r="B28" t="str">
            <v>P8045</v>
          </cell>
          <cell r="C28" t="str">
            <v>Economista júnior</v>
          </cell>
          <cell r="D28" t="str">
            <v>mês</v>
          </cell>
          <cell r="E28">
            <v>4306.55</v>
          </cell>
          <cell r="F28">
            <v>0.79220000000000002</v>
          </cell>
          <cell r="G28">
            <v>3411.65</v>
          </cell>
          <cell r="H28">
            <v>0.15720000000000001</v>
          </cell>
          <cell r="I28">
            <v>677.01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6.9999999999999999E-4</v>
          </cell>
          <cell r="Q28">
            <v>3.03</v>
          </cell>
          <cell r="R28">
            <v>0</v>
          </cell>
          <cell r="S28">
            <v>0</v>
          </cell>
          <cell r="T28">
            <v>7.0000000000000007E-2</v>
          </cell>
          <cell r="U28">
            <v>301.42</v>
          </cell>
          <cell r="V28">
            <v>2.3E-3</v>
          </cell>
          <cell r="W28">
            <v>9.98</v>
          </cell>
          <cell r="X28">
            <v>1.0224</v>
          </cell>
          <cell r="Y28">
            <v>4403.09</v>
          </cell>
          <cell r="Z28">
            <v>8709.64</v>
          </cell>
        </row>
        <row r="29">
          <cell r="B29" t="str">
            <v>P8046</v>
          </cell>
          <cell r="C29" t="str">
            <v>Economista pleno</v>
          </cell>
          <cell r="D29" t="str">
            <v>mês</v>
          </cell>
          <cell r="E29">
            <v>5742.07</v>
          </cell>
          <cell r="F29">
            <v>0.79220000000000002</v>
          </cell>
          <cell r="G29">
            <v>4548.87</v>
          </cell>
          <cell r="H29">
            <v>0.1179</v>
          </cell>
          <cell r="I29">
            <v>677.01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5.0000000000000001E-4</v>
          </cell>
          <cell r="Q29">
            <v>3.03</v>
          </cell>
          <cell r="R29">
            <v>0</v>
          </cell>
          <cell r="S29">
            <v>0</v>
          </cell>
          <cell r="T29">
            <v>5.2499999999999998E-2</v>
          </cell>
          <cell r="U29">
            <v>301.42</v>
          </cell>
          <cell r="V29">
            <v>1.6999999999999999E-3</v>
          </cell>
          <cell r="W29">
            <v>9.98</v>
          </cell>
          <cell r="X29">
            <v>0.96489999999999998</v>
          </cell>
          <cell r="Y29">
            <v>5540.31</v>
          </cell>
          <cell r="Z29">
            <v>11282.38</v>
          </cell>
        </row>
        <row r="30">
          <cell r="B30" t="str">
            <v>P8047</v>
          </cell>
          <cell r="C30" t="str">
            <v>Economista sênior</v>
          </cell>
          <cell r="D30" t="str">
            <v>mês</v>
          </cell>
          <cell r="E30">
            <v>9853.56</v>
          </cell>
          <cell r="F30">
            <v>0.79220000000000002</v>
          </cell>
          <cell r="G30">
            <v>7805.99</v>
          </cell>
          <cell r="H30">
            <v>6.8699999999999997E-2</v>
          </cell>
          <cell r="I30">
            <v>677.01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2.9999999999999997E-4</v>
          </cell>
          <cell r="Q30">
            <v>3.03</v>
          </cell>
          <cell r="R30">
            <v>0</v>
          </cell>
          <cell r="S30">
            <v>0</v>
          </cell>
          <cell r="T30">
            <v>3.0599999999999999E-2</v>
          </cell>
          <cell r="U30">
            <v>301.42</v>
          </cell>
          <cell r="V30">
            <v>1E-3</v>
          </cell>
          <cell r="W30">
            <v>9.98</v>
          </cell>
          <cell r="X30">
            <v>0.89280000000000004</v>
          </cell>
          <cell r="Y30">
            <v>8797.43</v>
          </cell>
          <cell r="Z30">
            <v>18650.990000000002</v>
          </cell>
        </row>
        <row r="31">
          <cell r="B31" t="str">
            <v>P8054</v>
          </cell>
          <cell r="C31" t="str">
            <v>Engenheiro agrônomo júnior</v>
          </cell>
          <cell r="D31" t="str">
            <v>mês</v>
          </cell>
          <cell r="E31">
            <v>11067</v>
          </cell>
          <cell r="F31">
            <v>0.7903</v>
          </cell>
          <cell r="G31">
            <v>8746.25</v>
          </cell>
          <cell r="H31">
            <v>6.1199999999999997E-2</v>
          </cell>
          <cell r="I31">
            <v>677.01</v>
          </cell>
          <cell r="J31">
            <v>2.3999999999999998E-3</v>
          </cell>
          <cell r="K31">
            <v>26.03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2.9999999999999997E-4</v>
          </cell>
          <cell r="Q31">
            <v>3.08</v>
          </cell>
          <cell r="R31">
            <v>0</v>
          </cell>
          <cell r="S31">
            <v>0</v>
          </cell>
          <cell r="T31">
            <v>2.7199999999999998E-2</v>
          </cell>
          <cell r="U31">
            <v>301.42</v>
          </cell>
          <cell r="V31">
            <v>8.9999999999999998E-4</v>
          </cell>
          <cell r="W31">
            <v>9.98</v>
          </cell>
          <cell r="X31">
            <v>0.88219999999999998</v>
          </cell>
          <cell r="Y31">
            <v>9763.76</v>
          </cell>
          <cell r="Z31">
            <v>20830.759999999998</v>
          </cell>
        </row>
        <row r="32">
          <cell r="B32" t="str">
            <v>P8055</v>
          </cell>
          <cell r="C32" t="str">
            <v>Engenheiro agrônomo pleno</v>
          </cell>
          <cell r="D32" t="str">
            <v>mês</v>
          </cell>
          <cell r="E32">
            <v>12027.17</v>
          </cell>
          <cell r="F32">
            <v>0.7903</v>
          </cell>
          <cell r="G32">
            <v>9505.07</v>
          </cell>
          <cell r="H32">
            <v>5.6300000000000003E-2</v>
          </cell>
          <cell r="I32">
            <v>677.01</v>
          </cell>
          <cell r="J32">
            <v>2.2000000000000001E-3</v>
          </cell>
          <cell r="K32">
            <v>26.03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2.9999999999999997E-4</v>
          </cell>
          <cell r="Q32">
            <v>3.08</v>
          </cell>
          <cell r="R32">
            <v>0</v>
          </cell>
          <cell r="S32">
            <v>0</v>
          </cell>
          <cell r="T32">
            <v>2.5100000000000001E-2</v>
          </cell>
          <cell r="U32">
            <v>301.42</v>
          </cell>
          <cell r="V32">
            <v>8.0000000000000004E-4</v>
          </cell>
          <cell r="W32">
            <v>9.98</v>
          </cell>
          <cell r="X32">
            <v>0.87490000000000001</v>
          </cell>
          <cell r="Y32">
            <v>10522.59</v>
          </cell>
          <cell r="Z32">
            <v>22549.759999999998</v>
          </cell>
        </row>
        <row r="33">
          <cell r="B33" t="str">
            <v>P8056</v>
          </cell>
          <cell r="C33" t="str">
            <v>Engenheiro agrônomo sênior</v>
          </cell>
          <cell r="D33" t="str">
            <v>mês</v>
          </cell>
          <cell r="E33">
            <v>12987.35</v>
          </cell>
          <cell r="F33">
            <v>0.7903</v>
          </cell>
          <cell r="G33">
            <v>10263.9</v>
          </cell>
          <cell r="H33">
            <v>5.21E-2</v>
          </cell>
          <cell r="I33">
            <v>677.01</v>
          </cell>
          <cell r="J33">
            <v>2E-3</v>
          </cell>
          <cell r="K33">
            <v>26.03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2.0000000000000001E-4</v>
          </cell>
          <cell r="Q33">
            <v>3.08</v>
          </cell>
          <cell r="R33">
            <v>0</v>
          </cell>
          <cell r="S33">
            <v>0</v>
          </cell>
          <cell r="T33">
            <v>2.3199999999999998E-2</v>
          </cell>
          <cell r="U33">
            <v>301.42</v>
          </cell>
          <cell r="V33">
            <v>8.0000000000000004E-4</v>
          </cell>
          <cell r="W33">
            <v>9.98</v>
          </cell>
          <cell r="X33">
            <v>0.86860000000000004</v>
          </cell>
          <cell r="Y33">
            <v>11281.41</v>
          </cell>
          <cell r="Z33">
            <v>24268.76</v>
          </cell>
        </row>
        <row r="34">
          <cell r="B34" t="str">
            <v>P8057</v>
          </cell>
          <cell r="C34" t="str">
            <v>Engenheiro ambiental júnior</v>
          </cell>
          <cell r="D34" t="str">
            <v>mês</v>
          </cell>
          <cell r="E34">
            <v>11067</v>
          </cell>
          <cell r="F34">
            <v>0.79569999999999996</v>
          </cell>
          <cell r="G34">
            <v>8806.01</v>
          </cell>
          <cell r="H34">
            <v>6.1199999999999997E-2</v>
          </cell>
          <cell r="I34">
            <v>677.01</v>
          </cell>
          <cell r="J34">
            <v>2.3999999999999998E-3</v>
          </cell>
          <cell r="K34">
            <v>26.03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2.9999999999999997E-4</v>
          </cell>
          <cell r="Q34">
            <v>3.45</v>
          </cell>
          <cell r="R34">
            <v>0</v>
          </cell>
          <cell r="S34">
            <v>0</v>
          </cell>
          <cell r="T34">
            <v>2.7199999999999998E-2</v>
          </cell>
          <cell r="U34">
            <v>301.42</v>
          </cell>
          <cell r="V34">
            <v>8.9999999999999998E-4</v>
          </cell>
          <cell r="W34">
            <v>9.98</v>
          </cell>
          <cell r="X34">
            <v>0.88770000000000004</v>
          </cell>
          <cell r="Y34">
            <v>9823.9</v>
          </cell>
          <cell r="Z34">
            <v>20890.900000000001</v>
          </cell>
        </row>
        <row r="35">
          <cell r="B35" t="str">
            <v>P8058</v>
          </cell>
          <cell r="C35" t="str">
            <v>Engenheiro ambiental pleno</v>
          </cell>
          <cell r="D35" t="str">
            <v>mês</v>
          </cell>
          <cell r="E35">
            <v>11113.77</v>
          </cell>
          <cell r="F35">
            <v>0.79569999999999996</v>
          </cell>
          <cell r="G35">
            <v>8843.23</v>
          </cell>
          <cell r="H35">
            <v>6.0900000000000003E-2</v>
          </cell>
          <cell r="I35">
            <v>677.01</v>
          </cell>
          <cell r="J35">
            <v>2.3E-3</v>
          </cell>
          <cell r="K35">
            <v>26.03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2.9999999999999997E-4</v>
          </cell>
          <cell r="Q35">
            <v>3.45</v>
          </cell>
          <cell r="R35">
            <v>0</v>
          </cell>
          <cell r="S35">
            <v>0</v>
          </cell>
          <cell r="T35">
            <v>2.7099999999999999E-2</v>
          </cell>
          <cell r="U35">
            <v>301.42</v>
          </cell>
          <cell r="V35">
            <v>8.9999999999999998E-4</v>
          </cell>
          <cell r="W35">
            <v>9.98</v>
          </cell>
          <cell r="X35">
            <v>0.88729999999999998</v>
          </cell>
          <cell r="Y35">
            <v>9861.1200000000008</v>
          </cell>
          <cell r="Z35">
            <v>20974.89</v>
          </cell>
        </row>
        <row r="36">
          <cell r="B36" t="str">
            <v>P8059</v>
          </cell>
          <cell r="C36" t="str">
            <v>Engenheiro ambiental sênior</v>
          </cell>
          <cell r="D36" t="str">
            <v>mês</v>
          </cell>
          <cell r="E36">
            <v>13306.5</v>
          </cell>
          <cell r="F36">
            <v>0.79569999999999996</v>
          </cell>
          <cell r="G36">
            <v>10587.98</v>
          </cell>
          <cell r="H36">
            <v>5.0900000000000001E-2</v>
          </cell>
          <cell r="I36">
            <v>677.01</v>
          </cell>
          <cell r="J36">
            <v>2E-3</v>
          </cell>
          <cell r="K36">
            <v>26.03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2.9999999999999997E-4</v>
          </cell>
          <cell r="Q36">
            <v>3.45</v>
          </cell>
          <cell r="R36">
            <v>0</v>
          </cell>
          <cell r="S36">
            <v>0</v>
          </cell>
          <cell r="T36">
            <v>2.2700000000000001E-2</v>
          </cell>
          <cell r="U36">
            <v>301.42</v>
          </cell>
          <cell r="V36">
            <v>8.0000000000000004E-4</v>
          </cell>
          <cell r="W36">
            <v>9.98</v>
          </cell>
          <cell r="X36">
            <v>0.87219999999999998</v>
          </cell>
          <cell r="Y36">
            <v>11605.87</v>
          </cell>
          <cell r="Z36">
            <v>24912.36</v>
          </cell>
        </row>
        <row r="37">
          <cell r="B37" t="str">
            <v>P8060</v>
          </cell>
          <cell r="C37" t="str">
            <v>Engenheiro consultor especial</v>
          </cell>
          <cell r="D37" t="str">
            <v>mês</v>
          </cell>
          <cell r="E37">
            <v>20421.759999999998</v>
          </cell>
          <cell r="F37">
            <v>0.79390000000000005</v>
          </cell>
          <cell r="G37">
            <v>16212.84</v>
          </cell>
          <cell r="H37">
            <v>3.32E-2</v>
          </cell>
          <cell r="I37">
            <v>677.01</v>
          </cell>
          <cell r="J37">
            <v>1.1999999999999999E-3</v>
          </cell>
          <cell r="K37">
            <v>23.77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2.0000000000000001E-4</v>
          </cell>
          <cell r="Q37">
            <v>3.32</v>
          </cell>
          <cell r="R37">
            <v>0</v>
          </cell>
          <cell r="S37">
            <v>0</v>
          </cell>
          <cell r="T37">
            <v>1.4800000000000001E-2</v>
          </cell>
          <cell r="U37">
            <v>301.42</v>
          </cell>
          <cell r="V37">
            <v>5.0000000000000001E-4</v>
          </cell>
          <cell r="W37">
            <v>9.98</v>
          </cell>
          <cell r="X37">
            <v>0.84360000000000002</v>
          </cell>
          <cell r="Y37">
            <v>17228.34</v>
          </cell>
          <cell r="Z37">
            <v>37650.1</v>
          </cell>
        </row>
        <row r="38">
          <cell r="B38" t="str">
            <v>P8061</v>
          </cell>
          <cell r="C38" t="str">
            <v>Engenheiro coordenador</v>
          </cell>
          <cell r="D38" t="str">
            <v>mês</v>
          </cell>
          <cell r="E38">
            <v>17018.13</v>
          </cell>
          <cell r="F38">
            <v>0.79390000000000005</v>
          </cell>
          <cell r="G38">
            <v>13510.7</v>
          </cell>
          <cell r="H38">
            <v>3.9800000000000002E-2</v>
          </cell>
          <cell r="I38">
            <v>677.01</v>
          </cell>
          <cell r="J38">
            <v>1.4E-3</v>
          </cell>
          <cell r="K38">
            <v>23.77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2.0000000000000001E-4</v>
          </cell>
          <cell r="Q38">
            <v>3.32</v>
          </cell>
          <cell r="R38">
            <v>0</v>
          </cell>
          <cell r="S38">
            <v>0</v>
          </cell>
          <cell r="T38">
            <v>1.77E-2</v>
          </cell>
          <cell r="U38">
            <v>301.42</v>
          </cell>
          <cell r="V38">
            <v>5.9999999999999995E-4</v>
          </cell>
          <cell r="W38">
            <v>9.98</v>
          </cell>
          <cell r="X38">
            <v>0.85360000000000003</v>
          </cell>
          <cell r="Y38">
            <v>14526.2</v>
          </cell>
          <cell r="Z38">
            <v>31544.33</v>
          </cell>
        </row>
        <row r="39">
          <cell r="B39" t="str">
            <v>P8062</v>
          </cell>
          <cell r="C39" t="str">
            <v>Engenheiro de pesca júnior</v>
          </cell>
          <cell r="D39" t="str">
            <v>mês</v>
          </cell>
          <cell r="E39">
            <v>11067</v>
          </cell>
          <cell r="F39">
            <v>0.79710000000000003</v>
          </cell>
          <cell r="G39">
            <v>8821.51</v>
          </cell>
          <cell r="H39">
            <v>6.1199999999999997E-2</v>
          </cell>
          <cell r="I39">
            <v>677.01</v>
          </cell>
          <cell r="J39">
            <v>2.3999999999999998E-3</v>
          </cell>
          <cell r="K39">
            <v>26.03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4.0000000000000002E-4</v>
          </cell>
          <cell r="Q39">
            <v>3.89</v>
          </cell>
          <cell r="R39">
            <v>0</v>
          </cell>
          <cell r="S39">
            <v>0</v>
          </cell>
          <cell r="T39">
            <v>2.7199999999999998E-2</v>
          </cell>
          <cell r="U39">
            <v>301.42</v>
          </cell>
          <cell r="V39">
            <v>8.9999999999999998E-4</v>
          </cell>
          <cell r="W39">
            <v>9.98</v>
          </cell>
          <cell r="X39">
            <v>0.8891</v>
          </cell>
          <cell r="Y39">
            <v>9839.83</v>
          </cell>
          <cell r="Z39">
            <v>20906.830000000002</v>
          </cell>
        </row>
        <row r="40">
          <cell r="B40" t="str">
            <v>P8063</v>
          </cell>
          <cell r="C40" t="str">
            <v>Engenheiro de pesca pleno</v>
          </cell>
          <cell r="D40" t="str">
            <v>mês</v>
          </cell>
          <cell r="E40">
            <v>11199.09</v>
          </cell>
          <cell r="F40">
            <v>0.79710000000000003</v>
          </cell>
          <cell r="G40">
            <v>8926.7999999999993</v>
          </cell>
          <cell r="H40">
            <v>6.0499999999999998E-2</v>
          </cell>
          <cell r="I40">
            <v>677.01</v>
          </cell>
          <cell r="J40">
            <v>2.3E-3</v>
          </cell>
          <cell r="K40">
            <v>26.03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2.9999999999999997E-4</v>
          </cell>
          <cell r="Q40">
            <v>3.89</v>
          </cell>
          <cell r="R40">
            <v>0</v>
          </cell>
          <cell r="S40">
            <v>0</v>
          </cell>
          <cell r="T40">
            <v>2.69E-2</v>
          </cell>
          <cell r="U40">
            <v>301.42</v>
          </cell>
          <cell r="V40">
            <v>8.9999999999999998E-4</v>
          </cell>
          <cell r="W40">
            <v>9.98</v>
          </cell>
          <cell r="X40">
            <v>0.88800000000000001</v>
          </cell>
          <cell r="Y40">
            <v>9945.1200000000008</v>
          </cell>
          <cell r="Z40">
            <v>21144.22</v>
          </cell>
        </row>
        <row r="41">
          <cell r="B41" t="str">
            <v>P8064</v>
          </cell>
          <cell r="C41" t="str">
            <v>Engenheiro de pesca sênior</v>
          </cell>
          <cell r="D41" t="str">
            <v>mês</v>
          </cell>
          <cell r="E41">
            <v>12672.11</v>
          </cell>
          <cell r="F41">
            <v>0.79710000000000003</v>
          </cell>
          <cell r="G41">
            <v>10100.94</v>
          </cell>
          <cell r="H41">
            <v>5.3400000000000003E-2</v>
          </cell>
          <cell r="I41">
            <v>677.01</v>
          </cell>
          <cell r="J41">
            <v>2.0999999999999999E-3</v>
          </cell>
          <cell r="K41">
            <v>26.03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2.9999999999999997E-4</v>
          </cell>
          <cell r="Q41">
            <v>3.89</v>
          </cell>
          <cell r="R41">
            <v>0</v>
          </cell>
          <cell r="S41">
            <v>0</v>
          </cell>
          <cell r="T41">
            <v>2.3800000000000002E-2</v>
          </cell>
          <cell r="U41">
            <v>301.42</v>
          </cell>
          <cell r="V41">
            <v>8.0000000000000004E-4</v>
          </cell>
          <cell r="W41">
            <v>9.98</v>
          </cell>
          <cell r="X41">
            <v>0.87749999999999995</v>
          </cell>
          <cell r="Y41">
            <v>11119.27</v>
          </cell>
          <cell r="Z41">
            <v>23791.38</v>
          </cell>
        </row>
        <row r="42">
          <cell r="B42" t="str">
            <v>P8065</v>
          </cell>
          <cell r="C42" t="str">
            <v>Engenheiro de projetos júnior</v>
          </cell>
          <cell r="D42" t="str">
            <v>mês</v>
          </cell>
          <cell r="E42">
            <v>11067</v>
          </cell>
          <cell r="F42">
            <v>0.79390000000000005</v>
          </cell>
          <cell r="G42">
            <v>8786.09</v>
          </cell>
          <cell r="H42">
            <v>6.1199999999999997E-2</v>
          </cell>
          <cell r="I42">
            <v>677.01</v>
          </cell>
          <cell r="J42">
            <v>2.3999999999999998E-3</v>
          </cell>
          <cell r="K42">
            <v>26.03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2.9999999999999997E-4</v>
          </cell>
          <cell r="Q42">
            <v>3.32</v>
          </cell>
          <cell r="R42">
            <v>0</v>
          </cell>
          <cell r="S42">
            <v>0</v>
          </cell>
          <cell r="T42">
            <v>2.7199999999999998E-2</v>
          </cell>
          <cell r="U42">
            <v>301.42</v>
          </cell>
          <cell r="V42">
            <v>8.9999999999999998E-4</v>
          </cell>
          <cell r="W42">
            <v>9.98</v>
          </cell>
          <cell r="X42">
            <v>0.88590000000000002</v>
          </cell>
          <cell r="Y42">
            <v>9803.85</v>
          </cell>
          <cell r="Z42">
            <v>20870.849999999999</v>
          </cell>
        </row>
        <row r="43">
          <cell r="B43" t="str">
            <v>P8066</v>
          </cell>
          <cell r="C43" t="str">
            <v>Engenheiro de projetos pleno</v>
          </cell>
          <cell r="D43" t="str">
            <v>mês</v>
          </cell>
          <cell r="E43">
            <v>11469.24</v>
          </cell>
          <cell r="F43">
            <v>0.79390000000000005</v>
          </cell>
          <cell r="G43">
            <v>9105.43</v>
          </cell>
          <cell r="H43">
            <v>5.8999999999999997E-2</v>
          </cell>
          <cell r="I43">
            <v>677.01</v>
          </cell>
          <cell r="J43">
            <v>2.3E-3</v>
          </cell>
          <cell r="K43">
            <v>26.03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2.9999999999999997E-4</v>
          </cell>
          <cell r="Q43">
            <v>3.32</v>
          </cell>
          <cell r="R43">
            <v>0</v>
          </cell>
          <cell r="S43">
            <v>0</v>
          </cell>
          <cell r="T43">
            <v>2.63E-2</v>
          </cell>
          <cell r="U43">
            <v>301.42</v>
          </cell>
          <cell r="V43">
            <v>8.9999999999999998E-4</v>
          </cell>
          <cell r="W43">
            <v>9.98</v>
          </cell>
          <cell r="X43">
            <v>0.88260000000000005</v>
          </cell>
          <cell r="Y43">
            <v>10123.19</v>
          </cell>
          <cell r="Z43">
            <v>21592.42</v>
          </cell>
        </row>
        <row r="44">
          <cell r="B44" t="str">
            <v>P8067</v>
          </cell>
          <cell r="C44" t="str">
            <v>Engenheiro de projetos sênior</v>
          </cell>
          <cell r="D44" t="str">
            <v>mês</v>
          </cell>
          <cell r="E44">
            <v>14672.91</v>
          </cell>
          <cell r="F44">
            <v>0.79390000000000005</v>
          </cell>
          <cell r="G44">
            <v>11648.82</v>
          </cell>
          <cell r="H44">
            <v>4.6100000000000002E-2</v>
          </cell>
          <cell r="I44">
            <v>677.01</v>
          </cell>
          <cell r="J44">
            <v>1.8E-3</v>
          </cell>
          <cell r="K44">
            <v>26.03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2.0000000000000001E-4</v>
          </cell>
          <cell r="Q44">
            <v>3.32</v>
          </cell>
          <cell r="R44">
            <v>0</v>
          </cell>
          <cell r="S44">
            <v>0</v>
          </cell>
          <cell r="T44">
            <v>2.0500000000000001E-2</v>
          </cell>
          <cell r="U44">
            <v>301.42</v>
          </cell>
          <cell r="V44">
            <v>6.9999999999999999E-4</v>
          </cell>
          <cell r="W44">
            <v>9.98</v>
          </cell>
          <cell r="X44">
            <v>0.86329999999999996</v>
          </cell>
          <cell r="Y44">
            <v>12666.58</v>
          </cell>
          <cell r="Z44">
            <v>27339.49</v>
          </cell>
        </row>
        <row r="45">
          <cell r="B45" t="str">
            <v>P8068</v>
          </cell>
          <cell r="C45" t="str">
            <v>Engenheiro florestal júnior</v>
          </cell>
          <cell r="D45" t="str">
            <v>mês</v>
          </cell>
          <cell r="E45">
            <v>11067</v>
          </cell>
          <cell r="F45">
            <v>0.79710000000000003</v>
          </cell>
          <cell r="G45">
            <v>8821.51</v>
          </cell>
          <cell r="H45">
            <v>6.1199999999999997E-2</v>
          </cell>
          <cell r="I45">
            <v>677.01</v>
          </cell>
          <cell r="J45">
            <v>2.3999999999999998E-3</v>
          </cell>
          <cell r="K45">
            <v>26.03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4.0000000000000002E-4</v>
          </cell>
          <cell r="Q45">
            <v>3.89</v>
          </cell>
          <cell r="R45">
            <v>0</v>
          </cell>
          <cell r="S45">
            <v>0</v>
          </cell>
          <cell r="T45">
            <v>2.7199999999999998E-2</v>
          </cell>
          <cell r="U45">
            <v>301.42</v>
          </cell>
          <cell r="V45">
            <v>8.9999999999999998E-4</v>
          </cell>
          <cell r="W45">
            <v>9.98</v>
          </cell>
          <cell r="X45">
            <v>0.8891</v>
          </cell>
          <cell r="Y45">
            <v>9839.83</v>
          </cell>
          <cell r="Z45">
            <v>20906.830000000002</v>
          </cell>
        </row>
        <row r="46">
          <cell r="B46" t="str">
            <v>P8069</v>
          </cell>
          <cell r="C46" t="str">
            <v>Engenheiro florestal pleno</v>
          </cell>
          <cell r="D46" t="str">
            <v>mês</v>
          </cell>
          <cell r="E46">
            <v>11199.11</v>
          </cell>
          <cell r="F46">
            <v>0.79710000000000003</v>
          </cell>
          <cell r="G46">
            <v>8926.81</v>
          </cell>
          <cell r="H46">
            <v>6.0499999999999998E-2</v>
          </cell>
          <cell r="I46">
            <v>677.01</v>
          </cell>
          <cell r="J46">
            <v>2.3E-3</v>
          </cell>
          <cell r="K46">
            <v>26.03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2.9999999999999997E-4</v>
          </cell>
          <cell r="Q46">
            <v>3.89</v>
          </cell>
          <cell r="R46">
            <v>0</v>
          </cell>
          <cell r="S46">
            <v>0</v>
          </cell>
          <cell r="T46">
            <v>2.69E-2</v>
          </cell>
          <cell r="U46">
            <v>301.42</v>
          </cell>
          <cell r="V46">
            <v>8.9999999999999998E-4</v>
          </cell>
          <cell r="W46">
            <v>9.98</v>
          </cell>
          <cell r="X46">
            <v>0.88800000000000001</v>
          </cell>
          <cell r="Y46">
            <v>9945.14</v>
          </cell>
          <cell r="Z46">
            <v>21144.25</v>
          </cell>
        </row>
        <row r="47">
          <cell r="B47" t="str">
            <v>P8070</v>
          </cell>
          <cell r="C47" t="str">
            <v>Engenheiro florestal sênior</v>
          </cell>
          <cell r="D47" t="str">
            <v>mês</v>
          </cell>
          <cell r="E47">
            <v>12672.11</v>
          </cell>
          <cell r="F47">
            <v>0.79710000000000003</v>
          </cell>
          <cell r="G47">
            <v>10100.94</v>
          </cell>
          <cell r="H47">
            <v>5.3400000000000003E-2</v>
          </cell>
          <cell r="I47">
            <v>677.01</v>
          </cell>
          <cell r="J47">
            <v>2.0999999999999999E-3</v>
          </cell>
          <cell r="K47">
            <v>26.03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2.9999999999999997E-4</v>
          </cell>
          <cell r="Q47">
            <v>3.89</v>
          </cell>
          <cell r="R47">
            <v>0</v>
          </cell>
          <cell r="S47">
            <v>0</v>
          </cell>
          <cell r="T47">
            <v>2.3800000000000002E-2</v>
          </cell>
          <cell r="U47">
            <v>301.42</v>
          </cell>
          <cell r="V47">
            <v>8.0000000000000004E-4</v>
          </cell>
          <cell r="W47">
            <v>9.98</v>
          </cell>
          <cell r="X47">
            <v>0.87749999999999995</v>
          </cell>
          <cell r="Y47">
            <v>11119.27</v>
          </cell>
          <cell r="Z47">
            <v>23791.38</v>
          </cell>
        </row>
        <row r="48">
          <cell r="B48" t="str">
            <v>P8080</v>
          </cell>
          <cell r="C48" t="str">
            <v>Geólogo júnior</v>
          </cell>
          <cell r="D48" t="str">
            <v>mês</v>
          </cell>
          <cell r="E48">
            <v>10004.5</v>
          </cell>
          <cell r="F48">
            <v>0.79590000000000005</v>
          </cell>
          <cell r="G48">
            <v>7962.58</v>
          </cell>
          <cell r="H48">
            <v>6.7699999999999996E-2</v>
          </cell>
          <cell r="I48">
            <v>677.01</v>
          </cell>
          <cell r="J48">
            <v>2.5999999999999999E-3</v>
          </cell>
          <cell r="K48">
            <v>26.03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4.0000000000000002E-4</v>
          </cell>
          <cell r="Q48">
            <v>3.55</v>
          </cell>
          <cell r="R48">
            <v>0</v>
          </cell>
          <cell r="S48">
            <v>0</v>
          </cell>
          <cell r="T48">
            <v>3.0099999999999998E-2</v>
          </cell>
          <cell r="U48">
            <v>301.42</v>
          </cell>
          <cell r="V48">
            <v>1E-3</v>
          </cell>
          <cell r="W48">
            <v>9.98</v>
          </cell>
          <cell r="X48">
            <v>0.89770000000000005</v>
          </cell>
          <cell r="Y48">
            <v>8980.57</v>
          </cell>
          <cell r="Z48">
            <v>18985.07</v>
          </cell>
        </row>
        <row r="49">
          <cell r="B49" t="str">
            <v>P8081</v>
          </cell>
          <cell r="C49" t="str">
            <v>Geólogo pleno</v>
          </cell>
          <cell r="D49" t="str">
            <v>mês</v>
          </cell>
          <cell r="E49">
            <v>10526.36</v>
          </cell>
          <cell r="F49">
            <v>0.79590000000000005</v>
          </cell>
          <cell r="G49">
            <v>8377.93</v>
          </cell>
          <cell r="H49">
            <v>6.4299999999999996E-2</v>
          </cell>
          <cell r="I49">
            <v>677.01</v>
          </cell>
          <cell r="J49">
            <v>2.5000000000000001E-3</v>
          </cell>
          <cell r="K49">
            <v>26.03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2.9999999999999997E-4</v>
          </cell>
          <cell r="Q49">
            <v>3.55</v>
          </cell>
          <cell r="R49">
            <v>0</v>
          </cell>
          <cell r="S49">
            <v>0</v>
          </cell>
          <cell r="T49">
            <v>2.86E-2</v>
          </cell>
          <cell r="U49">
            <v>301.42</v>
          </cell>
          <cell r="V49">
            <v>8.9999999999999998E-4</v>
          </cell>
          <cell r="W49">
            <v>9.98</v>
          </cell>
          <cell r="X49">
            <v>0.89259999999999995</v>
          </cell>
          <cell r="Y49">
            <v>9395.92</v>
          </cell>
          <cell r="Z49">
            <v>19922.28</v>
          </cell>
        </row>
        <row r="50">
          <cell r="B50" t="str">
            <v>P8082</v>
          </cell>
          <cell r="C50" t="str">
            <v>Geólogo sênior</v>
          </cell>
          <cell r="D50" t="str">
            <v>mês</v>
          </cell>
          <cell r="E50">
            <v>14001.61</v>
          </cell>
          <cell r="F50">
            <v>0.79590000000000005</v>
          </cell>
          <cell r="G50">
            <v>11143.88</v>
          </cell>
          <cell r="H50">
            <v>4.8399999999999999E-2</v>
          </cell>
          <cell r="I50">
            <v>677.01</v>
          </cell>
          <cell r="J50">
            <v>1.9E-3</v>
          </cell>
          <cell r="K50">
            <v>26.03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2.9999999999999997E-4</v>
          </cell>
          <cell r="Q50">
            <v>3.55</v>
          </cell>
          <cell r="R50">
            <v>0</v>
          </cell>
          <cell r="S50">
            <v>0</v>
          </cell>
          <cell r="T50">
            <v>2.1499999999999998E-2</v>
          </cell>
          <cell r="U50">
            <v>301.42</v>
          </cell>
          <cell r="V50">
            <v>6.9999999999999999E-4</v>
          </cell>
          <cell r="W50">
            <v>9.98</v>
          </cell>
          <cell r="X50">
            <v>0.86860000000000004</v>
          </cell>
          <cell r="Y50">
            <v>12161.87</v>
          </cell>
          <cell r="Z50">
            <v>26163.48</v>
          </cell>
        </row>
        <row r="51">
          <cell r="B51" t="str">
            <v>P8092</v>
          </cell>
          <cell r="C51" t="str">
            <v>Jornalista júnior</v>
          </cell>
          <cell r="D51" t="str">
            <v>mês</v>
          </cell>
          <cell r="E51">
            <v>2682.71</v>
          </cell>
          <cell r="F51">
            <v>0.79630000000000001</v>
          </cell>
          <cell r="G51">
            <v>2136.2399999999998</v>
          </cell>
          <cell r="H51">
            <v>0.25240000000000001</v>
          </cell>
          <cell r="I51">
            <v>677.01</v>
          </cell>
          <cell r="J51">
            <v>9.7000000000000003E-3</v>
          </cell>
          <cell r="K51">
            <v>26.03</v>
          </cell>
          <cell r="L51">
            <v>0</v>
          </cell>
          <cell r="M51">
            <v>0</v>
          </cell>
          <cell r="N51">
            <v>2.1600000000000001E-2</v>
          </cell>
          <cell r="O51">
            <v>58.07</v>
          </cell>
          <cell r="P51">
            <v>1.1000000000000001E-3</v>
          </cell>
          <cell r="Q51">
            <v>2.95</v>
          </cell>
          <cell r="R51">
            <v>0</v>
          </cell>
          <cell r="S51">
            <v>0</v>
          </cell>
          <cell r="T51">
            <v>0.1124</v>
          </cell>
          <cell r="U51">
            <v>301.42</v>
          </cell>
          <cell r="V51">
            <v>3.7000000000000002E-3</v>
          </cell>
          <cell r="W51">
            <v>9.98</v>
          </cell>
          <cell r="X51">
            <v>1.1972</v>
          </cell>
          <cell r="Y51">
            <v>3211.7</v>
          </cell>
          <cell r="Z51">
            <v>5894.4</v>
          </cell>
        </row>
        <row r="52">
          <cell r="B52" t="str">
            <v>P8093</v>
          </cell>
          <cell r="C52" t="str">
            <v>Jornalista pleno</v>
          </cell>
          <cell r="D52" t="str">
            <v>mês</v>
          </cell>
          <cell r="E52">
            <v>3576.94</v>
          </cell>
          <cell r="F52">
            <v>0.79630000000000001</v>
          </cell>
          <cell r="G52">
            <v>2848.32</v>
          </cell>
          <cell r="H52">
            <v>0.1893</v>
          </cell>
          <cell r="I52">
            <v>677.01</v>
          </cell>
          <cell r="J52">
            <v>7.3000000000000001E-3</v>
          </cell>
          <cell r="K52">
            <v>26.03</v>
          </cell>
          <cell r="L52">
            <v>0</v>
          </cell>
          <cell r="M52">
            <v>0</v>
          </cell>
          <cell r="N52">
            <v>1.1999999999999999E-3</v>
          </cell>
          <cell r="O52">
            <v>4.42</v>
          </cell>
          <cell r="P52">
            <v>8.0000000000000004E-4</v>
          </cell>
          <cell r="Q52">
            <v>2.95</v>
          </cell>
          <cell r="R52">
            <v>0</v>
          </cell>
          <cell r="S52">
            <v>0</v>
          </cell>
          <cell r="T52">
            <v>8.43E-2</v>
          </cell>
          <cell r="U52">
            <v>301.42</v>
          </cell>
          <cell r="V52">
            <v>2.8E-3</v>
          </cell>
          <cell r="W52">
            <v>9.98</v>
          </cell>
          <cell r="X52">
            <v>1.0820000000000001</v>
          </cell>
          <cell r="Y52">
            <v>3870.12</v>
          </cell>
          <cell r="Z52">
            <v>7447.06</v>
          </cell>
        </row>
        <row r="53">
          <cell r="B53" t="str">
            <v>P8094</v>
          </cell>
          <cell r="C53" t="str">
            <v>Jornalista sênior</v>
          </cell>
          <cell r="D53" t="str">
            <v>mês</v>
          </cell>
          <cell r="E53">
            <v>6931.43</v>
          </cell>
          <cell r="F53">
            <v>0.79630000000000001</v>
          </cell>
          <cell r="G53">
            <v>5519.5</v>
          </cell>
          <cell r="H53">
            <v>9.7699999999999995E-2</v>
          </cell>
          <cell r="I53">
            <v>677.01</v>
          </cell>
          <cell r="J53">
            <v>3.8E-3</v>
          </cell>
          <cell r="K53">
            <v>26.03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4.0000000000000002E-4</v>
          </cell>
          <cell r="Q53">
            <v>2.95</v>
          </cell>
          <cell r="R53">
            <v>0</v>
          </cell>
          <cell r="S53">
            <v>0</v>
          </cell>
          <cell r="T53">
            <v>4.3499999999999997E-2</v>
          </cell>
          <cell r="U53">
            <v>301.42</v>
          </cell>
          <cell r="V53">
            <v>1.4E-3</v>
          </cell>
          <cell r="W53">
            <v>9.98</v>
          </cell>
          <cell r="X53">
            <v>0.94310000000000005</v>
          </cell>
          <cell r="Y53">
            <v>6536.88</v>
          </cell>
          <cell r="Z53">
            <v>13468.31</v>
          </cell>
        </row>
        <row r="54">
          <cell r="B54" t="str">
            <v>P8098</v>
          </cell>
          <cell r="C54" t="str">
            <v>Laboratorista</v>
          </cell>
          <cell r="D54" t="str">
            <v>mês</v>
          </cell>
          <cell r="E54">
            <v>2146.23</v>
          </cell>
          <cell r="F54">
            <v>0.79879999999999995</v>
          </cell>
          <cell r="G54">
            <v>1714.41</v>
          </cell>
          <cell r="H54">
            <v>0.31540000000000001</v>
          </cell>
          <cell r="I54">
            <v>677.01</v>
          </cell>
          <cell r="J54">
            <v>1.3599999999999999E-2</v>
          </cell>
          <cell r="K54">
            <v>29.18</v>
          </cell>
          <cell r="L54">
            <v>0</v>
          </cell>
          <cell r="M54">
            <v>0</v>
          </cell>
          <cell r="N54">
            <v>4.2099999999999999E-2</v>
          </cell>
          <cell r="O54">
            <v>90.26</v>
          </cell>
          <cell r="P54">
            <v>2E-3</v>
          </cell>
          <cell r="Q54">
            <v>4.37</v>
          </cell>
          <cell r="R54">
            <v>0</v>
          </cell>
          <cell r="S54">
            <v>0</v>
          </cell>
          <cell r="T54">
            <v>0.1404</v>
          </cell>
          <cell r="U54">
            <v>301.42</v>
          </cell>
          <cell r="V54">
            <v>4.7000000000000002E-3</v>
          </cell>
          <cell r="W54">
            <v>9.98</v>
          </cell>
          <cell r="X54">
            <v>1.3169999999999999</v>
          </cell>
          <cell r="Y54">
            <v>2826.63</v>
          </cell>
          <cell r="Z54">
            <v>4972.8599999999997</v>
          </cell>
        </row>
        <row r="55">
          <cell r="B55" t="str">
            <v>P8102</v>
          </cell>
          <cell r="C55" t="str">
            <v>Médico veterinário</v>
          </cell>
          <cell r="D55" t="str">
            <v>mês</v>
          </cell>
          <cell r="E55">
            <v>11067</v>
          </cell>
          <cell r="F55">
            <v>0.79200000000000004</v>
          </cell>
          <cell r="G55">
            <v>8765.06</v>
          </cell>
          <cell r="H55">
            <v>6.1199999999999997E-2</v>
          </cell>
          <cell r="I55">
            <v>677.01</v>
          </cell>
          <cell r="J55">
            <v>2.3999999999999998E-3</v>
          </cell>
          <cell r="K55">
            <v>26.03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2.9999999999999997E-4</v>
          </cell>
          <cell r="Q55">
            <v>2.98</v>
          </cell>
          <cell r="R55">
            <v>0</v>
          </cell>
          <cell r="S55">
            <v>0</v>
          </cell>
          <cell r="T55">
            <v>2.7199999999999998E-2</v>
          </cell>
          <cell r="U55">
            <v>301.42</v>
          </cell>
          <cell r="V55">
            <v>8.9999999999999998E-4</v>
          </cell>
          <cell r="W55">
            <v>9.98</v>
          </cell>
          <cell r="X55">
            <v>0.88390000000000002</v>
          </cell>
          <cell r="Y55">
            <v>9782.48</v>
          </cell>
          <cell r="Z55">
            <v>20849.48</v>
          </cell>
        </row>
        <row r="56">
          <cell r="B56" t="str">
            <v>P8106</v>
          </cell>
          <cell r="C56" t="str">
            <v>Meteorologista júnior</v>
          </cell>
          <cell r="D56" t="str">
            <v>mês</v>
          </cell>
          <cell r="E56">
            <v>4696.66</v>
          </cell>
          <cell r="F56">
            <v>0.79559999999999997</v>
          </cell>
          <cell r="G56">
            <v>3736.66</v>
          </cell>
          <cell r="H56">
            <v>0.14410000000000001</v>
          </cell>
          <cell r="I56">
            <v>677.01</v>
          </cell>
          <cell r="J56">
            <v>5.4999999999999997E-3</v>
          </cell>
          <cell r="K56">
            <v>26.03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5.9999999999999995E-4</v>
          </cell>
          <cell r="Q56">
            <v>2.8</v>
          </cell>
          <cell r="R56">
            <v>0</v>
          </cell>
          <cell r="S56">
            <v>0</v>
          </cell>
          <cell r="T56">
            <v>6.4199999999999993E-2</v>
          </cell>
          <cell r="U56">
            <v>301.42</v>
          </cell>
          <cell r="V56">
            <v>2.0999999999999999E-3</v>
          </cell>
          <cell r="W56">
            <v>9.98</v>
          </cell>
          <cell r="X56">
            <v>1.0122</v>
          </cell>
          <cell r="Y56">
            <v>4753.8999999999996</v>
          </cell>
          <cell r="Z56">
            <v>9450.5499999999993</v>
          </cell>
        </row>
        <row r="57">
          <cell r="B57" t="str">
            <v>P8107</v>
          </cell>
          <cell r="C57" t="str">
            <v>Meteorologista pleno</v>
          </cell>
          <cell r="D57" t="str">
            <v>mês</v>
          </cell>
          <cell r="E57">
            <v>6262.21</v>
          </cell>
          <cell r="F57">
            <v>0.79559999999999997</v>
          </cell>
          <cell r="G57">
            <v>4982.21</v>
          </cell>
          <cell r="H57">
            <v>0.1081</v>
          </cell>
          <cell r="I57">
            <v>677.01</v>
          </cell>
          <cell r="J57">
            <v>4.1999999999999997E-3</v>
          </cell>
          <cell r="K57">
            <v>26.03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4.0000000000000002E-4</v>
          </cell>
          <cell r="Q57">
            <v>2.8</v>
          </cell>
          <cell r="R57">
            <v>0</v>
          </cell>
          <cell r="S57">
            <v>0</v>
          </cell>
          <cell r="T57">
            <v>4.8099999999999997E-2</v>
          </cell>
          <cell r="U57">
            <v>301.42</v>
          </cell>
          <cell r="V57">
            <v>1.6000000000000001E-3</v>
          </cell>
          <cell r="W57">
            <v>9.98</v>
          </cell>
          <cell r="X57">
            <v>0.95799999999999996</v>
          </cell>
          <cell r="Y57">
            <v>5999.45</v>
          </cell>
          <cell r="Z57">
            <v>12261.66</v>
          </cell>
        </row>
        <row r="58">
          <cell r="B58" t="str">
            <v>P8108</v>
          </cell>
          <cell r="C58" t="str">
            <v>Meteorologista sênior</v>
          </cell>
          <cell r="D58" t="str">
            <v>mês</v>
          </cell>
          <cell r="E58">
            <v>10569.08</v>
          </cell>
          <cell r="F58">
            <v>0.79559999999999997</v>
          </cell>
          <cell r="G58">
            <v>8408.76</v>
          </cell>
          <cell r="H58">
            <v>6.4100000000000004E-2</v>
          </cell>
          <cell r="I58">
            <v>677.01</v>
          </cell>
          <cell r="J58">
            <v>2.5000000000000001E-3</v>
          </cell>
          <cell r="K58">
            <v>26.03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2.9999999999999997E-4</v>
          </cell>
          <cell r="Q58">
            <v>2.8</v>
          </cell>
          <cell r="R58">
            <v>0</v>
          </cell>
          <cell r="S58">
            <v>0</v>
          </cell>
          <cell r="T58">
            <v>2.8500000000000001E-2</v>
          </cell>
          <cell r="U58">
            <v>301.42</v>
          </cell>
          <cell r="V58">
            <v>8.9999999999999998E-4</v>
          </cell>
          <cell r="W58">
            <v>9.98</v>
          </cell>
          <cell r="X58">
            <v>0.89180000000000004</v>
          </cell>
          <cell r="Y58">
            <v>9425.99</v>
          </cell>
          <cell r="Z58">
            <v>19995.07</v>
          </cell>
        </row>
        <row r="59">
          <cell r="B59" t="str">
            <v>P8112</v>
          </cell>
          <cell r="C59" t="str">
            <v>Motorista de caminhão</v>
          </cell>
          <cell r="D59" t="str">
            <v>mês</v>
          </cell>
          <cell r="E59">
            <v>2096.81</v>
          </cell>
          <cell r="F59">
            <v>0.79979999999999996</v>
          </cell>
          <cell r="G59">
            <v>1677.03</v>
          </cell>
          <cell r="H59">
            <v>0.32290000000000002</v>
          </cell>
          <cell r="I59">
            <v>677.01</v>
          </cell>
          <cell r="J59">
            <v>1.5100000000000001E-2</v>
          </cell>
          <cell r="K59">
            <v>31.69</v>
          </cell>
          <cell r="L59">
            <v>0</v>
          </cell>
          <cell r="M59">
            <v>0</v>
          </cell>
          <cell r="N59">
            <v>4.4499999999999998E-2</v>
          </cell>
          <cell r="O59">
            <v>93.22</v>
          </cell>
          <cell r="P59">
            <v>2.0999999999999999E-3</v>
          </cell>
          <cell r="Q59">
            <v>4.41</v>
          </cell>
          <cell r="R59">
            <v>0</v>
          </cell>
          <cell r="S59">
            <v>0</v>
          </cell>
          <cell r="T59">
            <v>0.14380000000000001</v>
          </cell>
          <cell r="U59">
            <v>301.42</v>
          </cell>
          <cell r="V59">
            <v>4.7999999999999996E-3</v>
          </cell>
          <cell r="W59">
            <v>9.98</v>
          </cell>
          <cell r="X59">
            <v>1.3329</v>
          </cell>
          <cell r="Y59">
            <v>2794.76</v>
          </cell>
          <cell r="Z59">
            <v>4891.57</v>
          </cell>
        </row>
        <row r="60">
          <cell r="B60" t="str">
            <v>P8113</v>
          </cell>
          <cell r="C60" t="str">
            <v>Motorista de veículo leve</v>
          </cell>
          <cell r="D60" t="str">
            <v>mês</v>
          </cell>
          <cell r="E60">
            <v>1918.44</v>
          </cell>
          <cell r="F60">
            <v>0.79710000000000003</v>
          </cell>
          <cell r="G60">
            <v>1529.19</v>
          </cell>
          <cell r="H60">
            <v>0.35289999999999999</v>
          </cell>
          <cell r="I60">
            <v>677.01</v>
          </cell>
          <cell r="J60">
            <v>1.6500000000000001E-2</v>
          </cell>
          <cell r="K60">
            <v>31.69</v>
          </cell>
          <cell r="L60">
            <v>0</v>
          </cell>
          <cell r="M60">
            <v>0</v>
          </cell>
          <cell r="N60">
            <v>5.4199999999999998E-2</v>
          </cell>
          <cell r="O60">
            <v>103.93</v>
          </cell>
          <cell r="P60">
            <v>2E-3</v>
          </cell>
          <cell r="Q60">
            <v>3.88</v>
          </cell>
          <cell r="R60">
            <v>0</v>
          </cell>
          <cell r="S60">
            <v>0</v>
          </cell>
          <cell r="T60">
            <v>0.15709999999999999</v>
          </cell>
          <cell r="U60">
            <v>301.42</v>
          </cell>
          <cell r="V60">
            <v>5.1999999999999998E-3</v>
          </cell>
          <cell r="W60">
            <v>9.98</v>
          </cell>
          <cell r="X60">
            <v>1.385</v>
          </cell>
          <cell r="Y60">
            <v>2657.09</v>
          </cell>
          <cell r="Z60">
            <v>4575.53</v>
          </cell>
        </row>
        <row r="61">
          <cell r="B61" t="str">
            <v>P8117</v>
          </cell>
          <cell r="C61" t="str">
            <v>Oceanógrafo júnior</v>
          </cell>
          <cell r="D61" t="str">
            <v>mês</v>
          </cell>
          <cell r="E61">
            <v>4509.57</v>
          </cell>
          <cell r="F61">
            <v>0.83579999999999999</v>
          </cell>
          <cell r="G61">
            <v>3769.1</v>
          </cell>
          <cell r="H61">
            <v>0.15010000000000001</v>
          </cell>
          <cell r="I61">
            <v>677.01</v>
          </cell>
          <cell r="J61">
            <v>5.7999999999999996E-3</v>
          </cell>
          <cell r="K61">
            <v>26.03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1.6000000000000001E-3</v>
          </cell>
          <cell r="Q61">
            <v>7.38</v>
          </cell>
          <cell r="R61">
            <v>0</v>
          </cell>
          <cell r="S61">
            <v>0</v>
          </cell>
          <cell r="T61">
            <v>6.6799999999999998E-2</v>
          </cell>
          <cell r="U61">
            <v>301.42</v>
          </cell>
          <cell r="V61">
            <v>2.2000000000000001E-3</v>
          </cell>
          <cell r="W61">
            <v>9.98</v>
          </cell>
          <cell r="X61">
            <v>1.0624</v>
          </cell>
          <cell r="Y61">
            <v>4790.92</v>
          </cell>
          <cell r="Z61">
            <v>9300.5</v>
          </cell>
        </row>
        <row r="62">
          <cell r="B62" t="str">
            <v>P8118</v>
          </cell>
          <cell r="C62" t="str">
            <v>Oceanógrafo pleno</v>
          </cell>
          <cell r="D62" t="str">
            <v>mês</v>
          </cell>
          <cell r="E62">
            <v>6012.77</v>
          </cell>
          <cell r="F62">
            <v>0.83579999999999999</v>
          </cell>
          <cell r="G62">
            <v>5025.47</v>
          </cell>
          <cell r="H62">
            <v>0.11260000000000001</v>
          </cell>
          <cell r="I62">
            <v>677.01</v>
          </cell>
          <cell r="J62">
            <v>4.3E-3</v>
          </cell>
          <cell r="K62">
            <v>26.03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1.1999999999999999E-3</v>
          </cell>
          <cell r="Q62">
            <v>7.38</v>
          </cell>
          <cell r="R62">
            <v>0</v>
          </cell>
          <cell r="S62">
            <v>0</v>
          </cell>
          <cell r="T62">
            <v>5.0099999999999999E-2</v>
          </cell>
          <cell r="U62">
            <v>301.42</v>
          </cell>
          <cell r="V62">
            <v>1.6999999999999999E-3</v>
          </cell>
          <cell r="W62">
            <v>9.98</v>
          </cell>
          <cell r="X62">
            <v>1.0057</v>
          </cell>
          <cell r="Y62">
            <v>6047.29</v>
          </cell>
          <cell r="Z62">
            <v>12060.05</v>
          </cell>
        </row>
        <row r="63">
          <cell r="B63" t="str">
            <v>P8119</v>
          </cell>
          <cell r="C63" t="str">
            <v>Oceanógrafo sênior</v>
          </cell>
          <cell r="D63" t="str">
            <v>mês</v>
          </cell>
          <cell r="E63">
            <v>9797.51</v>
          </cell>
          <cell r="F63">
            <v>0.83579999999999999</v>
          </cell>
          <cell r="G63">
            <v>8188.76</v>
          </cell>
          <cell r="H63">
            <v>6.9099999999999995E-2</v>
          </cell>
          <cell r="I63">
            <v>677.01</v>
          </cell>
          <cell r="J63">
            <v>2.7000000000000001E-3</v>
          </cell>
          <cell r="K63">
            <v>26.03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8.0000000000000004E-4</v>
          </cell>
          <cell r="Q63">
            <v>7.38</v>
          </cell>
          <cell r="R63">
            <v>0</v>
          </cell>
          <cell r="S63">
            <v>0</v>
          </cell>
          <cell r="T63">
            <v>3.0800000000000001E-2</v>
          </cell>
          <cell r="U63">
            <v>301.42</v>
          </cell>
          <cell r="V63">
            <v>1E-3</v>
          </cell>
          <cell r="W63">
            <v>9.98</v>
          </cell>
          <cell r="X63">
            <v>0.94010000000000005</v>
          </cell>
          <cell r="Y63">
            <v>9210.58</v>
          </cell>
          <cell r="Z63">
            <v>19008.09</v>
          </cell>
        </row>
        <row r="64">
          <cell r="B64" t="str">
            <v>P8129</v>
          </cell>
          <cell r="C64" t="str">
            <v>Pedagogo júnior</v>
          </cell>
          <cell r="D64" t="str">
            <v>mês</v>
          </cell>
          <cell r="E64">
            <v>2605.46</v>
          </cell>
          <cell r="F64">
            <v>0.79690000000000005</v>
          </cell>
          <cell r="G64">
            <v>2076.29</v>
          </cell>
          <cell r="H64">
            <v>0.25979999999999998</v>
          </cell>
          <cell r="I64">
            <v>677.01</v>
          </cell>
          <cell r="J64">
            <v>0.01</v>
          </cell>
          <cell r="K64">
            <v>26.03</v>
          </cell>
          <cell r="L64">
            <v>0</v>
          </cell>
          <cell r="M64">
            <v>0</v>
          </cell>
          <cell r="N64">
            <v>2.41E-2</v>
          </cell>
          <cell r="O64">
            <v>62.7</v>
          </cell>
          <cell r="P64">
            <v>1.6000000000000001E-3</v>
          </cell>
          <cell r="Q64">
            <v>4.22</v>
          </cell>
          <cell r="R64">
            <v>0</v>
          </cell>
          <cell r="S64">
            <v>0</v>
          </cell>
          <cell r="T64">
            <v>0.1157</v>
          </cell>
          <cell r="U64">
            <v>301.42</v>
          </cell>
          <cell r="V64">
            <v>3.8E-3</v>
          </cell>
          <cell r="W64">
            <v>9.98</v>
          </cell>
          <cell r="X64">
            <v>1.2119</v>
          </cell>
          <cell r="Y64">
            <v>3157.64</v>
          </cell>
          <cell r="Z64">
            <v>5763.1</v>
          </cell>
        </row>
        <row r="65">
          <cell r="B65" t="str">
            <v>P8130</v>
          </cell>
          <cell r="C65" t="str">
            <v>Pedagogo pleno</v>
          </cell>
          <cell r="D65" t="str">
            <v>mês</v>
          </cell>
          <cell r="E65">
            <v>3473.94</v>
          </cell>
          <cell r="F65">
            <v>0.79690000000000005</v>
          </cell>
          <cell r="G65">
            <v>2768.38</v>
          </cell>
          <cell r="H65">
            <v>0.19489999999999999</v>
          </cell>
          <cell r="I65">
            <v>677.01</v>
          </cell>
          <cell r="J65">
            <v>7.4999999999999997E-3</v>
          </cell>
          <cell r="K65">
            <v>26.03</v>
          </cell>
          <cell r="L65">
            <v>0</v>
          </cell>
          <cell r="M65">
            <v>0</v>
          </cell>
          <cell r="N65">
            <v>3.0000000000000001E-3</v>
          </cell>
          <cell r="O65">
            <v>10.6</v>
          </cell>
          <cell r="P65">
            <v>1.1999999999999999E-3</v>
          </cell>
          <cell r="Q65">
            <v>4.22</v>
          </cell>
          <cell r="R65">
            <v>0</v>
          </cell>
          <cell r="S65">
            <v>0</v>
          </cell>
          <cell r="T65">
            <v>8.6800000000000002E-2</v>
          </cell>
          <cell r="U65">
            <v>301.42</v>
          </cell>
          <cell r="V65">
            <v>2.8999999999999998E-3</v>
          </cell>
          <cell r="W65">
            <v>9.98</v>
          </cell>
          <cell r="X65">
            <v>1.0931999999999999</v>
          </cell>
          <cell r="Y65">
            <v>3797.63</v>
          </cell>
          <cell r="Z65">
            <v>7271.57</v>
          </cell>
        </row>
        <row r="66">
          <cell r="B66" t="str">
            <v>P8131</v>
          </cell>
          <cell r="C66" t="str">
            <v>Pedagogo sênior</v>
          </cell>
          <cell r="D66" t="str">
            <v>mês</v>
          </cell>
          <cell r="E66">
            <v>5794.12</v>
          </cell>
          <cell r="F66">
            <v>0.79690000000000005</v>
          </cell>
          <cell r="G66">
            <v>4617.34</v>
          </cell>
          <cell r="H66">
            <v>0.1168</v>
          </cell>
          <cell r="I66">
            <v>677.01</v>
          </cell>
          <cell r="J66">
            <v>4.4999999999999997E-3</v>
          </cell>
          <cell r="K66">
            <v>26.03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6.9999999999999999E-4</v>
          </cell>
          <cell r="Q66">
            <v>4.22</v>
          </cell>
          <cell r="R66">
            <v>0</v>
          </cell>
          <cell r="S66">
            <v>0</v>
          </cell>
          <cell r="T66">
            <v>5.1999999999999998E-2</v>
          </cell>
          <cell r="U66">
            <v>301.42</v>
          </cell>
          <cell r="V66">
            <v>1.6999999999999999E-3</v>
          </cell>
          <cell r="W66">
            <v>9.98</v>
          </cell>
          <cell r="X66">
            <v>0.97270000000000001</v>
          </cell>
          <cell r="Y66">
            <v>5635.99</v>
          </cell>
          <cell r="Z66">
            <v>11430.11</v>
          </cell>
        </row>
        <row r="67">
          <cell r="B67" t="str">
            <v>P8135</v>
          </cell>
          <cell r="C67" t="str">
            <v>Secretária</v>
          </cell>
          <cell r="D67" t="str">
            <v>mês</v>
          </cell>
          <cell r="E67">
            <v>2335.81</v>
          </cell>
          <cell r="F67">
            <v>0.79720000000000002</v>
          </cell>
          <cell r="G67">
            <v>1862.11</v>
          </cell>
          <cell r="H67">
            <v>0.2898</v>
          </cell>
          <cell r="I67">
            <v>677.01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3.3799999999999997E-2</v>
          </cell>
          <cell r="O67">
            <v>78.88</v>
          </cell>
          <cell r="P67">
            <v>1.2999999999999999E-3</v>
          </cell>
          <cell r="Q67">
            <v>3.05</v>
          </cell>
          <cell r="R67">
            <v>0</v>
          </cell>
          <cell r="S67">
            <v>0</v>
          </cell>
          <cell r="T67">
            <v>0.129</v>
          </cell>
          <cell r="U67">
            <v>301.42</v>
          </cell>
          <cell r="V67">
            <v>4.3E-3</v>
          </cell>
          <cell r="W67">
            <v>9.98</v>
          </cell>
          <cell r="X67">
            <v>1.2554000000000001</v>
          </cell>
          <cell r="Y67">
            <v>2932.45</v>
          </cell>
          <cell r="Z67">
            <v>5268.26</v>
          </cell>
        </row>
        <row r="68">
          <cell r="B68" t="str">
            <v>P8139</v>
          </cell>
          <cell r="C68" t="str">
            <v>Sondador</v>
          </cell>
          <cell r="D68" t="str">
            <v>mês</v>
          </cell>
          <cell r="E68">
            <v>1843.72</v>
          </cell>
          <cell r="F68">
            <v>0.79669999999999996</v>
          </cell>
          <cell r="G68">
            <v>1468.89</v>
          </cell>
          <cell r="H68">
            <v>0.36720000000000003</v>
          </cell>
          <cell r="I68">
            <v>677.01</v>
          </cell>
          <cell r="J68">
            <v>1.5800000000000002E-2</v>
          </cell>
          <cell r="K68">
            <v>29.18</v>
          </cell>
          <cell r="L68">
            <v>0</v>
          </cell>
          <cell r="M68">
            <v>0</v>
          </cell>
          <cell r="N68">
            <v>5.8799999999999998E-2</v>
          </cell>
          <cell r="O68">
            <v>108.41</v>
          </cell>
          <cell r="P68">
            <v>2.2000000000000001E-3</v>
          </cell>
          <cell r="Q68">
            <v>4.01</v>
          </cell>
          <cell r="R68">
            <v>0</v>
          </cell>
          <cell r="S68">
            <v>0</v>
          </cell>
          <cell r="T68">
            <v>0.16350000000000001</v>
          </cell>
          <cell r="U68">
            <v>301.42</v>
          </cell>
          <cell r="V68">
            <v>5.4000000000000003E-3</v>
          </cell>
          <cell r="W68">
            <v>9.98</v>
          </cell>
          <cell r="X68">
            <v>1.4096</v>
          </cell>
          <cell r="Y68">
            <v>2598.9</v>
          </cell>
          <cell r="Z68">
            <v>4442.62</v>
          </cell>
        </row>
        <row r="69">
          <cell r="B69" t="str">
            <v>P8143</v>
          </cell>
          <cell r="C69" t="str">
            <v>Técnico ambiental</v>
          </cell>
          <cell r="D69" t="str">
            <v>mês</v>
          </cell>
          <cell r="E69">
            <v>2751.31</v>
          </cell>
          <cell r="F69">
            <v>0.79849999999999999</v>
          </cell>
          <cell r="G69">
            <v>2196.92</v>
          </cell>
          <cell r="H69">
            <v>0.24610000000000001</v>
          </cell>
          <cell r="I69">
            <v>677.01</v>
          </cell>
          <cell r="J69">
            <v>1.06E-2</v>
          </cell>
          <cell r="K69">
            <v>29.18</v>
          </cell>
          <cell r="L69">
            <v>0</v>
          </cell>
          <cell r="M69">
            <v>0</v>
          </cell>
          <cell r="N69">
            <v>1.9599999999999999E-2</v>
          </cell>
          <cell r="O69">
            <v>53.95</v>
          </cell>
          <cell r="P69">
            <v>1.5E-3</v>
          </cell>
          <cell r="Q69">
            <v>4.05</v>
          </cell>
          <cell r="R69">
            <v>0</v>
          </cell>
          <cell r="S69">
            <v>0</v>
          </cell>
          <cell r="T69">
            <v>0.1096</v>
          </cell>
          <cell r="U69">
            <v>301.42</v>
          </cell>
          <cell r="V69">
            <v>3.5999999999999999E-3</v>
          </cell>
          <cell r="W69">
            <v>9.98</v>
          </cell>
          <cell r="X69">
            <v>1.1894</v>
          </cell>
          <cell r="Y69">
            <v>3272.51</v>
          </cell>
          <cell r="Z69">
            <v>6023.83</v>
          </cell>
        </row>
        <row r="70">
          <cell r="B70" t="str">
            <v>P8147</v>
          </cell>
          <cell r="C70" t="str">
            <v>Técnico de obras</v>
          </cell>
          <cell r="D70" t="str">
            <v>mês</v>
          </cell>
          <cell r="E70">
            <v>3091.07</v>
          </cell>
          <cell r="F70">
            <v>0.79679999999999995</v>
          </cell>
          <cell r="G70">
            <v>2462.9699999999998</v>
          </cell>
          <cell r="H70">
            <v>0.219</v>
          </cell>
          <cell r="I70">
            <v>677.01</v>
          </cell>
          <cell r="J70">
            <v>9.4000000000000004E-3</v>
          </cell>
          <cell r="K70">
            <v>29.18</v>
          </cell>
          <cell r="L70">
            <v>0</v>
          </cell>
          <cell r="M70">
            <v>0</v>
          </cell>
          <cell r="N70">
            <v>1.09E-2</v>
          </cell>
          <cell r="O70">
            <v>33.57</v>
          </cell>
          <cell r="P70">
            <v>1.1999999999999999E-3</v>
          </cell>
          <cell r="Q70">
            <v>3.84</v>
          </cell>
          <cell r="R70">
            <v>0</v>
          </cell>
          <cell r="S70">
            <v>0</v>
          </cell>
          <cell r="T70">
            <v>9.7500000000000003E-2</v>
          </cell>
          <cell r="U70">
            <v>301.42</v>
          </cell>
          <cell r="V70">
            <v>3.2000000000000002E-3</v>
          </cell>
          <cell r="W70">
            <v>9.98</v>
          </cell>
          <cell r="X70">
            <v>1.1380999999999999</v>
          </cell>
          <cell r="Y70">
            <v>3517.96</v>
          </cell>
          <cell r="Z70">
            <v>6609.04</v>
          </cell>
        </row>
        <row r="71">
          <cell r="B71" t="str">
            <v>P8151</v>
          </cell>
          <cell r="C71" t="str">
            <v>Técnico de segurança do trabalho</v>
          </cell>
          <cell r="D71" t="str">
            <v>mês</v>
          </cell>
          <cell r="E71">
            <v>4293.3999999999996</v>
          </cell>
          <cell r="F71">
            <v>0.80179999999999996</v>
          </cell>
          <cell r="G71">
            <v>3442.45</v>
          </cell>
          <cell r="H71">
            <v>0.15770000000000001</v>
          </cell>
          <cell r="I71">
            <v>677.01</v>
          </cell>
          <cell r="J71">
            <v>6.7999999999999996E-3</v>
          </cell>
          <cell r="K71">
            <v>29.18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1.1000000000000001E-3</v>
          </cell>
          <cell r="Q71">
            <v>4.6100000000000003</v>
          </cell>
          <cell r="R71">
            <v>0</v>
          </cell>
          <cell r="S71">
            <v>0</v>
          </cell>
          <cell r="T71">
            <v>7.0199999999999999E-2</v>
          </cell>
          <cell r="U71">
            <v>301.42</v>
          </cell>
          <cell r="V71">
            <v>2.3E-3</v>
          </cell>
          <cell r="W71">
            <v>9.98</v>
          </cell>
          <cell r="X71">
            <v>1.0399</v>
          </cell>
          <cell r="Y71">
            <v>4464.6400000000003</v>
          </cell>
          <cell r="Z71">
            <v>8758.0400000000009</v>
          </cell>
        </row>
        <row r="72">
          <cell r="B72" t="str">
            <v>P8155</v>
          </cell>
          <cell r="C72" t="str">
            <v>Técnico em geoprocessamento</v>
          </cell>
          <cell r="D72" t="str">
            <v>mês</v>
          </cell>
          <cell r="E72">
            <v>2522.7600000000002</v>
          </cell>
          <cell r="F72">
            <v>0.79449999999999998</v>
          </cell>
          <cell r="G72">
            <v>2004.33</v>
          </cell>
          <cell r="H72">
            <v>0.26840000000000003</v>
          </cell>
          <cell r="I72">
            <v>677.01</v>
          </cell>
          <cell r="J72">
            <v>1.1599999999999999E-2</v>
          </cell>
          <cell r="K72">
            <v>29.18</v>
          </cell>
          <cell r="L72">
            <v>0</v>
          </cell>
          <cell r="M72">
            <v>0</v>
          </cell>
          <cell r="N72">
            <v>2.6800000000000001E-2</v>
          </cell>
          <cell r="O72">
            <v>67.67</v>
          </cell>
          <cell r="P72">
            <v>1.2999999999999999E-3</v>
          </cell>
          <cell r="Q72">
            <v>3.27</v>
          </cell>
          <cell r="R72">
            <v>0</v>
          </cell>
          <cell r="S72">
            <v>0</v>
          </cell>
          <cell r="T72">
            <v>0.1195</v>
          </cell>
          <cell r="U72">
            <v>301.42</v>
          </cell>
          <cell r="V72">
            <v>4.0000000000000001E-3</v>
          </cell>
          <cell r="W72">
            <v>9.98</v>
          </cell>
          <cell r="X72">
            <v>1.226</v>
          </cell>
          <cell r="Y72">
            <v>3092.86</v>
          </cell>
          <cell r="Z72">
            <v>5615.61</v>
          </cell>
        </row>
        <row r="73">
          <cell r="B73" t="str">
            <v>P8159</v>
          </cell>
          <cell r="C73" t="str">
            <v>Técnico em informática - programador</v>
          </cell>
          <cell r="D73" t="str">
            <v>mês</v>
          </cell>
          <cell r="E73">
            <v>3610.93</v>
          </cell>
          <cell r="F73">
            <v>0.79649999999999999</v>
          </cell>
          <cell r="G73">
            <v>2876.1</v>
          </cell>
          <cell r="H73">
            <v>0.1875</v>
          </cell>
          <cell r="I73">
            <v>677.01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6.9999999999999999E-4</v>
          </cell>
          <cell r="O73">
            <v>2.38</v>
          </cell>
          <cell r="P73">
            <v>1.1000000000000001E-3</v>
          </cell>
          <cell r="Q73">
            <v>3.86</v>
          </cell>
          <cell r="R73">
            <v>0</v>
          </cell>
          <cell r="S73">
            <v>0</v>
          </cell>
          <cell r="T73">
            <v>8.3500000000000005E-2</v>
          </cell>
          <cell r="U73">
            <v>301.42</v>
          </cell>
          <cell r="V73">
            <v>2.8E-3</v>
          </cell>
          <cell r="W73">
            <v>9.98</v>
          </cell>
          <cell r="X73">
            <v>1.0720000000000001</v>
          </cell>
          <cell r="Y73">
            <v>3870.75</v>
          </cell>
          <cell r="Z73">
            <v>7481.67</v>
          </cell>
        </row>
        <row r="74">
          <cell r="B74" t="str">
            <v>P8163</v>
          </cell>
          <cell r="C74" t="str">
            <v>Topógrafo</v>
          </cell>
          <cell r="D74" t="str">
            <v>mês</v>
          </cell>
          <cell r="E74">
            <v>2323.3000000000002</v>
          </cell>
          <cell r="F74">
            <v>0.7994</v>
          </cell>
          <cell r="G74">
            <v>1857.25</v>
          </cell>
          <cell r="H74">
            <v>0.29139999999999999</v>
          </cell>
          <cell r="I74">
            <v>677.01</v>
          </cell>
          <cell r="J74">
            <v>1.26E-2</v>
          </cell>
          <cell r="K74">
            <v>29.18</v>
          </cell>
          <cell r="L74">
            <v>0</v>
          </cell>
          <cell r="M74">
            <v>0</v>
          </cell>
          <cell r="N74">
            <v>3.4299999999999997E-2</v>
          </cell>
          <cell r="O74">
            <v>79.63</v>
          </cell>
          <cell r="P74">
            <v>1.9E-3</v>
          </cell>
          <cell r="Q74">
            <v>4.4800000000000004</v>
          </cell>
          <cell r="R74">
            <v>0</v>
          </cell>
          <cell r="S74">
            <v>0</v>
          </cell>
          <cell r="T74">
            <v>0.12970000000000001</v>
          </cell>
          <cell r="U74">
            <v>301.42</v>
          </cell>
          <cell r="V74">
            <v>4.3E-3</v>
          </cell>
          <cell r="W74">
            <v>9.98</v>
          </cell>
          <cell r="X74">
            <v>1.2736000000000001</v>
          </cell>
          <cell r="Y74">
            <v>2958.95</v>
          </cell>
          <cell r="Z74">
            <v>5282.25</v>
          </cell>
        </row>
        <row r="75">
          <cell r="B75" t="str">
            <v>P8167</v>
          </cell>
          <cell r="C75" t="str">
            <v>Arquivista júnior</v>
          </cell>
          <cell r="D75" t="str">
            <v>mês</v>
          </cell>
          <cell r="E75">
            <v>2018.26</v>
          </cell>
          <cell r="F75">
            <v>0.79810000000000003</v>
          </cell>
          <cell r="G75">
            <v>1610.77</v>
          </cell>
          <cell r="H75">
            <v>0.33539999999999998</v>
          </cell>
          <cell r="I75">
            <v>677.01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4.8500000000000001E-2</v>
          </cell>
          <cell r="O75">
            <v>97.94</v>
          </cell>
          <cell r="P75">
            <v>1.6999999999999999E-3</v>
          </cell>
          <cell r="Q75">
            <v>3.48</v>
          </cell>
          <cell r="R75">
            <v>0</v>
          </cell>
          <cell r="S75">
            <v>0</v>
          </cell>
          <cell r="T75">
            <v>0.14929999999999999</v>
          </cell>
          <cell r="U75">
            <v>301.42</v>
          </cell>
          <cell r="V75">
            <v>4.8999999999999998E-3</v>
          </cell>
          <cell r="W75">
            <v>9.98</v>
          </cell>
          <cell r="X75">
            <v>1.3381000000000001</v>
          </cell>
          <cell r="Y75">
            <v>2700.6</v>
          </cell>
          <cell r="Z75">
            <v>4718.8599999999997</v>
          </cell>
        </row>
        <row r="76">
          <cell r="B76" t="str">
            <v>P8168</v>
          </cell>
          <cell r="C76" t="str">
            <v>Arquivista pleno</v>
          </cell>
          <cell r="D76" t="str">
            <v>mês</v>
          </cell>
          <cell r="E76">
            <v>2691.02</v>
          </cell>
          <cell r="F76">
            <v>0.79810000000000003</v>
          </cell>
          <cell r="G76">
            <v>2147.6999999999998</v>
          </cell>
          <cell r="H76">
            <v>0.25159999999999999</v>
          </cell>
          <cell r="I76">
            <v>677.01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2.1399999999999999E-2</v>
          </cell>
          <cell r="O76">
            <v>57.57</v>
          </cell>
          <cell r="P76">
            <v>1.2999999999999999E-3</v>
          </cell>
          <cell r="Q76">
            <v>3.48</v>
          </cell>
          <cell r="R76">
            <v>0</v>
          </cell>
          <cell r="S76">
            <v>0</v>
          </cell>
          <cell r="T76">
            <v>0.112</v>
          </cell>
          <cell r="U76">
            <v>301.42</v>
          </cell>
          <cell r="V76">
            <v>3.7000000000000002E-3</v>
          </cell>
          <cell r="W76">
            <v>9.98</v>
          </cell>
          <cell r="X76">
            <v>1.1880999999999999</v>
          </cell>
          <cell r="Y76">
            <v>3197.16</v>
          </cell>
          <cell r="Z76">
            <v>5888.17</v>
          </cell>
        </row>
        <row r="77">
          <cell r="B77" t="str">
            <v>P8169</v>
          </cell>
          <cell r="C77" t="str">
            <v>Arquivista sênior</v>
          </cell>
          <cell r="D77" t="str">
            <v>mês</v>
          </cell>
          <cell r="E77">
            <v>4219.38</v>
          </cell>
          <cell r="F77">
            <v>0.79810000000000003</v>
          </cell>
          <cell r="G77">
            <v>3367.49</v>
          </cell>
          <cell r="H77">
            <v>0.1605</v>
          </cell>
          <cell r="I77">
            <v>677.01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8.0000000000000004E-4</v>
          </cell>
          <cell r="Q77">
            <v>3.48</v>
          </cell>
          <cell r="R77">
            <v>0</v>
          </cell>
          <cell r="S77">
            <v>0</v>
          </cell>
          <cell r="T77">
            <v>7.1400000000000005E-2</v>
          </cell>
          <cell r="U77">
            <v>301.42</v>
          </cell>
          <cell r="V77">
            <v>2.3999999999999998E-3</v>
          </cell>
          <cell r="W77">
            <v>9.98</v>
          </cell>
          <cell r="X77">
            <v>1.0331999999999999</v>
          </cell>
          <cell r="Y77">
            <v>4359.37</v>
          </cell>
          <cell r="Z77">
            <v>8578.76</v>
          </cell>
        </row>
        <row r="78">
          <cell r="B78" t="str">
            <v>P8173</v>
          </cell>
          <cell r="C78" t="str">
            <v>Administrador júnior</v>
          </cell>
          <cell r="D78" t="str">
            <v>mês</v>
          </cell>
          <cell r="E78">
            <v>3097.97</v>
          </cell>
          <cell r="F78">
            <v>0.79610000000000003</v>
          </cell>
          <cell r="G78">
            <v>2466.29</v>
          </cell>
          <cell r="H78">
            <v>0.2185</v>
          </cell>
          <cell r="I78">
            <v>677.01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1.0699999999999999E-2</v>
          </cell>
          <cell r="O78">
            <v>33.15</v>
          </cell>
          <cell r="P78">
            <v>1E-3</v>
          </cell>
          <cell r="Q78">
            <v>3.11</v>
          </cell>
          <cell r="R78">
            <v>0</v>
          </cell>
          <cell r="S78">
            <v>0</v>
          </cell>
          <cell r="T78">
            <v>9.7299999999999998E-2</v>
          </cell>
          <cell r="U78">
            <v>301.42</v>
          </cell>
          <cell r="V78">
            <v>3.2000000000000002E-3</v>
          </cell>
          <cell r="W78">
            <v>9.98</v>
          </cell>
          <cell r="X78">
            <v>1.1269</v>
          </cell>
          <cell r="Y78">
            <v>3490.96</v>
          </cell>
          <cell r="Z78">
            <v>6588.93</v>
          </cell>
        </row>
        <row r="79">
          <cell r="B79" t="str">
            <v>P8174</v>
          </cell>
          <cell r="C79" t="str">
            <v>Administrador pleno</v>
          </cell>
          <cell r="D79" t="str">
            <v>mês</v>
          </cell>
          <cell r="E79">
            <v>4130.62</v>
          </cell>
          <cell r="F79">
            <v>0.79610000000000003</v>
          </cell>
          <cell r="G79">
            <v>3288.39</v>
          </cell>
          <cell r="H79">
            <v>0.16389999999999999</v>
          </cell>
          <cell r="I79">
            <v>677.01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8.0000000000000004E-4</v>
          </cell>
          <cell r="Q79">
            <v>3.11</v>
          </cell>
          <cell r="R79">
            <v>0</v>
          </cell>
          <cell r="S79">
            <v>0</v>
          </cell>
          <cell r="T79">
            <v>7.2999999999999995E-2</v>
          </cell>
          <cell r="U79">
            <v>301.42</v>
          </cell>
          <cell r="V79">
            <v>2.3999999999999998E-3</v>
          </cell>
          <cell r="W79">
            <v>9.98</v>
          </cell>
          <cell r="X79">
            <v>1.0361</v>
          </cell>
          <cell r="Y79">
            <v>4279.91</v>
          </cell>
          <cell r="Z79">
            <v>8410.5300000000007</v>
          </cell>
        </row>
        <row r="80">
          <cell r="B80" t="str">
            <v>P8175</v>
          </cell>
          <cell r="C80" t="str">
            <v>Administrador sênior</v>
          </cell>
          <cell r="D80" t="str">
            <v>mês</v>
          </cell>
          <cell r="E80">
            <v>7233.66</v>
          </cell>
          <cell r="F80">
            <v>0.79610000000000003</v>
          </cell>
          <cell r="G80">
            <v>5758.72</v>
          </cell>
          <cell r="H80">
            <v>9.3600000000000003E-2</v>
          </cell>
          <cell r="I80">
            <v>677.01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4.0000000000000002E-4</v>
          </cell>
          <cell r="Q80">
            <v>3.11</v>
          </cell>
          <cell r="R80">
            <v>0</v>
          </cell>
          <cell r="S80">
            <v>0</v>
          </cell>
          <cell r="T80">
            <v>4.1700000000000001E-2</v>
          </cell>
          <cell r="U80">
            <v>301.42</v>
          </cell>
          <cell r="V80">
            <v>1.4E-3</v>
          </cell>
          <cell r="W80">
            <v>9.98</v>
          </cell>
          <cell r="X80">
            <v>0.93320000000000003</v>
          </cell>
          <cell r="Y80">
            <v>6750.24</v>
          </cell>
          <cell r="Z80">
            <v>13983.9</v>
          </cell>
        </row>
        <row r="81">
          <cell r="B81" t="str">
            <v>P8180</v>
          </cell>
          <cell r="C81" t="str">
            <v>Engenheiro agrimensor júnior</v>
          </cell>
          <cell r="D81" t="str">
            <v>mês</v>
          </cell>
          <cell r="E81">
            <v>11067</v>
          </cell>
          <cell r="F81">
            <v>0.79330000000000001</v>
          </cell>
          <cell r="G81">
            <v>8779.4500000000007</v>
          </cell>
          <cell r="H81">
            <v>6.1199999999999997E-2</v>
          </cell>
          <cell r="I81">
            <v>677.01</v>
          </cell>
          <cell r="J81">
            <v>2.3999999999999998E-3</v>
          </cell>
          <cell r="K81">
            <v>26.03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2.0000000000000001E-4</v>
          </cell>
          <cell r="Q81">
            <v>2.71</v>
          </cell>
          <cell r="R81">
            <v>0</v>
          </cell>
          <cell r="S81">
            <v>0</v>
          </cell>
          <cell r="T81">
            <v>2.7199999999999998E-2</v>
          </cell>
          <cell r="U81">
            <v>301.42</v>
          </cell>
          <cell r="V81">
            <v>8.9999999999999998E-4</v>
          </cell>
          <cell r="W81">
            <v>9.98</v>
          </cell>
          <cell r="X81">
            <v>0.88519999999999999</v>
          </cell>
          <cell r="Y81">
            <v>9796.59</v>
          </cell>
          <cell r="Z81">
            <v>20863.59</v>
          </cell>
        </row>
        <row r="82">
          <cell r="B82" t="str">
            <v>P8181</v>
          </cell>
          <cell r="C82" t="str">
            <v>Engenheiro agrimensor pleno</v>
          </cell>
          <cell r="D82" t="str">
            <v>mês</v>
          </cell>
          <cell r="E82">
            <v>11198.11</v>
          </cell>
          <cell r="F82">
            <v>0.79330000000000001</v>
          </cell>
          <cell r="G82">
            <v>8883.4599999999991</v>
          </cell>
          <cell r="H82">
            <v>6.0499999999999998E-2</v>
          </cell>
          <cell r="I82">
            <v>677.01</v>
          </cell>
          <cell r="J82">
            <v>2.3E-3</v>
          </cell>
          <cell r="K82">
            <v>26.03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2.0000000000000001E-4</v>
          </cell>
          <cell r="Q82">
            <v>2.71</v>
          </cell>
          <cell r="R82">
            <v>0</v>
          </cell>
          <cell r="S82">
            <v>0</v>
          </cell>
          <cell r="T82">
            <v>2.69E-2</v>
          </cell>
          <cell r="U82">
            <v>301.42</v>
          </cell>
          <cell r="V82">
            <v>8.9999999999999998E-4</v>
          </cell>
          <cell r="W82">
            <v>9.98</v>
          </cell>
          <cell r="X82">
            <v>0.8841</v>
          </cell>
          <cell r="Y82">
            <v>9900.6</v>
          </cell>
          <cell r="Z82">
            <v>21098.71</v>
          </cell>
        </row>
        <row r="83">
          <cell r="B83" t="str">
            <v>P8182</v>
          </cell>
          <cell r="C83" t="str">
            <v>Engenheiro agrimensor sênior</v>
          </cell>
          <cell r="D83" t="str">
            <v>mês</v>
          </cell>
          <cell r="E83">
            <v>12047.23</v>
          </cell>
          <cell r="F83">
            <v>0.79330000000000001</v>
          </cell>
          <cell r="G83">
            <v>9557.07</v>
          </cell>
          <cell r="H83">
            <v>5.62E-2</v>
          </cell>
          <cell r="I83">
            <v>677.01</v>
          </cell>
          <cell r="J83">
            <v>2.2000000000000001E-3</v>
          </cell>
          <cell r="K83">
            <v>26.03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2.0000000000000001E-4</v>
          </cell>
          <cell r="Q83">
            <v>2.71</v>
          </cell>
          <cell r="R83">
            <v>0</v>
          </cell>
          <cell r="S83">
            <v>0</v>
          </cell>
          <cell r="T83">
            <v>2.5000000000000001E-2</v>
          </cell>
          <cell r="U83">
            <v>301.42</v>
          </cell>
          <cell r="V83">
            <v>8.0000000000000004E-4</v>
          </cell>
          <cell r="W83">
            <v>9.98</v>
          </cell>
          <cell r="X83">
            <v>0.87770000000000004</v>
          </cell>
          <cell r="Y83">
            <v>10574.21</v>
          </cell>
          <cell r="Z83">
            <v>22621.439999999999</v>
          </cell>
        </row>
        <row r="84">
          <cell r="B84" t="str">
            <v>P8183</v>
          </cell>
          <cell r="C84" t="str">
            <v>Geógrafo júnior</v>
          </cell>
          <cell r="D84" t="str">
            <v>mês</v>
          </cell>
          <cell r="E84">
            <v>3351.22</v>
          </cell>
          <cell r="F84">
            <v>0.79430000000000001</v>
          </cell>
          <cell r="G84">
            <v>2661.87</v>
          </cell>
          <cell r="H84">
            <v>0.20200000000000001</v>
          </cell>
          <cell r="I84">
            <v>677.01</v>
          </cell>
          <cell r="J84">
            <v>7.7999999999999996E-3</v>
          </cell>
          <cell r="K84">
            <v>26.03</v>
          </cell>
          <cell r="L84">
            <v>0</v>
          </cell>
          <cell r="M84">
            <v>0</v>
          </cell>
          <cell r="N84">
            <v>5.4000000000000003E-3</v>
          </cell>
          <cell r="O84">
            <v>17.96</v>
          </cell>
          <cell r="P84">
            <v>8.0000000000000004E-4</v>
          </cell>
          <cell r="Q84">
            <v>2.71</v>
          </cell>
          <cell r="R84">
            <v>0</v>
          </cell>
          <cell r="S84">
            <v>0</v>
          </cell>
          <cell r="T84">
            <v>8.9899999999999994E-2</v>
          </cell>
          <cell r="U84">
            <v>301.42</v>
          </cell>
          <cell r="V84">
            <v>3.0000000000000001E-3</v>
          </cell>
          <cell r="W84">
            <v>9.98</v>
          </cell>
          <cell r="X84">
            <v>1.1032</v>
          </cell>
          <cell r="Y84">
            <v>3696.98</v>
          </cell>
          <cell r="Z84">
            <v>7048.19</v>
          </cell>
        </row>
        <row r="85">
          <cell r="B85" t="str">
            <v>P8184</v>
          </cell>
          <cell r="C85" t="str">
            <v>Geógrafo pleno</v>
          </cell>
          <cell r="D85" t="str">
            <v>mês</v>
          </cell>
          <cell r="E85">
            <v>4468.29</v>
          </cell>
          <cell r="F85">
            <v>0.79430000000000001</v>
          </cell>
          <cell r="G85">
            <v>3549.16</v>
          </cell>
          <cell r="H85">
            <v>0.1515</v>
          </cell>
          <cell r="I85">
            <v>677.01</v>
          </cell>
          <cell r="J85">
            <v>5.7999999999999996E-3</v>
          </cell>
          <cell r="K85">
            <v>26.03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5.9999999999999995E-4</v>
          </cell>
          <cell r="Q85">
            <v>2.71</v>
          </cell>
          <cell r="R85">
            <v>0</v>
          </cell>
          <cell r="S85">
            <v>0</v>
          </cell>
          <cell r="T85">
            <v>6.7500000000000004E-2</v>
          </cell>
          <cell r="U85">
            <v>301.42</v>
          </cell>
          <cell r="V85">
            <v>2.2000000000000001E-3</v>
          </cell>
          <cell r="W85">
            <v>9.98</v>
          </cell>
          <cell r="X85">
            <v>1.0219</v>
          </cell>
          <cell r="Y85">
            <v>4566.3100000000004</v>
          </cell>
          <cell r="Z85">
            <v>9034.6</v>
          </cell>
        </row>
        <row r="86">
          <cell r="B86" t="str">
            <v>P8185</v>
          </cell>
          <cell r="C86" t="str">
            <v>Geógrafo sênior</v>
          </cell>
          <cell r="D86" t="str">
            <v>mês</v>
          </cell>
          <cell r="E86">
            <v>8514.33</v>
          </cell>
          <cell r="F86">
            <v>0.79430000000000001</v>
          </cell>
          <cell r="G86">
            <v>6762.93</v>
          </cell>
          <cell r="H86">
            <v>7.9500000000000001E-2</v>
          </cell>
          <cell r="I86">
            <v>677.01</v>
          </cell>
          <cell r="J86">
            <v>3.0999999999999999E-3</v>
          </cell>
          <cell r="K86">
            <v>26.03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2.9999999999999997E-4</v>
          </cell>
          <cell r="Q86">
            <v>2.71</v>
          </cell>
          <cell r="R86">
            <v>0</v>
          </cell>
          <cell r="S86">
            <v>0</v>
          </cell>
          <cell r="T86">
            <v>3.5400000000000001E-2</v>
          </cell>
          <cell r="U86">
            <v>301.42</v>
          </cell>
          <cell r="V86">
            <v>1.1999999999999999E-3</v>
          </cell>
          <cell r="W86">
            <v>9.98</v>
          </cell>
          <cell r="X86">
            <v>0.91379999999999995</v>
          </cell>
          <cell r="Y86">
            <v>7780.08</v>
          </cell>
          <cell r="Z86">
            <v>16294.41</v>
          </cell>
        </row>
        <row r="87">
          <cell r="B87" t="str">
            <v>P8186</v>
          </cell>
          <cell r="C87" t="str">
            <v>Antropólogo júnior</v>
          </cell>
          <cell r="D87" t="str">
            <v>mês</v>
          </cell>
          <cell r="E87">
            <v>3165.46</v>
          </cell>
          <cell r="F87">
            <v>0.80720000000000003</v>
          </cell>
          <cell r="G87">
            <v>2555.16</v>
          </cell>
          <cell r="H87">
            <v>0.21390000000000001</v>
          </cell>
          <cell r="I87">
            <v>677.01</v>
          </cell>
          <cell r="J87">
            <v>8.2000000000000007E-3</v>
          </cell>
          <cell r="K87">
            <v>26.03</v>
          </cell>
          <cell r="L87">
            <v>0</v>
          </cell>
          <cell r="M87">
            <v>0</v>
          </cell>
          <cell r="N87">
            <v>9.1999999999999998E-3</v>
          </cell>
          <cell r="O87">
            <v>29.1</v>
          </cell>
          <cell r="P87">
            <v>1.5E-3</v>
          </cell>
          <cell r="Q87">
            <v>4.66</v>
          </cell>
          <cell r="R87">
            <v>0</v>
          </cell>
          <cell r="S87">
            <v>0</v>
          </cell>
          <cell r="T87">
            <v>9.5200000000000007E-2</v>
          </cell>
          <cell r="U87">
            <v>301.42</v>
          </cell>
          <cell r="V87">
            <v>3.2000000000000002E-3</v>
          </cell>
          <cell r="W87">
            <v>9.98</v>
          </cell>
          <cell r="X87">
            <v>1.1383000000000001</v>
          </cell>
          <cell r="Y87">
            <v>3603.36</v>
          </cell>
          <cell r="Z87">
            <v>6768.82</v>
          </cell>
        </row>
        <row r="88">
          <cell r="B88" t="str">
            <v>P8187</v>
          </cell>
          <cell r="C88" t="str">
            <v>Antropólogo pleno</v>
          </cell>
          <cell r="D88" t="str">
            <v>mês</v>
          </cell>
          <cell r="E88">
            <v>4220.6099999999997</v>
          </cell>
          <cell r="F88">
            <v>0.80720000000000003</v>
          </cell>
          <cell r="G88">
            <v>3406.88</v>
          </cell>
          <cell r="H88">
            <v>0.16039999999999999</v>
          </cell>
          <cell r="I88">
            <v>677.01</v>
          </cell>
          <cell r="J88">
            <v>6.1999999999999998E-3</v>
          </cell>
          <cell r="K88">
            <v>26.03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1.1000000000000001E-3</v>
          </cell>
          <cell r="Q88">
            <v>4.66</v>
          </cell>
          <cell r="R88">
            <v>0</v>
          </cell>
          <cell r="S88">
            <v>0</v>
          </cell>
          <cell r="T88">
            <v>7.1400000000000005E-2</v>
          </cell>
          <cell r="U88">
            <v>301.42</v>
          </cell>
          <cell r="V88">
            <v>2.3999999999999998E-3</v>
          </cell>
          <cell r="W88">
            <v>9.98</v>
          </cell>
          <cell r="X88">
            <v>1.0487</v>
          </cell>
          <cell r="Y88">
            <v>4425.97</v>
          </cell>
          <cell r="Z88">
            <v>8646.58</v>
          </cell>
        </row>
        <row r="89">
          <cell r="B89" t="str">
            <v>P8188</v>
          </cell>
          <cell r="C89" t="str">
            <v>Antropólogo sênior</v>
          </cell>
          <cell r="D89" t="str">
            <v>mês</v>
          </cell>
          <cell r="E89">
            <v>6078.95</v>
          </cell>
          <cell r="F89">
            <v>0.80720000000000003</v>
          </cell>
          <cell r="G89">
            <v>4906.93</v>
          </cell>
          <cell r="H89">
            <v>0.1114</v>
          </cell>
          <cell r="I89">
            <v>677.01</v>
          </cell>
          <cell r="J89">
            <v>4.3E-3</v>
          </cell>
          <cell r="K89">
            <v>26.03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8.0000000000000004E-4</v>
          </cell>
          <cell r="Q89">
            <v>4.66</v>
          </cell>
          <cell r="R89">
            <v>0</v>
          </cell>
          <cell r="S89">
            <v>0</v>
          </cell>
          <cell r="T89">
            <v>4.9599999999999998E-2</v>
          </cell>
          <cell r="U89">
            <v>301.42</v>
          </cell>
          <cell r="V89">
            <v>1.6000000000000001E-3</v>
          </cell>
          <cell r="W89">
            <v>9.98</v>
          </cell>
          <cell r="X89">
            <v>0.9748</v>
          </cell>
          <cell r="Y89">
            <v>5926.02</v>
          </cell>
          <cell r="Z89">
            <v>12004.97</v>
          </cell>
        </row>
        <row r="90">
          <cell r="B90" t="str">
            <v>P8189</v>
          </cell>
          <cell r="C90" t="str">
            <v>Arqueólogo júnior</v>
          </cell>
          <cell r="D90" t="str">
            <v>mês</v>
          </cell>
          <cell r="E90">
            <v>3085.16</v>
          </cell>
          <cell r="F90">
            <v>0.82709999999999995</v>
          </cell>
          <cell r="G90">
            <v>2551.7399999999998</v>
          </cell>
          <cell r="H90">
            <v>0.21940000000000001</v>
          </cell>
          <cell r="I90">
            <v>677.01</v>
          </cell>
          <cell r="J90">
            <v>8.3999999999999995E-3</v>
          </cell>
          <cell r="K90">
            <v>26.03</v>
          </cell>
          <cell r="L90">
            <v>0</v>
          </cell>
          <cell r="M90">
            <v>0</v>
          </cell>
          <cell r="N90">
            <v>1.0999999999999999E-2</v>
          </cell>
          <cell r="O90">
            <v>33.92</v>
          </cell>
          <cell r="P90">
            <v>2E-3</v>
          </cell>
          <cell r="Q90">
            <v>6.32</v>
          </cell>
          <cell r="R90">
            <v>0</v>
          </cell>
          <cell r="S90">
            <v>0</v>
          </cell>
          <cell r="T90">
            <v>9.7699999999999995E-2</v>
          </cell>
          <cell r="U90">
            <v>301.42</v>
          </cell>
          <cell r="V90">
            <v>3.2000000000000002E-3</v>
          </cell>
          <cell r="W90">
            <v>9.98</v>
          </cell>
          <cell r="X90">
            <v>1.169</v>
          </cell>
          <cell r="Y90">
            <v>3606.42</v>
          </cell>
          <cell r="Z90">
            <v>6691.58</v>
          </cell>
        </row>
        <row r="91">
          <cell r="B91" t="str">
            <v>P8190</v>
          </cell>
          <cell r="C91" t="str">
            <v>Arqueólogo pleno</v>
          </cell>
          <cell r="D91" t="str">
            <v>mês</v>
          </cell>
          <cell r="E91">
            <v>4113.55</v>
          </cell>
          <cell r="F91">
            <v>0.82709999999999995</v>
          </cell>
          <cell r="G91">
            <v>3402.32</v>
          </cell>
          <cell r="H91">
            <v>0.1646</v>
          </cell>
          <cell r="I91">
            <v>677.01</v>
          </cell>
          <cell r="J91">
            <v>6.3E-3</v>
          </cell>
          <cell r="K91">
            <v>26.03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1.5E-3</v>
          </cell>
          <cell r="Q91">
            <v>6.32</v>
          </cell>
          <cell r="R91">
            <v>0</v>
          </cell>
          <cell r="S91">
            <v>0</v>
          </cell>
          <cell r="T91">
            <v>7.3300000000000004E-2</v>
          </cell>
          <cell r="U91">
            <v>301.42</v>
          </cell>
          <cell r="V91">
            <v>2.3999999999999998E-3</v>
          </cell>
          <cell r="W91">
            <v>9.98</v>
          </cell>
          <cell r="X91">
            <v>1.0751999999999999</v>
          </cell>
          <cell r="Y91">
            <v>4423.07</v>
          </cell>
          <cell r="Z91">
            <v>8536.6200000000008</v>
          </cell>
        </row>
        <row r="92">
          <cell r="B92" t="str">
            <v>P8191</v>
          </cell>
          <cell r="C92" t="str">
            <v>Arqueólogo sênior</v>
          </cell>
          <cell r="D92" t="str">
            <v>mês</v>
          </cell>
          <cell r="E92">
            <v>5832.14</v>
          </cell>
          <cell r="F92">
            <v>0.82709999999999995</v>
          </cell>
          <cell r="G92">
            <v>4823.76</v>
          </cell>
          <cell r="H92">
            <v>0.11609999999999999</v>
          </cell>
          <cell r="I92">
            <v>677.01</v>
          </cell>
          <cell r="J92">
            <v>4.4999999999999997E-3</v>
          </cell>
          <cell r="K92">
            <v>26.03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1.1000000000000001E-3</v>
          </cell>
          <cell r="Q92">
            <v>6.32</v>
          </cell>
          <cell r="R92">
            <v>0</v>
          </cell>
          <cell r="S92">
            <v>0</v>
          </cell>
          <cell r="T92">
            <v>5.1700000000000003E-2</v>
          </cell>
          <cell r="U92">
            <v>301.42</v>
          </cell>
          <cell r="V92">
            <v>1.6999999999999999E-3</v>
          </cell>
          <cell r="W92">
            <v>9.98</v>
          </cell>
          <cell r="X92">
            <v>1.0021</v>
          </cell>
          <cell r="Y92">
            <v>5844.52</v>
          </cell>
          <cell r="Z92">
            <v>11676.66</v>
          </cell>
        </row>
        <row r="93">
          <cell r="B93" t="str">
            <v>P8192</v>
          </cell>
          <cell r="C93" t="str">
            <v>Historiador júnior</v>
          </cell>
          <cell r="D93" t="str">
            <v>mês</v>
          </cell>
          <cell r="E93">
            <v>3325.64</v>
          </cell>
          <cell r="F93">
            <v>0.79669999999999996</v>
          </cell>
          <cell r="G93">
            <v>2649.54</v>
          </cell>
          <cell r="H93">
            <v>0.2036</v>
          </cell>
          <cell r="I93">
            <v>677.01</v>
          </cell>
          <cell r="J93">
            <v>7.7999999999999996E-3</v>
          </cell>
          <cell r="K93">
            <v>26.03</v>
          </cell>
          <cell r="L93">
            <v>0</v>
          </cell>
          <cell r="M93">
            <v>0</v>
          </cell>
          <cell r="N93">
            <v>5.8999999999999999E-3</v>
          </cell>
          <cell r="O93">
            <v>19.489999999999998</v>
          </cell>
          <cell r="P93">
            <v>1.1000000000000001E-3</v>
          </cell>
          <cell r="Q93">
            <v>3.69</v>
          </cell>
          <cell r="R93">
            <v>0</v>
          </cell>
          <cell r="S93">
            <v>0</v>
          </cell>
          <cell r="T93">
            <v>9.06E-2</v>
          </cell>
          <cell r="U93">
            <v>301.42</v>
          </cell>
          <cell r="V93">
            <v>3.0000000000000001E-3</v>
          </cell>
          <cell r="W93">
            <v>9.98</v>
          </cell>
          <cell r="X93">
            <v>1.1087</v>
          </cell>
          <cell r="Y93">
            <v>3687.15</v>
          </cell>
          <cell r="Z93">
            <v>7012.79</v>
          </cell>
        </row>
        <row r="94">
          <cell r="B94" t="str">
            <v>P8193</v>
          </cell>
          <cell r="C94" t="str">
            <v>Historiador pleno</v>
          </cell>
          <cell r="D94" t="str">
            <v>mês</v>
          </cell>
          <cell r="E94">
            <v>4434.18</v>
          </cell>
          <cell r="F94">
            <v>0.79669999999999996</v>
          </cell>
          <cell r="G94">
            <v>3532.71</v>
          </cell>
          <cell r="H94">
            <v>0.1527</v>
          </cell>
          <cell r="I94">
            <v>677.01</v>
          </cell>
          <cell r="J94">
            <v>5.8999999999999999E-3</v>
          </cell>
          <cell r="K94">
            <v>26.03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8.0000000000000004E-4</v>
          </cell>
          <cell r="Q94">
            <v>3.69</v>
          </cell>
          <cell r="R94">
            <v>0</v>
          </cell>
          <cell r="S94">
            <v>0</v>
          </cell>
          <cell r="T94">
            <v>6.8000000000000005E-2</v>
          </cell>
          <cell r="U94">
            <v>301.42</v>
          </cell>
          <cell r="V94">
            <v>2.3E-3</v>
          </cell>
          <cell r="W94">
            <v>9.98</v>
          </cell>
          <cell r="X94">
            <v>1.0263</v>
          </cell>
          <cell r="Y94">
            <v>4550.84</v>
          </cell>
          <cell r="Z94">
            <v>8985.02</v>
          </cell>
        </row>
        <row r="95">
          <cell r="B95" t="str">
            <v>P8194</v>
          </cell>
          <cell r="C95" t="str">
            <v>Historiador sênior</v>
          </cell>
          <cell r="D95" t="str">
            <v>mês</v>
          </cell>
          <cell r="E95">
            <v>7403.84</v>
          </cell>
          <cell r="F95">
            <v>0.79669999999999996</v>
          </cell>
          <cell r="G95">
            <v>5898.64</v>
          </cell>
          <cell r="H95">
            <v>9.1399999999999995E-2</v>
          </cell>
          <cell r="I95">
            <v>677.01</v>
          </cell>
          <cell r="J95">
            <v>3.5000000000000001E-3</v>
          </cell>
          <cell r="K95">
            <v>26.03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5.0000000000000001E-4</v>
          </cell>
          <cell r="Q95">
            <v>3.69</v>
          </cell>
          <cell r="R95">
            <v>0</v>
          </cell>
          <cell r="S95">
            <v>0</v>
          </cell>
          <cell r="T95">
            <v>4.07E-2</v>
          </cell>
          <cell r="U95">
            <v>301.42</v>
          </cell>
          <cell r="V95">
            <v>1.2999999999999999E-3</v>
          </cell>
          <cell r="W95">
            <v>9.98</v>
          </cell>
          <cell r="X95">
            <v>0.93420000000000003</v>
          </cell>
          <cell r="Y95">
            <v>6916.76</v>
          </cell>
          <cell r="Z95">
            <v>14320.6</v>
          </cell>
        </row>
        <row r="96">
          <cell r="B96" t="str">
            <v>P8195</v>
          </cell>
          <cell r="C96" t="str">
            <v>Paleontólogo júnior</v>
          </cell>
          <cell r="D96" t="str">
            <v>mês</v>
          </cell>
          <cell r="E96">
            <v>3141.84</v>
          </cell>
          <cell r="F96">
            <v>0.79810000000000003</v>
          </cell>
          <cell r="G96">
            <v>2507.5100000000002</v>
          </cell>
          <cell r="H96">
            <v>0.2155</v>
          </cell>
          <cell r="I96">
            <v>677.01</v>
          </cell>
          <cell r="J96">
            <v>8.3000000000000001E-3</v>
          </cell>
          <cell r="K96">
            <v>26.03</v>
          </cell>
          <cell r="L96">
            <v>0</v>
          </cell>
          <cell r="M96">
            <v>0</v>
          </cell>
          <cell r="N96">
            <v>9.7000000000000003E-3</v>
          </cell>
          <cell r="O96">
            <v>30.52</v>
          </cell>
          <cell r="P96">
            <v>1.1999999999999999E-3</v>
          </cell>
          <cell r="Q96">
            <v>3.91</v>
          </cell>
          <cell r="R96">
            <v>0</v>
          </cell>
          <cell r="S96">
            <v>0</v>
          </cell>
          <cell r="T96">
            <v>9.5899999999999999E-2</v>
          </cell>
          <cell r="U96">
            <v>301.42</v>
          </cell>
          <cell r="V96">
            <v>3.2000000000000002E-3</v>
          </cell>
          <cell r="W96">
            <v>9.98</v>
          </cell>
          <cell r="X96">
            <v>1.1318999999999999</v>
          </cell>
          <cell r="Y96">
            <v>3556.37</v>
          </cell>
          <cell r="Z96">
            <v>6698.22</v>
          </cell>
        </row>
        <row r="97">
          <cell r="B97" t="str">
            <v>P8196</v>
          </cell>
          <cell r="C97" t="str">
            <v>Paleontólogo pleno</v>
          </cell>
          <cell r="D97" t="str">
            <v>mês</v>
          </cell>
          <cell r="E97">
            <v>4189.13</v>
          </cell>
          <cell r="F97">
            <v>0.79810000000000003</v>
          </cell>
          <cell r="G97">
            <v>3343.34</v>
          </cell>
          <cell r="H97">
            <v>0.16159999999999999</v>
          </cell>
          <cell r="I97">
            <v>677.01</v>
          </cell>
          <cell r="J97">
            <v>6.1999999999999998E-3</v>
          </cell>
          <cell r="K97">
            <v>26.03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8.9999999999999998E-4</v>
          </cell>
          <cell r="Q97">
            <v>3.91</v>
          </cell>
          <cell r="R97">
            <v>0</v>
          </cell>
          <cell r="S97">
            <v>0</v>
          </cell>
          <cell r="T97">
            <v>7.1999999999999995E-2</v>
          </cell>
          <cell r="U97">
            <v>301.42</v>
          </cell>
          <cell r="V97">
            <v>2.3999999999999998E-3</v>
          </cell>
          <cell r="W97">
            <v>9.98</v>
          </cell>
          <cell r="X97">
            <v>1.0411999999999999</v>
          </cell>
          <cell r="Y97">
            <v>4361.6899999999996</v>
          </cell>
          <cell r="Z97">
            <v>8550.81</v>
          </cell>
        </row>
        <row r="98">
          <cell r="B98" t="str">
            <v>P8197</v>
          </cell>
          <cell r="C98" t="str">
            <v>Paleontólogo sênior</v>
          </cell>
          <cell r="D98" t="str">
            <v>mês</v>
          </cell>
          <cell r="E98">
            <v>6069.84</v>
          </cell>
          <cell r="F98">
            <v>0.79810000000000003</v>
          </cell>
          <cell r="G98">
            <v>4844.34</v>
          </cell>
          <cell r="H98">
            <v>0.1115</v>
          </cell>
          <cell r="I98">
            <v>677.01</v>
          </cell>
          <cell r="J98">
            <v>4.3E-3</v>
          </cell>
          <cell r="K98">
            <v>26.03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5.9999999999999995E-4</v>
          </cell>
          <cell r="Q98">
            <v>3.91</v>
          </cell>
          <cell r="R98">
            <v>0</v>
          </cell>
          <cell r="S98">
            <v>0</v>
          </cell>
          <cell r="T98">
            <v>4.9700000000000001E-2</v>
          </cell>
          <cell r="U98">
            <v>301.42</v>
          </cell>
          <cell r="V98">
            <v>1.6000000000000001E-3</v>
          </cell>
          <cell r="W98">
            <v>9.98</v>
          </cell>
          <cell r="X98">
            <v>0.96589999999999998</v>
          </cell>
          <cell r="Y98">
            <v>5862.69</v>
          </cell>
          <cell r="Z98">
            <v>11932.53</v>
          </cell>
        </row>
        <row r="99">
          <cell r="B99" t="str">
            <v>P8198</v>
          </cell>
          <cell r="C99" t="str">
            <v>Sociólogo júnior</v>
          </cell>
          <cell r="D99" t="str">
            <v>mês</v>
          </cell>
          <cell r="E99">
            <v>3782.76</v>
          </cell>
          <cell r="F99">
            <v>0.81910000000000005</v>
          </cell>
          <cell r="G99">
            <v>3098.46</v>
          </cell>
          <cell r="H99">
            <v>0.17899999999999999</v>
          </cell>
          <cell r="I99">
            <v>677.01</v>
          </cell>
          <cell r="J99">
            <v>6.8999999999999999E-3</v>
          </cell>
          <cell r="K99">
            <v>26.03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1.5E-3</v>
          </cell>
          <cell r="Q99">
            <v>5.55</v>
          </cell>
          <cell r="R99">
            <v>0</v>
          </cell>
          <cell r="S99">
            <v>0</v>
          </cell>
          <cell r="T99">
            <v>7.9699999999999993E-2</v>
          </cell>
          <cell r="U99">
            <v>301.42</v>
          </cell>
          <cell r="V99">
            <v>2.5999999999999999E-3</v>
          </cell>
          <cell r="W99">
            <v>9.98</v>
          </cell>
          <cell r="X99">
            <v>1.0887</v>
          </cell>
          <cell r="Y99">
            <v>4118.4399999999996</v>
          </cell>
          <cell r="Z99">
            <v>7901.19</v>
          </cell>
        </row>
        <row r="100">
          <cell r="B100" t="str">
            <v>P8199</v>
          </cell>
          <cell r="C100" t="str">
            <v>Sociólogo pleno</v>
          </cell>
          <cell r="D100" t="str">
            <v>mês</v>
          </cell>
          <cell r="E100">
            <v>5043.67</v>
          </cell>
          <cell r="F100">
            <v>0.81910000000000005</v>
          </cell>
          <cell r="G100">
            <v>4131.2700000000004</v>
          </cell>
          <cell r="H100">
            <v>0.13420000000000001</v>
          </cell>
          <cell r="I100">
            <v>677.01</v>
          </cell>
          <cell r="J100">
            <v>5.1999999999999998E-3</v>
          </cell>
          <cell r="K100">
            <v>26.03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1.1000000000000001E-3</v>
          </cell>
          <cell r="Q100">
            <v>5.55</v>
          </cell>
          <cell r="R100">
            <v>0</v>
          </cell>
          <cell r="S100">
            <v>0</v>
          </cell>
          <cell r="T100">
            <v>5.9799999999999999E-2</v>
          </cell>
          <cell r="U100">
            <v>301.42</v>
          </cell>
          <cell r="V100">
            <v>2E-3</v>
          </cell>
          <cell r="W100">
            <v>9.98</v>
          </cell>
          <cell r="X100">
            <v>1.0213000000000001</v>
          </cell>
          <cell r="Y100">
            <v>5151.26</v>
          </cell>
          <cell r="Z100">
            <v>10194.93</v>
          </cell>
        </row>
        <row r="101">
          <cell r="B101" t="str">
            <v>P8200</v>
          </cell>
          <cell r="C101" t="str">
            <v>Sociólogo sênior</v>
          </cell>
          <cell r="D101" t="str">
            <v>mês</v>
          </cell>
          <cell r="E101">
            <v>7915.13</v>
          </cell>
          <cell r="F101">
            <v>0.81910000000000005</v>
          </cell>
          <cell r="G101">
            <v>6483.28</v>
          </cell>
          <cell r="H101">
            <v>8.5500000000000007E-2</v>
          </cell>
          <cell r="I101">
            <v>677.01</v>
          </cell>
          <cell r="J101">
            <v>3.3E-3</v>
          </cell>
          <cell r="K101">
            <v>26.03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6.9999999999999999E-4</v>
          </cell>
          <cell r="Q101">
            <v>5.55</v>
          </cell>
          <cell r="R101">
            <v>0</v>
          </cell>
          <cell r="S101">
            <v>0</v>
          </cell>
          <cell r="T101">
            <v>3.8100000000000002E-2</v>
          </cell>
          <cell r="U101">
            <v>301.42</v>
          </cell>
          <cell r="V101">
            <v>1.2999999999999999E-3</v>
          </cell>
          <cell r="W101">
            <v>9.98</v>
          </cell>
          <cell r="X101">
            <v>0.94799999999999995</v>
          </cell>
          <cell r="Y101">
            <v>7503.26</v>
          </cell>
          <cell r="Z101">
            <v>15418.39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Leonardo Takei Kawata" id="{01435C0E-F571-44BE-AAB3-252520AB31E3}" userId="S::leonardo.kawata@infrasa.gov.br::a7bf22a4-bd0f-4f70-9b46-cb47acb76f18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59" dT="2023-11-21T17:10:48.37" personId="{01435C0E-F571-44BE-AAB3-252520AB31E3}" id="{D8472B34-9437-42D2-968C-157FA2818B7D}">
    <text>Os preços unitários do SICRO abr/2023 foram atualizados pelo IPCA para jun/2023 
(calculadora cidadão)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6FF48-B3A6-4AFB-8AEB-6B645885E351}">
  <dimension ref="A1:AK82"/>
  <sheetViews>
    <sheetView tabSelected="1" zoomScale="85" zoomScaleNormal="85" workbookViewId="0">
      <selection activeCell="E10" sqref="E10"/>
    </sheetView>
  </sheetViews>
  <sheetFormatPr defaultRowHeight="15" outlineLevelCol="1" x14ac:dyDescent="0.25"/>
  <cols>
    <col min="1" max="1" width="3.28515625" customWidth="1"/>
    <col min="2" max="2" width="7.28515625" customWidth="1"/>
    <col min="3" max="3" width="58.5703125" customWidth="1"/>
    <col min="4" max="4" width="12.28515625" customWidth="1"/>
    <col min="5" max="5" width="10.5703125" customWidth="1"/>
    <col min="6" max="6" width="15.5703125" customWidth="1"/>
    <col min="7" max="7" width="14" customWidth="1"/>
    <col min="8" max="8" width="58.28515625" hidden="1" customWidth="1" outlineLevel="1"/>
    <col min="9" max="9" width="48" hidden="1" customWidth="1" outlineLevel="1"/>
    <col min="10" max="10" width="13.85546875" customWidth="1" collapsed="1"/>
    <col min="11" max="12" width="5.5703125" customWidth="1"/>
    <col min="15" max="38" width="13.28515625" customWidth="1"/>
  </cols>
  <sheetData>
    <row r="1" spans="1:37" x14ac:dyDescent="0.25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37" ht="18.75" x14ac:dyDescent="0.3">
      <c r="A2" s="134"/>
      <c r="B2" s="135" t="s">
        <v>378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1:37" s="75" customFormat="1" ht="30" customHeight="1" x14ac:dyDescent="0.25">
      <c r="A3" s="136"/>
      <c r="B3" s="213" t="s">
        <v>157</v>
      </c>
      <c r="C3" s="213"/>
      <c r="D3" s="213"/>
      <c r="E3" s="213"/>
      <c r="F3" s="159"/>
      <c r="G3" s="159"/>
      <c r="H3" s="159"/>
      <c r="I3" s="159"/>
      <c r="J3" s="134"/>
      <c r="K3" s="134"/>
      <c r="L3" s="134"/>
    </row>
    <row r="4" spans="1:37" ht="15.75" customHeight="1" thickBot="1" x14ac:dyDescent="0.3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O4" s="212" t="s">
        <v>416</v>
      </c>
      <c r="P4" s="212"/>
      <c r="Q4" s="212"/>
      <c r="R4" s="212"/>
      <c r="S4" s="212"/>
      <c r="T4" s="212"/>
      <c r="U4" s="212" t="s">
        <v>417</v>
      </c>
      <c r="V4" s="212"/>
      <c r="W4" s="212"/>
      <c r="X4" s="212"/>
      <c r="Y4" s="212" t="s">
        <v>390</v>
      </c>
      <c r="Z4" s="212"/>
      <c r="AA4" s="212"/>
      <c r="AB4" s="212" t="s">
        <v>391</v>
      </c>
      <c r="AC4" s="212"/>
      <c r="AD4" s="212"/>
      <c r="AE4" s="212"/>
      <c r="AF4" s="212" t="s">
        <v>145</v>
      </c>
      <c r="AG4" s="212"/>
      <c r="AH4" s="212"/>
      <c r="AI4" s="212"/>
      <c r="AJ4" s="212" t="s">
        <v>418</v>
      </c>
      <c r="AK4" s="212"/>
    </row>
    <row r="5" spans="1:37" s="15" customFormat="1" ht="30" customHeight="1" thickBot="1" x14ac:dyDescent="0.3">
      <c r="A5" s="137"/>
      <c r="B5" s="131" t="s">
        <v>50</v>
      </c>
      <c r="C5" s="132" t="s">
        <v>51</v>
      </c>
      <c r="D5" s="132" t="s">
        <v>52</v>
      </c>
      <c r="E5" s="132" t="s">
        <v>53</v>
      </c>
      <c r="F5" s="132" t="s">
        <v>421</v>
      </c>
      <c r="G5" s="132" t="s">
        <v>54</v>
      </c>
      <c r="H5" s="132" t="s">
        <v>158</v>
      </c>
      <c r="I5" s="132" t="s">
        <v>370</v>
      </c>
      <c r="J5" s="133" t="s">
        <v>382</v>
      </c>
      <c r="K5" s="134"/>
      <c r="L5" s="134"/>
      <c r="M5" s="199" t="s">
        <v>469</v>
      </c>
      <c r="O5" s="188" t="s">
        <v>437</v>
      </c>
      <c r="P5" s="188" t="s">
        <v>438</v>
      </c>
      <c r="Q5" s="188" t="s">
        <v>439</v>
      </c>
      <c r="R5" s="188" t="s">
        <v>440</v>
      </c>
      <c r="S5" s="188" t="s">
        <v>441</v>
      </c>
      <c r="T5" s="188" t="s">
        <v>442</v>
      </c>
      <c r="U5" s="188" t="s">
        <v>443</v>
      </c>
      <c r="V5" s="188" t="s">
        <v>444</v>
      </c>
      <c r="W5" s="188" t="s">
        <v>445</v>
      </c>
      <c r="X5" s="188" t="s">
        <v>446</v>
      </c>
      <c r="Y5" s="188" t="s">
        <v>447</v>
      </c>
      <c r="Z5" s="188" t="s">
        <v>448</v>
      </c>
      <c r="AA5" s="188" t="s">
        <v>449</v>
      </c>
      <c r="AB5" s="188" t="s">
        <v>450</v>
      </c>
      <c r="AC5" s="188" t="s">
        <v>451</v>
      </c>
      <c r="AD5" s="188" t="s">
        <v>452</v>
      </c>
      <c r="AE5" s="188" t="s">
        <v>453</v>
      </c>
      <c r="AF5" s="188" t="s">
        <v>454</v>
      </c>
      <c r="AG5" s="188" t="s">
        <v>455</v>
      </c>
      <c r="AH5" s="188" t="s">
        <v>456</v>
      </c>
      <c r="AI5" s="188" t="s">
        <v>457</v>
      </c>
      <c r="AJ5" s="188" t="s">
        <v>458</v>
      </c>
      <c r="AK5" s="188" t="s">
        <v>459</v>
      </c>
    </row>
    <row r="6" spans="1:37" x14ac:dyDescent="0.25">
      <c r="A6" s="134"/>
      <c r="B6" s="138">
        <v>1</v>
      </c>
      <c r="C6" s="139" t="s">
        <v>159</v>
      </c>
      <c r="D6" s="140"/>
      <c r="E6" s="140"/>
      <c r="F6" s="141"/>
      <c r="G6" s="142"/>
      <c r="H6" s="141"/>
      <c r="I6" s="141"/>
      <c r="J6" s="143"/>
      <c r="K6" s="134"/>
      <c r="L6" s="134"/>
      <c r="M6" s="200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</row>
    <row r="7" spans="1:37" x14ac:dyDescent="0.25">
      <c r="A7" s="134"/>
      <c r="B7" s="144" t="s">
        <v>107</v>
      </c>
      <c r="C7" s="145" t="s">
        <v>379</v>
      </c>
      <c r="D7" s="146">
        <f>'Pesquisa de Mercado'!D7</f>
        <v>7</v>
      </c>
      <c r="E7" s="146" t="s">
        <v>176</v>
      </c>
      <c r="F7" s="147">
        <f>G7/D7</f>
        <v>53808.333333333328</v>
      </c>
      <c r="G7" s="148">
        <f>'Pesquisa de Mercado'!Z7</f>
        <v>376658.33333333331</v>
      </c>
      <c r="H7" s="145" t="s">
        <v>429</v>
      </c>
      <c r="I7" s="145" t="s">
        <v>366</v>
      </c>
      <c r="J7" s="183">
        <f>G7/$G$29</f>
        <v>0.12416120243143816</v>
      </c>
      <c r="K7" s="134"/>
      <c r="L7" s="134"/>
      <c r="M7" s="201">
        <f>D7*F7-G7</f>
        <v>0</v>
      </c>
      <c r="N7" s="72"/>
      <c r="O7" s="189"/>
      <c r="P7" s="189"/>
      <c r="Q7" s="189"/>
      <c r="R7" s="190">
        <f>G7*0.4</f>
        <v>150663.33333333334</v>
      </c>
      <c r="S7" s="189"/>
      <c r="T7" s="189"/>
      <c r="U7" s="190">
        <f>G7*0.4</f>
        <v>150663.33333333334</v>
      </c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90">
        <f t="shared" ref="AK7:AK27" si="0">G7*0.2</f>
        <v>75331.666666666672</v>
      </c>
    </row>
    <row r="8" spans="1:37" x14ac:dyDescent="0.25">
      <c r="A8" s="134"/>
      <c r="B8" s="144" t="s">
        <v>109</v>
      </c>
      <c r="C8" s="145" t="s">
        <v>383</v>
      </c>
      <c r="D8" s="146">
        <f>'Pesquisa de Mercado'!D51</f>
        <v>7</v>
      </c>
      <c r="E8" s="146" t="s">
        <v>176</v>
      </c>
      <c r="F8" s="147">
        <f>G8/D8</f>
        <v>4610.34</v>
      </c>
      <c r="G8" s="148">
        <f>'Pesquisa de Mercado'!H51</f>
        <v>32272.38</v>
      </c>
      <c r="H8" s="145" t="s">
        <v>432</v>
      </c>
      <c r="I8" s="145"/>
      <c r="J8" s="183">
        <f>G8/$G$29</f>
        <v>1.0638228738133932E-2</v>
      </c>
      <c r="K8" s="134"/>
      <c r="L8" s="134"/>
      <c r="M8" s="201">
        <f t="shared" ref="M8:M27" si="1">D8*F8-G8</f>
        <v>0</v>
      </c>
      <c r="N8" s="72"/>
      <c r="O8" s="189"/>
      <c r="P8" s="189"/>
      <c r="Q8" s="189"/>
      <c r="R8" s="190">
        <f t="shared" ref="R8:R10" si="2">G8*0.4</f>
        <v>12908.952000000001</v>
      </c>
      <c r="S8" s="189"/>
      <c r="T8" s="189"/>
      <c r="U8" s="190">
        <f t="shared" ref="U8:U10" si="3">G8*0.4</f>
        <v>12908.952000000001</v>
      </c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90">
        <f t="shared" si="0"/>
        <v>6454.4760000000006</v>
      </c>
    </row>
    <row r="9" spans="1:37" x14ac:dyDescent="0.25">
      <c r="A9" s="134"/>
      <c r="B9" s="144" t="s">
        <v>388</v>
      </c>
      <c r="C9" s="145" t="s">
        <v>480</v>
      </c>
      <c r="D9" s="146">
        <f>'Pesquisa de Mercado'!D52</f>
        <v>7</v>
      </c>
      <c r="E9" s="146" t="s">
        <v>176</v>
      </c>
      <c r="F9" s="147">
        <f>G9/D9</f>
        <v>2598.5088360000009</v>
      </c>
      <c r="G9" s="148">
        <f>'Pesquisa de Mercado'!H52</f>
        <v>18189.561852000006</v>
      </c>
      <c r="H9" s="145" t="s">
        <v>430</v>
      </c>
      <c r="I9" s="145"/>
      <c r="J9" s="183">
        <f>G9/$G$29</f>
        <v>5.9959854100630674E-3</v>
      </c>
      <c r="K9" s="134"/>
      <c r="L9" s="134"/>
      <c r="M9" s="201">
        <f t="shared" si="1"/>
        <v>0</v>
      </c>
      <c r="N9" s="72"/>
      <c r="O9" s="189"/>
      <c r="P9" s="189"/>
      <c r="Q9" s="189"/>
      <c r="R9" s="190">
        <f t="shared" si="2"/>
        <v>7275.8247408000025</v>
      </c>
      <c r="S9" s="189"/>
      <c r="T9" s="189"/>
      <c r="U9" s="190">
        <f t="shared" si="3"/>
        <v>7275.8247408000025</v>
      </c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90">
        <f t="shared" si="0"/>
        <v>3637.9123704000012</v>
      </c>
    </row>
    <row r="10" spans="1:37" ht="15.75" thickBot="1" x14ac:dyDescent="0.3">
      <c r="A10" s="134"/>
      <c r="B10" s="144" t="s">
        <v>387</v>
      </c>
      <c r="C10" s="150" t="s">
        <v>279</v>
      </c>
      <c r="D10" s="151">
        <f>'Pesquisa de Mercado'!D53</f>
        <v>3</v>
      </c>
      <c r="E10" s="151" t="s">
        <v>178</v>
      </c>
      <c r="F10" s="147">
        <f>G10/D10</f>
        <v>22900</v>
      </c>
      <c r="G10" s="148">
        <f>'Pesquisa de Mercado'!H53</f>
        <v>68700</v>
      </c>
      <c r="H10" s="150" t="s">
        <v>431</v>
      </c>
      <c r="I10" s="150"/>
      <c r="J10" s="185">
        <f>G10/$G$29</f>
        <v>2.2646185819260964E-2</v>
      </c>
      <c r="K10" s="134"/>
      <c r="L10" s="134"/>
      <c r="M10" s="201">
        <f t="shared" si="1"/>
        <v>0</v>
      </c>
      <c r="N10" s="72"/>
      <c r="O10" s="189"/>
      <c r="P10" s="189"/>
      <c r="Q10" s="189"/>
      <c r="R10" s="190">
        <f t="shared" si="2"/>
        <v>27480</v>
      </c>
      <c r="S10" s="189"/>
      <c r="T10" s="189"/>
      <c r="U10" s="190">
        <f t="shared" si="3"/>
        <v>27480</v>
      </c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90">
        <f t="shared" si="0"/>
        <v>13740</v>
      </c>
    </row>
    <row r="11" spans="1:37" x14ac:dyDescent="0.25">
      <c r="A11" s="134"/>
      <c r="B11" s="138">
        <v>2</v>
      </c>
      <c r="C11" s="139" t="s">
        <v>18</v>
      </c>
      <c r="D11" s="140"/>
      <c r="E11" s="140"/>
      <c r="F11" s="153"/>
      <c r="G11" s="142"/>
      <c r="H11" s="141"/>
      <c r="I11" s="141"/>
      <c r="J11" s="186"/>
      <c r="K11" s="134"/>
      <c r="L11" s="134"/>
      <c r="M11" s="201">
        <f t="shared" si="1"/>
        <v>0</v>
      </c>
      <c r="N11" s="72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90">
        <f t="shared" si="0"/>
        <v>0</v>
      </c>
    </row>
    <row r="12" spans="1:37" x14ac:dyDescent="0.25">
      <c r="A12" s="134"/>
      <c r="B12" s="144" t="s">
        <v>112</v>
      </c>
      <c r="C12" s="145" t="s">
        <v>166</v>
      </c>
      <c r="D12" s="146">
        <f>'Pesquisa de Mercado'!D20</f>
        <v>1</v>
      </c>
      <c r="E12" s="146" t="s">
        <v>202</v>
      </c>
      <c r="F12" s="154">
        <f t="shared" ref="F12:F21" si="4">G12/D12</f>
        <v>82572.764999999999</v>
      </c>
      <c r="G12" s="148">
        <f>'Pesquisa de Mercado'!Z20</f>
        <v>82572.764999999999</v>
      </c>
      <c r="H12" s="145" t="s">
        <v>429</v>
      </c>
      <c r="I12" s="145" t="s">
        <v>367</v>
      </c>
      <c r="J12" s="183">
        <f t="shared" ref="J12:J21" si="5">G12/$G$29</f>
        <v>2.7219187478896185E-2</v>
      </c>
      <c r="K12" s="134"/>
      <c r="L12" s="134"/>
      <c r="M12" s="201">
        <f t="shared" si="1"/>
        <v>0</v>
      </c>
      <c r="N12" s="72"/>
      <c r="O12" s="189"/>
      <c r="P12" s="189"/>
      <c r="Q12" s="189"/>
      <c r="R12" s="189"/>
      <c r="S12" s="189"/>
      <c r="T12" s="189"/>
      <c r="U12" s="190">
        <f>G12*0.8</f>
        <v>66058.212</v>
      </c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  <c r="AH12" s="189"/>
      <c r="AI12" s="189"/>
      <c r="AJ12" s="189"/>
      <c r="AK12" s="190">
        <f t="shared" si="0"/>
        <v>16514.553</v>
      </c>
    </row>
    <row r="13" spans="1:37" x14ac:dyDescent="0.25">
      <c r="A13" s="134"/>
      <c r="B13" s="144" t="s">
        <v>288</v>
      </c>
      <c r="C13" s="145" t="s">
        <v>284</v>
      </c>
      <c r="D13" s="146">
        <f>'Pesquisa de Mercado'!D21</f>
        <v>1</v>
      </c>
      <c r="E13" s="146" t="s">
        <v>202</v>
      </c>
      <c r="F13" s="154">
        <f t="shared" si="4"/>
        <v>101423.2</v>
      </c>
      <c r="G13" s="148">
        <f>'Pesquisa de Mercado'!Z21</f>
        <v>101423.2</v>
      </c>
      <c r="H13" s="145" t="s">
        <v>429</v>
      </c>
      <c r="I13" s="145" t="s">
        <v>367</v>
      </c>
      <c r="J13" s="183">
        <f t="shared" si="5"/>
        <v>3.3433022322912204E-2</v>
      </c>
      <c r="K13" s="134"/>
      <c r="L13" s="134"/>
      <c r="M13" s="201">
        <f t="shared" si="1"/>
        <v>0</v>
      </c>
      <c r="N13" s="72"/>
      <c r="O13" s="189"/>
      <c r="P13" s="189"/>
      <c r="Q13" s="189"/>
      <c r="R13" s="189"/>
      <c r="S13" s="189"/>
      <c r="T13" s="189"/>
      <c r="U13" s="190">
        <f t="shared" ref="U13:U27" si="6">G13*0.8</f>
        <v>81138.559999999998</v>
      </c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90">
        <f t="shared" si="0"/>
        <v>20284.64</v>
      </c>
    </row>
    <row r="14" spans="1:37" x14ac:dyDescent="0.25">
      <c r="A14" s="134"/>
      <c r="B14" s="144" t="s">
        <v>289</v>
      </c>
      <c r="C14" s="145" t="s">
        <v>167</v>
      </c>
      <c r="D14" s="146">
        <f>'Pesquisa de Mercado'!D22</f>
        <v>1</v>
      </c>
      <c r="E14" s="146" t="s">
        <v>202</v>
      </c>
      <c r="F14" s="154">
        <f t="shared" si="4"/>
        <v>53763.832500000004</v>
      </c>
      <c r="G14" s="148">
        <f>'Pesquisa de Mercado'!Z22</f>
        <v>53763.832500000004</v>
      </c>
      <c r="H14" s="145" t="s">
        <v>429</v>
      </c>
      <c r="I14" s="145" t="s">
        <v>367</v>
      </c>
      <c r="J14" s="183">
        <f t="shared" si="5"/>
        <v>1.7722645431595661E-2</v>
      </c>
      <c r="K14" s="134"/>
      <c r="L14" s="134"/>
      <c r="M14" s="201">
        <f t="shared" si="1"/>
        <v>0</v>
      </c>
      <c r="N14" s="72"/>
      <c r="O14" s="189"/>
      <c r="P14" s="189"/>
      <c r="Q14" s="189"/>
      <c r="R14" s="189"/>
      <c r="S14" s="189"/>
      <c r="T14" s="189"/>
      <c r="U14" s="190">
        <f t="shared" si="6"/>
        <v>43011.066000000006</v>
      </c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90">
        <f t="shared" si="0"/>
        <v>10752.766500000002</v>
      </c>
    </row>
    <row r="15" spans="1:37" x14ac:dyDescent="0.25">
      <c r="A15" s="134"/>
      <c r="B15" s="144" t="s">
        <v>290</v>
      </c>
      <c r="C15" s="145" t="s">
        <v>172</v>
      </c>
      <c r="D15" s="146">
        <f>'Pesquisa de Mercado'!D23</f>
        <v>1</v>
      </c>
      <c r="E15" s="146" t="s">
        <v>202</v>
      </c>
      <c r="F15" s="154">
        <f t="shared" si="4"/>
        <v>72124.477500000008</v>
      </c>
      <c r="G15" s="148">
        <f>'Pesquisa de Mercado'!Z23</f>
        <v>72124.477500000008</v>
      </c>
      <c r="H15" s="145" t="s">
        <v>429</v>
      </c>
      <c r="I15" s="145" t="s">
        <v>367</v>
      </c>
      <c r="J15" s="183">
        <f t="shared" si="5"/>
        <v>2.3775026485911305E-2</v>
      </c>
      <c r="K15" s="134"/>
      <c r="L15" s="134"/>
      <c r="M15" s="201">
        <f t="shared" si="1"/>
        <v>0</v>
      </c>
      <c r="N15" s="72"/>
      <c r="O15" s="189"/>
      <c r="P15" s="189"/>
      <c r="Q15" s="189"/>
      <c r="R15" s="189"/>
      <c r="S15" s="189"/>
      <c r="T15" s="189"/>
      <c r="U15" s="190">
        <f t="shared" si="6"/>
        <v>57699.582000000009</v>
      </c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90">
        <f t="shared" si="0"/>
        <v>14424.895500000002</v>
      </c>
    </row>
    <row r="16" spans="1:37" x14ac:dyDescent="0.25">
      <c r="A16" s="134"/>
      <c r="B16" s="144" t="s">
        <v>291</v>
      </c>
      <c r="C16" s="145" t="s">
        <v>168</v>
      </c>
      <c r="D16" s="146">
        <f>'Pesquisa de Mercado'!D24</f>
        <v>1</v>
      </c>
      <c r="E16" s="146" t="s">
        <v>202</v>
      </c>
      <c r="F16" s="154">
        <f t="shared" si="4"/>
        <v>108557</v>
      </c>
      <c r="G16" s="148">
        <f>'Pesquisa de Mercado'!Z24</f>
        <v>108557</v>
      </c>
      <c r="H16" s="145" t="s">
        <v>429</v>
      </c>
      <c r="I16" s="145" t="s">
        <v>367</v>
      </c>
      <c r="J16" s="183">
        <f t="shared" si="5"/>
        <v>3.5784599621273831E-2</v>
      </c>
      <c r="K16" s="134"/>
      <c r="L16" s="134"/>
      <c r="M16" s="201">
        <f t="shared" si="1"/>
        <v>0</v>
      </c>
      <c r="N16" s="72"/>
      <c r="O16" s="189"/>
      <c r="P16" s="189"/>
      <c r="Q16" s="189"/>
      <c r="R16" s="189"/>
      <c r="S16" s="189"/>
      <c r="T16" s="189"/>
      <c r="U16" s="190">
        <f t="shared" si="6"/>
        <v>86845.6</v>
      </c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  <c r="AJ16" s="189"/>
      <c r="AK16" s="190">
        <f t="shared" si="0"/>
        <v>21711.4</v>
      </c>
    </row>
    <row r="17" spans="1:37" x14ac:dyDescent="0.25">
      <c r="A17" s="134"/>
      <c r="B17" s="144" t="s">
        <v>292</v>
      </c>
      <c r="C17" s="145" t="s">
        <v>175</v>
      </c>
      <c r="D17" s="146">
        <f>'Pesquisa de Mercado'!D25</f>
        <v>1</v>
      </c>
      <c r="E17" s="146" t="s">
        <v>202</v>
      </c>
      <c r="F17" s="154">
        <f t="shared" si="4"/>
        <v>325417.82</v>
      </c>
      <c r="G17" s="148">
        <f>'Pesquisa de Mercado'!Z25</f>
        <v>325417.82</v>
      </c>
      <c r="H17" s="145" t="s">
        <v>429</v>
      </c>
      <c r="I17" s="145" t="s">
        <v>380</v>
      </c>
      <c r="J17" s="184">
        <f t="shared" si="5"/>
        <v>0.10727034091148205</v>
      </c>
      <c r="K17" s="134"/>
      <c r="L17" s="134"/>
      <c r="M17" s="201">
        <f t="shared" si="1"/>
        <v>0</v>
      </c>
      <c r="N17" s="72"/>
      <c r="O17" s="189"/>
      <c r="P17" s="189"/>
      <c r="Q17" s="189"/>
      <c r="R17" s="189"/>
      <c r="S17" s="189"/>
      <c r="T17" s="189"/>
      <c r="U17" s="190">
        <f t="shared" si="6"/>
        <v>260334.25600000002</v>
      </c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90">
        <f t="shared" si="0"/>
        <v>65083.564000000006</v>
      </c>
    </row>
    <row r="18" spans="1:37" x14ac:dyDescent="0.25">
      <c r="A18" s="134"/>
      <c r="B18" s="144" t="s">
        <v>293</v>
      </c>
      <c r="C18" s="145" t="s">
        <v>205</v>
      </c>
      <c r="D18" s="146">
        <f>'Pesquisa de Mercado'!D26</f>
        <v>1</v>
      </c>
      <c r="E18" s="146" t="s">
        <v>202</v>
      </c>
      <c r="F18" s="154">
        <f t="shared" si="4"/>
        <v>74343.415000000008</v>
      </c>
      <c r="G18" s="148">
        <f>'Pesquisa de Mercado'!Z26</f>
        <v>74343.415000000008</v>
      </c>
      <c r="H18" s="145" t="s">
        <v>429</v>
      </c>
      <c r="I18" s="145" t="s">
        <v>367</v>
      </c>
      <c r="J18" s="183">
        <f t="shared" si="5"/>
        <v>2.4506474389060159E-2</v>
      </c>
      <c r="K18" s="134"/>
      <c r="L18" s="134"/>
      <c r="M18" s="201">
        <f t="shared" si="1"/>
        <v>0</v>
      </c>
      <c r="N18" s="72"/>
      <c r="O18" s="189"/>
      <c r="P18" s="189"/>
      <c r="Q18" s="189"/>
      <c r="R18" s="189"/>
      <c r="S18" s="189"/>
      <c r="T18" s="189"/>
      <c r="U18" s="190">
        <f t="shared" si="6"/>
        <v>59474.732000000011</v>
      </c>
      <c r="V18" s="189"/>
      <c r="W18" s="189"/>
      <c r="X18" s="189"/>
      <c r="Y18" s="189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90">
        <f t="shared" si="0"/>
        <v>14868.683000000003</v>
      </c>
    </row>
    <row r="19" spans="1:37" x14ac:dyDescent="0.25">
      <c r="A19" s="134"/>
      <c r="B19" s="144" t="s">
        <v>294</v>
      </c>
      <c r="C19" s="145" t="s">
        <v>285</v>
      </c>
      <c r="D19" s="146">
        <f>'Pesquisa de Mercado'!D27</f>
        <v>1</v>
      </c>
      <c r="E19" s="146" t="s">
        <v>202</v>
      </c>
      <c r="F19" s="154">
        <f t="shared" si="4"/>
        <v>190545.99</v>
      </c>
      <c r="G19" s="148">
        <f>'Pesquisa de Mercado'!Z27</f>
        <v>190545.99</v>
      </c>
      <c r="H19" s="145" t="s">
        <v>429</v>
      </c>
      <c r="I19" s="145" t="s">
        <v>368</v>
      </c>
      <c r="J19" s="183">
        <f t="shared" si="5"/>
        <v>6.2811352207496965E-2</v>
      </c>
      <c r="K19" s="134"/>
      <c r="L19" s="134"/>
      <c r="M19" s="201">
        <f t="shared" si="1"/>
        <v>0</v>
      </c>
      <c r="N19" s="72"/>
      <c r="O19" s="189"/>
      <c r="P19" s="189"/>
      <c r="Q19" s="189"/>
      <c r="R19" s="189"/>
      <c r="S19" s="189"/>
      <c r="T19" s="189"/>
      <c r="U19" s="190">
        <f t="shared" si="6"/>
        <v>152436.79199999999</v>
      </c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90">
        <f t="shared" si="0"/>
        <v>38109.197999999997</v>
      </c>
    </row>
    <row r="20" spans="1:37" x14ac:dyDescent="0.25">
      <c r="A20" s="134"/>
      <c r="B20" s="144" t="s">
        <v>295</v>
      </c>
      <c r="C20" s="145" t="s">
        <v>206</v>
      </c>
      <c r="D20" s="146">
        <f>'Pesquisa de Mercado'!D28</f>
        <v>1</v>
      </c>
      <c r="E20" s="146" t="s">
        <v>202</v>
      </c>
      <c r="F20" s="154">
        <f t="shared" si="4"/>
        <v>287845.99</v>
      </c>
      <c r="G20" s="148">
        <f>'Pesquisa de Mercado'!Z28</f>
        <v>287845.99</v>
      </c>
      <c r="H20" s="145" t="s">
        <v>429</v>
      </c>
      <c r="I20" s="145" t="s">
        <v>367</v>
      </c>
      <c r="J20" s="183">
        <f t="shared" si="5"/>
        <v>9.4885207814688982E-2</v>
      </c>
      <c r="K20" s="134"/>
      <c r="L20" s="134"/>
      <c r="M20" s="201">
        <f t="shared" si="1"/>
        <v>0</v>
      </c>
      <c r="N20" s="72"/>
      <c r="O20" s="189"/>
      <c r="P20" s="189"/>
      <c r="Q20" s="189"/>
      <c r="R20" s="189"/>
      <c r="S20" s="189"/>
      <c r="T20" s="189"/>
      <c r="U20" s="190">
        <f t="shared" si="6"/>
        <v>230276.79200000002</v>
      </c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90">
        <f t="shared" si="0"/>
        <v>57569.198000000004</v>
      </c>
    </row>
    <row r="21" spans="1:37" ht="15.75" thickBot="1" x14ac:dyDescent="0.3">
      <c r="A21" s="134"/>
      <c r="B21" s="149" t="s">
        <v>296</v>
      </c>
      <c r="C21" s="150" t="s">
        <v>424</v>
      </c>
      <c r="D21" s="146">
        <f>'Pesquisa de Mercado'!D29</f>
        <v>1</v>
      </c>
      <c r="E21" s="151" t="s">
        <v>202</v>
      </c>
      <c r="F21" s="154">
        <f t="shared" si="4"/>
        <v>489525.26</v>
      </c>
      <c r="G21" s="152">
        <f>'Pesquisa de Mercado'!Z29</f>
        <v>489525.26</v>
      </c>
      <c r="H21" s="150" t="s">
        <v>429</v>
      </c>
      <c r="I21" s="150"/>
      <c r="J21" s="185">
        <f t="shared" si="5"/>
        <v>0.16136652112346486</v>
      </c>
      <c r="K21" s="134"/>
      <c r="L21" s="134"/>
      <c r="M21" s="201">
        <f t="shared" si="1"/>
        <v>0</v>
      </c>
      <c r="N21" s="72"/>
      <c r="O21" s="189"/>
      <c r="P21" s="189"/>
      <c r="Q21" s="189"/>
      <c r="R21" s="189"/>
      <c r="S21" s="189"/>
      <c r="T21" s="189"/>
      <c r="U21" s="190">
        <f t="shared" si="6"/>
        <v>391620.20800000004</v>
      </c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90">
        <f t="shared" si="0"/>
        <v>97905.052000000011</v>
      </c>
    </row>
    <row r="22" spans="1:37" x14ac:dyDescent="0.25">
      <c r="A22" s="134"/>
      <c r="B22" s="138">
        <v>3</v>
      </c>
      <c r="C22" s="139" t="s">
        <v>29</v>
      </c>
      <c r="D22" s="140"/>
      <c r="E22" s="140"/>
      <c r="F22" s="153"/>
      <c r="G22" s="142"/>
      <c r="H22" s="141"/>
      <c r="I22" s="141"/>
      <c r="J22" s="186"/>
      <c r="K22" s="134"/>
      <c r="L22" s="134"/>
      <c r="M22" s="201">
        <f t="shared" si="1"/>
        <v>0</v>
      </c>
      <c r="N22" s="72"/>
      <c r="O22" s="189"/>
      <c r="P22" s="189"/>
      <c r="Q22" s="189"/>
      <c r="R22" s="189"/>
      <c r="S22" s="189"/>
      <c r="T22" s="189"/>
      <c r="U22" s="190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90">
        <f t="shared" si="0"/>
        <v>0</v>
      </c>
    </row>
    <row r="23" spans="1:37" x14ac:dyDescent="0.25">
      <c r="A23" s="134"/>
      <c r="B23" s="144" t="s">
        <v>119</v>
      </c>
      <c r="C23" s="145" t="s">
        <v>169</v>
      </c>
      <c r="D23" s="146">
        <f>Simulacoes!F11</f>
        <v>39</v>
      </c>
      <c r="E23" s="146" t="s">
        <v>178</v>
      </c>
      <c r="F23" s="154">
        <f>G23/D23</f>
        <v>5218.3593589743596</v>
      </c>
      <c r="G23" s="148">
        <f>'Pesquisa de Mercado'!Z31</f>
        <v>203516.01500000001</v>
      </c>
      <c r="H23" s="145" t="s">
        <v>429</v>
      </c>
      <c r="I23" s="145" t="s">
        <v>380</v>
      </c>
      <c r="J23" s="184">
        <f>G23/$G$29</f>
        <v>6.7086775733413415E-2</v>
      </c>
      <c r="K23" s="134"/>
      <c r="L23" s="134"/>
      <c r="M23" s="201">
        <f t="shared" si="1"/>
        <v>0</v>
      </c>
      <c r="N23" s="72"/>
      <c r="O23" s="189"/>
      <c r="P23" s="189"/>
      <c r="Q23" s="189"/>
      <c r="R23" s="189"/>
      <c r="S23" s="189"/>
      <c r="T23" s="189"/>
      <c r="U23" s="190">
        <f t="shared" si="6"/>
        <v>162812.81200000003</v>
      </c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90">
        <f t="shared" si="0"/>
        <v>40703.203000000009</v>
      </c>
    </row>
    <row r="24" spans="1:37" ht="15.75" thickBot="1" x14ac:dyDescent="0.3">
      <c r="A24" s="134"/>
      <c r="B24" s="149" t="s">
        <v>114</v>
      </c>
      <c r="C24" s="150" t="s">
        <v>170</v>
      </c>
      <c r="D24" s="151">
        <f>Simulacoes!F23</f>
        <v>20</v>
      </c>
      <c r="E24" s="151" t="s">
        <v>178</v>
      </c>
      <c r="F24" s="154">
        <f>G24/D24</f>
        <v>16041.883749999999</v>
      </c>
      <c r="G24" s="152">
        <f>'Pesquisa de Mercado'!Z32</f>
        <v>320837.67499999999</v>
      </c>
      <c r="H24" s="150" t="s">
        <v>429</v>
      </c>
      <c r="I24" s="150" t="s">
        <v>380</v>
      </c>
      <c r="J24" s="187">
        <f>G24/$G$29</f>
        <v>0.10576054739257143</v>
      </c>
      <c r="K24" s="134"/>
      <c r="L24" s="134"/>
      <c r="M24" s="201">
        <f t="shared" si="1"/>
        <v>0</v>
      </c>
      <c r="N24" s="72"/>
      <c r="O24" s="189"/>
      <c r="P24" s="189"/>
      <c r="Q24" s="189"/>
      <c r="R24" s="189"/>
      <c r="S24" s="189"/>
      <c r="T24" s="189"/>
      <c r="U24" s="190">
        <f t="shared" si="6"/>
        <v>256670.14</v>
      </c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90">
        <f t="shared" si="0"/>
        <v>64167.535000000003</v>
      </c>
    </row>
    <row r="25" spans="1:37" x14ac:dyDescent="0.25">
      <c r="A25" s="134"/>
      <c r="B25" s="138">
        <v>4</v>
      </c>
      <c r="C25" s="139" t="s">
        <v>34</v>
      </c>
      <c r="D25" s="140"/>
      <c r="E25" s="140"/>
      <c r="F25" s="153"/>
      <c r="G25" s="142"/>
      <c r="H25" s="141"/>
      <c r="I25" s="141"/>
      <c r="J25" s="186"/>
      <c r="K25" s="134"/>
      <c r="L25" s="134"/>
      <c r="M25" s="201">
        <f t="shared" si="1"/>
        <v>0</v>
      </c>
      <c r="N25" s="72"/>
      <c r="O25" s="189"/>
      <c r="P25" s="189"/>
      <c r="Q25" s="189"/>
      <c r="R25" s="189"/>
      <c r="S25" s="189"/>
      <c r="T25" s="189"/>
      <c r="U25" s="190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89"/>
      <c r="AJ25" s="189"/>
      <c r="AK25" s="190">
        <f t="shared" si="0"/>
        <v>0</v>
      </c>
    </row>
    <row r="26" spans="1:37" x14ac:dyDescent="0.25">
      <c r="A26" s="134"/>
      <c r="B26" s="144" t="s">
        <v>132</v>
      </c>
      <c r="C26" s="145" t="s">
        <v>286</v>
      </c>
      <c r="D26" s="146">
        <v>1</v>
      </c>
      <c r="E26" s="146" t="s">
        <v>202</v>
      </c>
      <c r="F26" s="154">
        <f>G26/D26</f>
        <v>118200.55249999999</v>
      </c>
      <c r="G26" s="148">
        <f>'Pesquisa de Mercado'!Z34</f>
        <v>118200.55249999999</v>
      </c>
      <c r="H26" s="145" t="s">
        <v>429</v>
      </c>
      <c r="I26" s="145" t="s">
        <v>367</v>
      </c>
      <c r="J26" s="183">
        <f>G26/$G$29</f>
        <v>3.8963488731503799E-2</v>
      </c>
      <c r="K26" s="134"/>
      <c r="L26" s="134"/>
      <c r="M26" s="201">
        <f t="shared" si="1"/>
        <v>0</v>
      </c>
      <c r="N26" s="72"/>
      <c r="O26" s="189"/>
      <c r="P26" s="189"/>
      <c r="Q26" s="189"/>
      <c r="R26" s="189"/>
      <c r="S26" s="189"/>
      <c r="T26" s="189"/>
      <c r="U26" s="190">
        <f t="shared" si="6"/>
        <v>94560.441999999995</v>
      </c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89"/>
      <c r="AK26" s="190">
        <f t="shared" si="0"/>
        <v>23640.110499999999</v>
      </c>
    </row>
    <row r="27" spans="1:37" ht="15.75" thickBot="1" x14ac:dyDescent="0.3">
      <c r="A27" s="134"/>
      <c r="B27" s="149" t="s">
        <v>134</v>
      </c>
      <c r="C27" s="150" t="s">
        <v>287</v>
      </c>
      <c r="D27" s="151">
        <v>1</v>
      </c>
      <c r="E27" s="151" t="s">
        <v>202</v>
      </c>
      <c r="F27" s="152">
        <f>G27/D27</f>
        <v>109129.16666666667</v>
      </c>
      <c r="G27" s="152">
        <f>'Pesquisa de Mercado'!Z35</f>
        <v>109129.16666666667</v>
      </c>
      <c r="H27" s="150" t="s">
        <v>429</v>
      </c>
      <c r="I27" s="150" t="s">
        <v>369</v>
      </c>
      <c r="J27" s="185">
        <f>G27/$G$29</f>
        <v>3.5973207956833085E-2</v>
      </c>
      <c r="K27" s="134"/>
      <c r="L27" s="134"/>
      <c r="M27" s="201">
        <f t="shared" si="1"/>
        <v>0</v>
      </c>
      <c r="N27" s="72"/>
      <c r="O27" s="189"/>
      <c r="P27" s="189"/>
      <c r="Q27" s="189"/>
      <c r="R27" s="189"/>
      <c r="S27" s="189"/>
      <c r="T27" s="189"/>
      <c r="U27" s="190">
        <f t="shared" si="6"/>
        <v>87303.333333333343</v>
      </c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  <c r="AK27" s="190">
        <f t="shared" si="0"/>
        <v>21825.833333333336</v>
      </c>
    </row>
    <row r="28" spans="1:37" ht="6" customHeight="1" x14ac:dyDescent="0.25">
      <c r="A28" s="134"/>
      <c r="B28" s="134"/>
      <c r="C28" s="155"/>
      <c r="D28" s="134"/>
      <c r="E28" s="134"/>
      <c r="F28" s="134"/>
      <c r="G28" s="134"/>
      <c r="H28" s="134"/>
      <c r="I28" s="134"/>
      <c r="K28" s="134"/>
      <c r="L28" s="134"/>
    </row>
    <row r="29" spans="1:37" x14ac:dyDescent="0.25">
      <c r="A29" s="134"/>
      <c r="B29" s="134"/>
      <c r="C29" s="156" t="s">
        <v>381</v>
      </c>
      <c r="D29" s="134"/>
      <c r="E29" s="134"/>
      <c r="F29" s="134"/>
      <c r="G29" s="157">
        <f>SUM(G6:G27)</f>
        <v>3033623.4343519998</v>
      </c>
      <c r="H29" s="134"/>
      <c r="I29" s="134"/>
      <c r="J29" s="134"/>
      <c r="K29" s="134"/>
      <c r="L29" s="134"/>
      <c r="R29" s="78">
        <f>SUM(R7:R28)</f>
        <v>198328.11007413332</v>
      </c>
      <c r="S29" s="72"/>
      <c r="T29" s="72"/>
      <c r="U29" s="78">
        <f>SUM(U7:U28)</f>
        <v>2228570.6374074668</v>
      </c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8">
        <f t="shared" ref="AK29" si="7">SUM(AK7:AK28)</f>
        <v>606724.68687039998</v>
      </c>
    </row>
    <row r="30" spans="1:37" x14ac:dyDescent="0.25">
      <c r="A30" s="134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</row>
    <row r="31" spans="1:37" x14ac:dyDescent="0.25">
      <c r="A31" s="134"/>
      <c r="B31" s="134"/>
      <c r="C31" s="134"/>
      <c r="D31" s="134"/>
      <c r="E31" s="134"/>
      <c r="F31" s="172"/>
      <c r="G31" s="172"/>
      <c r="H31" s="134"/>
      <c r="I31" s="134"/>
      <c r="J31" s="134"/>
      <c r="K31" s="134"/>
      <c r="L31" s="134"/>
    </row>
    <row r="32" spans="1:37" x14ac:dyDescent="0.25">
      <c r="A32" s="134"/>
      <c r="B32" s="134"/>
      <c r="C32" s="134"/>
      <c r="D32" s="134"/>
      <c r="E32" s="134"/>
      <c r="F32" s="134" t="s">
        <v>467</v>
      </c>
      <c r="G32" s="172">
        <f>G8+G9+G10</f>
        <v>119161.941852</v>
      </c>
      <c r="H32" s="134"/>
      <c r="I32" s="134"/>
      <c r="J32" s="207">
        <f>G32/G29</f>
        <v>3.9280399967457962E-2</v>
      </c>
      <c r="K32" s="134"/>
      <c r="L32" s="134"/>
    </row>
    <row r="33" spans="2:13" x14ac:dyDescent="0.25">
      <c r="B33" s="134"/>
      <c r="C33" s="134"/>
      <c r="D33" s="134"/>
      <c r="E33" s="134"/>
      <c r="F33" s="134" t="s">
        <v>468</v>
      </c>
      <c r="G33" s="158">
        <f>SUM(G12:G27)+G7</f>
        <v>2914461.4924999997</v>
      </c>
      <c r="H33" s="134"/>
      <c r="I33" s="134"/>
      <c r="J33" s="207">
        <f>G33/G29</f>
        <v>0.96071960003254198</v>
      </c>
      <c r="K33" s="134"/>
      <c r="L33" s="134"/>
    </row>
    <row r="34" spans="2:13" x14ac:dyDescent="0.25">
      <c r="B34" s="134"/>
      <c r="C34" s="134"/>
      <c r="D34" s="134"/>
      <c r="E34" s="134"/>
      <c r="F34" s="134" t="s">
        <v>469</v>
      </c>
      <c r="G34" s="198" t="str">
        <f>IF(G32+G33-G29=0,"OK","ERRO")</f>
        <v>OK</v>
      </c>
      <c r="H34" s="134"/>
      <c r="I34" s="134"/>
      <c r="J34" s="134"/>
      <c r="K34" s="134"/>
      <c r="L34" s="134"/>
    </row>
    <row r="35" spans="2:13" x14ac:dyDescent="0.25">
      <c r="G35" s="72"/>
    </row>
    <row r="36" spans="2:13" x14ac:dyDescent="0.25">
      <c r="G36" s="72"/>
    </row>
    <row r="37" spans="2:13" x14ac:dyDescent="0.25">
      <c r="G37" s="72"/>
    </row>
    <row r="38" spans="2:13" x14ac:dyDescent="0.25">
      <c r="G38" s="72"/>
    </row>
    <row r="39" spans="2:13" x14ac:dyDescent="0.25">
      <c r="G39" s="205"/>
    </row>
    <row r="40" spans="2:13" x14ac:dyDescent="0.25">
      <c r="F40" s="130"/>
      <c r="G40" s="208"/>
      <c r="J40" s="72"/>
      <c r="M40" s="208"/>
    </row>
    <row r="41" spans="2:13" x14ac:dyDescent="0.25">
      <c r="F41" s="130"/>
      <c r="G41" s="208"/>
      <c r="J41" s="72"/>
      <c r="M41" s="208"/>
    </row>
    <row r="42" spans="2:13" x14ac:dyDescent="0.25">
      <c r="F42" s="130"/>
      <c r="G42" s="208"/>
      <c r="J42" s="72"/>
      <c r="M42" s="208"/>
    </row>
    <row r="43" spans="2:13" x14ac:dyDescent="0.25">
      <c r="F43" s="130"/>
      <c r="G43" s="208"/>
      <c r="J43" s="72"/>
      <c r="M43" s="208"/>
    </row>
    <row r="44" spans="2:13" x14ac:dyDescent="0.25">
      <c r="F44" s="130"/>
      <c r="G44" s="208"/>
      <c r="M44" s="208"/>
    </row>
    <row r="45" spans="2:13" x14ac:dyDescent="0.25">
      <c r="F45" s="130"/>
      <c r="G45" s="208"/>
      <c r="J45" s="72"/>
      <c r="M45" s="208"/>
    </row>
    <row r="46" spans="2:13" x14ac:dyDescent="0.25">
      <c r="F46" s="130"/>
      <c r="G46" s="208"/>
      <c r="J46" s="72"/>
      <c r="M46" s="208"/>
    </row>
    <row r="47" spans="2:13" x14ac:dyDescent="0.25">
      <c r="F47" s="130"/>
      <c r="G47" s="208"/>
      <c r="J47" s="72"/>
      <c r="M47" s="208"/>
    </row>
    <row r="48" spans="2:13" x14ac:dyDescent="0.25">
      <c r="F48" s="130"/>
      <c r="G48" s="208"/>
      <c r="J48" s="72"/>
      <c r="M48" s="208"/>
    </row>
    <row r="49" spans="6:13" x14ac:dyDescent="0.25">
      <c r="F49" s="130"/>
      <c r="G49" s="208"/>
      <c r="J49" s="72"/>
      <c r="M49" s="208"/>
    </row>
    <row r="50" spans="6:13" x14ac:dyDescent="0.25">
      <c r="F50" s="130"/>
      <c r="G50" s="208"/>
      <c r="J50" s="72"/>
      <c r="M50" s="208"/>
    </row>
    <row r="51" spans="6:13" x14ac:dyDescent="0.25">
      <c r="F51" s="130"/>
      <c r="G51" s="208"/>
      <c r="J51" s="72"/>
      <c r="M51" s="208"/>
    </row>
    <row r="52" spans="6:13" x14ac:dyDescent="0.25">
      <c r="F52" s="130"/>
      <c r="G52" s="208"/>
      <c r="J52" s="72"/>
      <c r="M52" s="208"/>
    </row>
    <row r="53" spans="6:13" x14ac:dyDescent="0.25">
      <c r="F53" s="130"/>
      <c r="G53" s="208"/>
      <c r="J53" s="72"/>
      <c r="M53" s="208"/>
    </row>
    <row r="54" spans="6:13" x14ac:dyDescent="0.25">
      <c r="F54" s="130"/>
      <c r="G54" s="208"/>
      <c r="J54" s="72"/>
      <c r="M54" s="208"/>
    </row>
    <row r="55" spans="6:13" x14ac:dyDescent="0.25">
      <c r="F55" s="130"/>
      <c r="G55" s="208"/>
      <c r="J55" s="72"/>
      <c r="M55" s="208"/>
    </row>
    <row r="56" spans="6:13" x14ac:dyDescent="0.25">
      <c r="F56" s="130"/>
      <c r="G56" s="208"/>
      <c r="J56" s="72"/>
      <c r="M56" s="208"/>
    </row>
    <row r="57" spans="6:13" x14ac:dyDescent="0.25">
      <c r="F57" s="130"/>
      <c r="G57" s="208"/>
      <c r="J57" s="72"/>
      <c r="M57" s="208"/>
    </row>
    <row r="58" spans="6:13" x14ac:dyDescent="0.25">
      <c r="F58" s="130"/>
      <c r="G58" s="208"/>
      <c r="J58" s="72"/>
      <c r="M58" s="208"/>
    </row>
    <row r="59" spans="6:13" x14ac:dyDescent="0.25">
      <c r="F59" s="130"/>
      <c r="G59" s="208"/>
      <c r="J59" s="72"/>
      <c r="M59" s="208"/>
    </row>
    <row r="60" spans="6:13" x14ac:dyDescent="0.25">
      <c r="F60" s="130"/>
      <c r="G60" s="208"/>
      <c r="J60" s="72"/>
      <c r="M60" s="208"/>
    </row>
    <row r="61" spans="6:13" x14ac:dyDescent="0.25">
      <c r="F61" s="130"/>
      <c r="G61" s="208"/>
      <c r="J61" s="72"/>
    </row>
    <row r="62" spans="6:13" x14ac:dyDescent="0.25">
      <c r="F62" s="130"/>
      <c r="G62" s="208"/>
      <c r="J62" s="72"/>
    </row>
    <row r="63" spans="6:13" x14ac:dyDescent="0.25">
      <c r="G63" s="208"/>
    </row>
    <row r="64" spans="6:13" x14ac:dyDescent="0.25">
      <c r="G64" s="208"/>
    </row>
    <row r="65" spans="7:7" x14ac:dyDescent="0.25">
      <c r="G65" s="208"/>
    </row>
    <row r="66" spans="7:7" x14ac:dyDescent="0.25">
      <c r="G66" s="208"/>
    </row>
    <row r="67" spans="7:7" x14ac:dyDescent="0.25">
      <c r="G67" s="208"/>
    </row>
    <row r="68" spans="7:7" x14ac:dyDescent="0.25">
      <c r="G68" s="208"/>
    </row>
    <row r="69" spans="7:7" x14ac:dyDescent="0.25">
      <c r="G69" s="208"/>
    </row>
    <row r="70" spans="7:7" x14ac:dyDescent="0.25">
      <c r="G70" s="208"/>
    </row>
    <row r="71" spans="7:7" x14ac:dyDescent="0.25">
      <c r="G71" s="208"/>
    </row>
    <row r="72" spans="7:7" x14ac:dyDescent="0.25">
      <c r="G72" s="208"/>
    </row>
    <row r="73" spans="7:7" x14ac:dyDescent="0.25">
      <c r="G73" s="208"/>
    </row>
    <row r="74" spans="7:7" x14ac:dyDescent="0.25">
      <c r="G74" s="208"/>
    </row>
    <row r="75" spans="7:7" x14ac:dyDescent="0.25">
      <c r="G75" s="208"/>
    </row>
    <row r="76" spans="7:7" x14ac:dyDescent="0.25">
      <c r="G76" s="208"/>
    </row>
    <row r="77" spans="7:7" x14ac:dyDescent="0.25">
      <c r="G77" s="208"/>
    </row>
    <row r="78" spans="7:7" x14ac:dyDescent="0.25">
      <c r="G78" s="208"/>
    </row>
    <row r="79" spans="7:7" x14ac:dyDescent="0.25">
      <c r="G79" s="208"/>
    </row>
    <row r="80" spans="7:7" x14ac:dyDescent="0.25">
      <c r="G80" s="208"/>
    </row>
    <row r="81" spans="7:7" x14ac:dyDescent="0.25">
      <c r="G81" s="208"/>
    </row>
    <row r="82" spans="7:7" x14ac:dyDescent="0.25">
      <c r="G82" s="208"/>
    </row>
  </sheetData>
  <mergeCells count="7">
    <mergeCell ref="AJ4:AK4"/>
    <mergeCell ref="B3:E3"/>
    <mergeCell ref="O4:T4"/>
    <mergeCell ref="U4:X4"/>
    <mergeCell ref="Y4:AA4"/>
    <mergeCell ref="AB4:AE4"/>
    <mergeCell ref="AF4:AI4"/>
  </mergeCells>
  <phoneticPr fontId="18" type="noConversion"/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DE105-B12C-459D-8021-65599EED3B1E}">
  <dimension ref="B2:AJ76"/>
  <sheetViews>
    <sheetView zoomScale="70" zoomScaleNormal="70" workbookViewId="0">
      <selection activeCell="H71" sqref="H71"/>
    </sheetView>
  </sheetViews>
  <sheetFormatPr defaultRowHeight="15" outlineLevelRow="1" outlineLevelCol="1" x14ac:dyDescent="0.25"/>
  <cols>
    <col min="1" max="1" width="3.28515625" customWidth="1"/>
    <col min="2" max="2" width="7.28515625" customWidth="1"/>
    <col min="3" max="3" width="61.140625" customWidth="1"/>
    <col min="4" max="4" width="15.42578125" customWidth="1"/>
    <col min="5" max="5" width="11" customWidth="1"/>
    <col min="6" max="6" width="14.42578125" bestFit="1" customWidth="1"/>
    <col min="7" max="7" width="14.85546875" customWidth="1"/>
    <col min="8" max="8" width="19.7109375" bestFit="1" customWidth="1"/>
    <col min="9" max="9" width="65.140625" customWidth="1"/>
    <col min="10" max="10" width="6.5703125" customWidth="1"/>
    <col min="11" max="16" width="21.5703125" customWidth="1" outlineLevel="1"/>
    <col min="17" max="17" width="9.140625" customWidth="1" outlineLevel="1"/>
    <col min="18" max="20" width="16.42578125" customWidth="1"/>
    <col min="21" max="21" width="3.42578125" customWidth="1"/>
    <col min="22" max="23" width="16.28515625" customWidth="1"/>
    <col min="24" max="24" width="4.85546875" customWidth="1"/>
    <col min="25" max="25" width="16.28515625" customWidth="1"/>
    <col min="26" max="26" width="20.5703125" customWidth="1"/>
    <col min="27" max="27" width="3.42578125" customWidth="1"/>
    <col min="28" max="28" width="8.5703125" customWidth="1"/>
    <col min="29" max="29" width="3.42578125" customWidth="1"/>
    <col min="30" max="30" width="63.85546875" bestFit="1" customWidth="1"/>
    <col min="31" max="36" width="19" customWidth="1"/>
  </cols>
  <sheetData>
    <row r="2" spans="2:36" ht="18.75" x14ac:dyDescent="0.3">
      <c r="B2" s="67" t="s">
        <v>436</v>
      </c>
    </row>
    <row r="3" spans="2:36" s="75" customFormat="1" ht="30" customHeight="1" x14ac:dyDescent="0.25">
      <c r="B3" s="214" t="s">
        <v>157</v>
      </c>
      <c r="C3" s="214"/>
      <c r="D3" s="214"/>
      <c r="E3" s="214"/>
      <c r="F3" s="214"/>
      <c r="G3" s="214"/>
      <c r="H3" s="214"/>
      <c r="I3" s="126"/>
      <c r="J3" s="126"/>
      <c r="K3" s="127" t="s">
        <v>364</v>
      </c>
      <c r="R3" s="127" t="s">
        <v>376</v>
      </c>
      <c r="AD3" s="127" t="s">
        <v>363</v>
      </c>
    </row>
    <row r="4" spans="2:36" ht="15.75" thickBot="1" x14ac:dyDescent="0.3"/>
    <row r="5" spans="2:36" s="15" customFormat="1" ht="30" customHeight="1" x14ac:dyDescent="0.25">
      <c r="B5" s="14" t="s">
        <v>50</v>
      </c>
      <c r="C5" s="14" t="s">
        <v>51</v>
      </c>
      <c r="D5" s="14" t="s">
        <v>52</v>
      </c>
      <c r="E5" s="14" t="s">
        <v>53</v>
      </c>
      <c r="F5" s="14" t="s">
        <v>171</v>
      </c>
      <c r="G5" s="14" t="s">
        <v>177</v>
      </c>
      <c r="H5" s="14" t="s">
        <v>354</v>
      </c>
      <c r="I5" s="14" t="s">
        <v>384</v>
      </c>
      <c r="J5"/>
      <c r="K5" s="14" t="s">
        <v>355</v>
      </c>
      <c r="L5" s="14" t="s">
        <v>356</v>
      </c>
      <c r="M5" s="14" t="s">
        <v>357</v>
      </c>
      <c r="N5" s="14" t="s">
        <v>358</v>
      </c>
      <c r="O5" s="14" t="s">
        <v>365</v>
      </c>
      <c r="P5" s="14" t="s">
        <v>359</v>
      </c>
      <c r="R5" s="129" t="s">
        <v>360</v>
      </c>
      <c r="S5" s="129" t="s">
        <v>361</v>
      </c>
      <c r="T5" s="129" t="s">
        <v>362</v>
      </c>
      <c r="U5" s="129"/>
      <c r="V5" s="129" t="s">
        <v>425</v>
      </c>
      <c r="W5" s="129" t="s">
        <v>426</v>
      </c>
      <c r="X5" s="129"/>
      <c r="Y5" s="129" t="s">
        <v>427</v>
      </c>
      <c r="Z5" s="175" t="s">
        <v>428</v>
      </c>
      <c r="AA5" s="129"/>
      <c r="AC5" s="129"/>
      <c r="AD5" s="14" t="s">
        <v>51</v>
      </c>
      <c r="AE5" s="14" t="str">
        <f t="shared" ref="AE5:AJ5" si="0">K5</f>
        <v>ARVUT</v>
      </c>
      <c r="AF5" s="14" t="str">
        <f t="shared" si="0"/>
        <v>CARUSO</v>
      </c>
      <c r="AG5" s="14" t="str">
        <f t="shared" si="0"/>
        <v>INFRAS ENGENHARIA</v>
      </c>
      <c r="AH5" s="14" t="str">
        <f t="shared" si="0"/>
        <v>MTCN</v>
      </c>
      <c r="AI5" s="14" t="str">
        <f t="shared" si="0"/>
        <v>ARGONAUTICA</v>
      </c>
      <c r="AJ5" s="14" t="str">
        <f t="shared" si="0"/>
        <v>OCEANAUTA</v>
      </c>
    </row>
    <row r="6" spans="2:36" x14ac:dyDescent="0.25">
      <c r="C6" s="66" t="s">
        <v>159</v>
      </c>
      <c r="D6" s="74"/>
      <c r="E6" s="74"/>
      <c r="H6" s="69"/>
      <c r="I6" s="69"/>
      <c r="J6" s="69"/>
      <c r="Z6" s="173"/>
      <c r="AE6" s="73"/>
      <c r="AF6" s="73"/>
      <c r="AG6" s="73"/>
      <c r="AH6" s="73"/>
      <c r="AI6" s="73"/>
      <c r="AJ6" s="73"/>
    </row>
    <row r="7" spans="2:36" x14ac:dyDescent="0.25">
      <c r="C7" t="s">
        <v>379</v>
      </c>
      <c r="D7" s="74">
        <f>6+1</f>
        <v>7</v>
      </c>
      <c r="E7" s="74" t="s">
        <v>176</v>
      </c>
      <c r="F7" s="68">
        <f>D67</f>
        <v>31544.33</v>
      </c>
      <c r="G7" s="68">
        <v>31784.3</v>
      </c>
      <c r="H7" s="69">
        <f t="shared" ref="H7:H35" si="1">D7*G7</f>
        <v>222490.1</v>
      </c>
      <c r="I7" s="69" t="s">
        <v>385</v>
      </c>
      <c r="J7" s="69"/>
      <c r="K7" s="69">
        <v>119000</v>
      </c>
      <c r="L7" s="69">
        <v>600194.06999999995</v>
      </c>
      <c r="M7" s="69">
        <v>546875</v>
      </c>
      <c r="N7" s="69">
        <v>408100</v>
      </c>
      <c r="O7" s="69">
        <v>175000</v>
      </c>
      <c r="P7" s="69"/>
      <c r="R7" s="69">
        <f>MEDIAN(K7:O7)</f>
        <v>408100</v>
      </c>
      <c r="S7" s="72">
        <f>AVERAGE(K7:O7)</f>
        <v>369833.81399999995</v>
      </c>
      <c r="T7" s="69">
        <f>STDEV(K7:O7)</f>
        <v>216073.79954498875</v>
      </c>
      <c r="U7" s="69"/>
      <c r="V7" s="69">
        <f t="shared" ref="V7" si="2">S7-T7</f>
        <v>153760.0144550112</v>
      </c>
      <c r="W7" s="69">
        <f t="shared" ref="W7" si="3">S7+T7</f>
        <v>585907.61354498868</v>
      </c>
      <c r="X7" s="69"/>
      <c r="Y7" s="69">
        <f>MEDIAN(M7:O7)</f>
        <v>408100</v>
      </c>
      <c r="Z7" s="174">
        <f>AVERAGE(M7:O7)</f>
        <v>376658.33333333331</v>
      </c>
      <c r="AA7" s="69"/>
      <c r="AB7" s="73">
        <f>Z7/$Z$37</f>
        <v>0.12923771142717655</v>
      </c>
      <c r="AC7" s="69"/>
      <c r="AD7" s="69" t="str">
        <f>C7</f>
        <v>Coordenação do Projeto (Porto Alegre, Rio Grande ou Pelotas)</v>
      </c>
      <c r="AE7" s="73">
        <f>K7/$K$37</f>
        <v>1.3096351730589336E-2</v>
      </c>
      <c r="AF7" s="73">
        <f>L7/$L$37</f>
        <v>0.1596414768102824</v>
      </c>
      <c r="AG7" s="73">
        <f>M7/$M$37</f>
        <v>0.16463807173530132</v>
      </c>
      <c r="AH7" s="73">
        <f>N7/$N$37</f>
        <v>0.17608733172247151</v>
      </c>
      <c r="AI7" s="73">
        <f>O7/$O$37</f>
        <v>0.11182108626198083</v>
      </c>
      <c r="AJ7" s="73"/>
    </row>
    <row r="8" spans="2:36" x14ac:dyDescent="0.25">
      <c r="D8" s="74"/>
      <c r="E8" s="74"/>
      <c r="F8" s="68"/>
      <c r="G8" s="68"/>
      <c r="H8" s="69"/>
      <c r="I8" s="69"/>
      <c r="J8" s="69"/>
      <c r="K8" s="69"/>
      <c r="L8" s="69"/>
      <c r="M8" s="69"/>
      <c r="N8" s="69"/>
      <c r="O8" s="69"/>
      <c r="P8" s="69"/>
      <c r="R8" s="69"/>
      <c r="S8" s="72"/>
      <c r="T8" s="69"/>
      <c r="U8" s="69"/>
      <c r="V8" s="69"/>
      <c r="W8" s="69"/>
      <c r="X8" s="69"/>
      <c r="Y8" s="69"/>
      <c r="Z8" s="174"/>
      <c r="AA8" s="69"/>
      <c r="AB8" s="73"/>
      <c r="AC8" s="69"/>
      <c r="AD8" s="69"/>
      <c r="AE8" s="73"/>
      <c r="AF8" s="73"/>
      <c r="AG8" s="73"/>
      <c r="AH8" s="73"/>
      <c r="AI8" s="73"/>
      <c r="AJ8" s="73"/>
    </row>
    <row r="9" spans="2:36" x14ac:dyDescent="0.25">
      <c r="D9" s="74"/>
      <c r="E9" s="74"/>
      <c r="F9" s="68"/>
      <c r="G9" s="68"/>
      <c r="H9" s="69"/>
      <c r="I9" s="69"/>
      <c r="J9" s="69"/>
      <c r="K9" s="69"/>
      <c r="L9" s="69"/>
      <c r="M9" s="69"/>
      <c r="N9" s="69"/>
      <c r="O9" s="69"/>
      <c r="P9" s="69"/>
      <c r="R9" s="69"/>
      <c r="S9" s="72"/>
      <c r="T9" s="69"/>
      <c r="U9" s="69"/>
      <c r="V9" s="69"/>
      <c r="W9" s="69"/>
      <c r="X9" s="69"/>
      <c r="Y9" s="69"/>
      <c r="Z9" s="174"/>
      <c r="AA9" s="69"/>
      <c r="AB9" s="73"/>
      <c r="AC9" s="69"/>
      <c r="AD9" s="69"/>
      <c r="AE9" s="73"/>
      <c r="AF9" s="73"/>
      <c r="AG9" s="73"/>
      <c r="AH9" s="73"/>
      <c r="AI9" s="73"/>
      <c r="AJ9" s="73"/>
    </row>
    <row r="10" spans="2:36" hidden="1" outlineLevel="1" x14ac:dyDescent="0.25">
      <c r="C10" s="66" t="s">
        <v>113</v>
      </c>
      <c r="D10" s="74"/>
      <c r="E10" s="74"/>
      <c r="F10" s="69"/>
      <c r="H10" s="69"/>
      <c r="I10" s="69"/>
      <c r="J10" s="69"/>
      <c r="K10" s="69"/>
      <c r="L10" s="69"/>
      <c r="M10" s="69"/>
      <c r="N10" s="69"/>
      <c r="O10" s="69"/>
      <c r="P10" s="69"/>
      <c r="R10" s="69"/>
      <c r="S10" s="72"/>
      <c r="T10" s="69"/>
      <c r="U10" s="69"/>
      <c r="V10" s="69"/>
      <c r="W10" s="69"/>
      <c r="X10" s="69"/>
      <c r="Y10" s="69"/>
      <c r="Z10" s="174"/>
      <c r="AA10" s="69"/>
      <c r="AB10" s="73"/>
      <c r="AC10" s="69"/>
      <c r="AD10" s="69" t="str">
        <f t="shared" ref="AD10:AD35" si="4">C10</f>
        <v>Levantamentos de Campo</v>
      </c>
      <c r="AE10" s="73"/>
      <c r="AF10" s="73"/>
      <c r="AG10" s="73"/>
      <c r="AH10" s="73"/>
      <c r="AI10" s="73"/>
      <c r="AJ10" s="73"/>
    </row>
    <row r="11" spans="2:36" hidden="1" outlineLevel="1" x14ac:dyDescent="0.25">
      <c r="C11" t="s">
        <v>160</v>
      </c>
      <c r="D11" s="74">
        <v>0</v>
      </c>
      <c r="E11" s="74" t="s">
        <v>173</v>
      </c>
      <c r="F11" s="69">
        <v>14281.27</v>
      </c>
      <c r="G11" s="72">
        <f>F11*Fontes!$R$3/Fontes!$J$3</f>
        <v>16257.106166510597</v>
      </c>
      <c r="H11" s="69">
        <f t="shared" si="1"/>
        <v>0</v>
      </c>
      <c r="I11" s="69"/>
      <c r="J11" s="69"/>
      <c r="K11" s="69"/>
      <c r="L11" s="69"/>
      <c r="M11" s="69"/>
      <c r="N11" s="69"/>
      <c r="O11" s="69"/>
      <c r="P11" s="69"/>
      <c r="R11" s="69"/>
      <c r="S11" s="72"/>
      <c r="T11" s="69"/>
      <c r="U11" s="69"/>
      <c r="V11" s="69"/>
      <c r="W11" s="69"/>
      <c r="X11" s="69"/>
      <c r="Y11" s="69"/>
      <c r="Z11" s="174"/>
      <c r="AA11" s="69"/>
      <c r="AB11" s="73"/>
      <c r="AC11" s="69"/>
      <c r="AD11" s="69" t="str">
        <f t="shared" si="4"/>
        <v>Levantamento sísmico de baixa frequência</v>
      </c>
      <c r="AE11" s="73"/>
      <c r="AF11" s="73"/>
      <c r="AG11" s="73"/>
      <c r="AH11" s="73"/>
      <c r="AI11" s="73"/>
      <c r="AJ11" s="73"/>
    </row>
    <row r="12" spans="2:36" hidden="1" outlineLevel="1" x14ac:dyDescent="0.25">
      <c r="C12" t="s">
        <v>161</v>
      </c>
      <c r="D12" s="74">
        <v>0</v>
      </c>
      <c r="E12" s="74" t="s">
        <v>173</v>
      </c>
      <c r="F12" s="69">
        <v>13217</v>
      </c>
      <c r="G12" s="72">
        <f>F12*Fontes!$R$3/Fontes!$J$3</f>
        <v>15045.59273809476</v>
      </c>
      <c r="H12" s="69">
        <f t="shared" si="1"/>
        <v>0</v>
      </c>
      <c r="I12" s="69"/>
      <c r="J12" s="69"/>
      <c r="K12" s="69"/>
      <c r="L12" s="69"/>
      <c r="M12" s="69"/>
      <c r="N12" s="69"/>
      <c r="O12" s="69"/>
      <c r="P12" s="69"/>
      <c r="R12" s="69"/>
      <c r="S12" s="72"/>
      <c r="T12" s="69"/>
      <c r="U12" s="69"/>
      <c r="V12" s="69"/>
      <c r="W12" s="69"/>
      <c r="X12" s="69"/>
      <c r="Y12" s="69"/>
      <c r="Z12" s="174"/>
      <c r="AA12" s="69"/>
      <c r="AB12" s="73"/>
      <c r="AC12" s="69"/>
      <c r="AD12" s="69" t="str">
        <f t="shared" si="4"/>
        <v>Levantamento sonográfico de alta resolução</v>
      </c>
      <c r="AE12" s="73"/>
      <c r="AF12" s="73"/>
      <c r="AG12" s="73"/>
      <c r="AH12" s="73"/>
      <c r="AI12" s="73"/>
      <c r="AJ12" s="73"/>
    </row>
    <row r="13" spans="2:36" hidden="1" outlineLevel="1" x14ac:dyDescent="0.25">
      <c r="C13" t="s">
        <v>203</v>
      </c>
      <c r="D13" s="74">
        <v>0</v>
      </c>
      <c r="E13" s="74" t="s">
        <v>173</v>
      </c>
      <c r="F13" s="69">
        <v>33412.61</v>
      </c>
      <c r="G13" s="72">
        <f>F13*Fontes!$R$3/Fontes!$J$3</f>
        <v>38035.297145857032</v>
      </c>
      <c r="H13" s="69">
        <f t="shared" si="1"/>
        <v>0</v>
      </c>
      <c r="I13" s="69"/>
      <c r="J13" s="69"/>
      <c r="K13" s="69"/>
      <c r="L13" s="69"/>
      <c r="M13" s="69"/>
      <c r="N13" s="69"/>
      <c r="O13" s="69"/>
      <c r="P13" s="69"/>
      <c r="R13" s="69"/>
      <c r="S13" s="72"/>
      <c r="T13" s="69"/>
      <c r="U13" s="69"/>
      <c r="V13" s="69"/>
      <c r="W13" s="69"/>
      <c r="X13" s="69"/>
      <c r="Y13" s="69"/>
      <c r="Z13" s="174"/>
      <c r="AA13" s="69"/>
      <c r="AB13" s="73"/>
      <c r="AC13" s="69"/>
      <c r="AD13" s="69" t="str">
        <f t="shared" si="4"/>
        <v>Levantamento topobatimétrico da Área de Bota-Fora</v>
      </c>
      <c r="AE13" s="73"/>
      <c r="AF13" s="73"/>
      <c r="AG13" s="73"/>
      <c r="AH13" s="73"/>
      <c r="AI13" s="73"/>
      <c r="AJ13" s="73"/>
    </row>
    <row r="14" spans="2:36" hidden="1" outlineLevel="1" x14ac:dyDescent="0.25">
      <c r="C14" t="s">
        <v>162</v>
      </c>
      <c r="D14" s="74">
        <v>0</v>
      </c>
      <c r="E14" s="74" t="s">
        <v>178</v>
      </c>
      <c r="F14" s="69">
        <v>7791.65</v>
      </c>
      <c r="G14" s="72">
        <f>F14*Fontes!$R$3/Fontes!$J$3</f>
        <v>8869.637032441251</v>
      </c>
      <c r="H14" s="69">
        <f t="shared" si="1"/>
        <v>0</v>
      </c>
      <c r="I14" s="69"/>
      <c r="J14" s="69"/>
      <c r="K14" s="69"/>
      <c r="L14" s="69"/>
      <c r="M14" s="69"/>
      <c r="N14" s="69"/>
      <c r="O14" s="69"/>
      <c r="P14" s="69"/>
      <c r="R14" s="69"/>
      <c r="S14" s="72"/>
      <c r="T14" s="69"/>
      <c r="U14" s="69"/>
      <c r="V14" s="69"/>
      <c r="W14" s="69"/>
      <c r="X14" s="69"/>
      <c r="Y14" s="69"/>
      <c r="Z14" s="174"/>
      <c r="AA14" s="69"/>
      <c r="AB14" s="73"/>
      <c r="AC14" s="69"/>
      <c r="AD14" s="69" t="str">
        <f t="shared" si="4"/>
        <v>Sondagens Vibracore</v>
      </c>
      <c r="AE14" s="73"/>
      <c r="AF14" s="73"/>
      <c r="AG14" s="73"/>
      <c r="AH14" s="73"/>
      <c r="AI14" s="73"/>
      <c r="AJ14" s="73"/>
    </row>
    <row r="15" spans="2:36" hidden="1" outlineLevel="1" x14ac:dyDescent="0.25">
      <c r="C15" t="s">
        <v>163</v>
      </c>
      <c r="D15" s="74">
        <v>0</v>
      </c>
      <c r="E15" s="74" t="s">
        <v>178</v>
      </c>
      <c r="F15" s="69">
        <v>2969.1</v>
      </c>
      <c r="G15" s="72">
        <f>F15*Fontes!$R$3/Fontes!$J$3</f>
        <v>3379.8796548896989</v>
      </c>
      <c r="H15" s="69">
        <f t="shared" si="1"/>
        <v>0</v>
      </c>
      <c r="I15" s="69"/>
      <c r="J15" s="69"/>
      <c r="K15" s="69"/>
      <c r="L15" s="69"/>
      <c r="M15" s="69"/>
      <c r="N15" s="69"/>
      <c r="O15" s="69"/>
      <c r="P15" s="69"/>
      <c r="R15" s="69"/>
      <c r="S15" s="72"/>
      <c r="T15" s="69"/>
      <c r="U15" s="69"/>
      <c r="V15" s="69"/>
      <c r="W15" s="69"/>
      <c r="X15" s="69"/>
      <c r="Y15" s="69"/>
      <c r="Z15" s="174"/>
      <c r="AA15" s="69"/>
      <c r="AB15" s="73"/>
      <c r="AC15" s="69"/>
      <c r="AD15" s="69" t="str">
        <f t="shared" si="4"/>
        <v>Análise química de sedimentos</v>
      </c>
      <c r="AE15" s="73"/>
      <c r="AF15" s="73"/>
      <c r="AG15" s="73"/>
      <c r="AH15" s="73"/>
      <c r="AI15" s="73"/>
      <c r="AJ15" s="73"/>
    </row>
    <row r="16" spans="2:36" hidden="1" outlineLevel="1" x14ac:dyDescent="0.25">
      <c r="C16" t="s">
        <v>204</v>
      </c>
      <c r="D16" s="74">
        <v>0</v>
      </c>
      <c r="E16" s="74" t="s">
        <v>178</v>
      </c>
      <c r="F16" s="69">
        <v>3180.15</v>
      </c>
      <c r="G16" s="72">
        <f>F16*Fontes!$R$3/Fontes!$J$3</f>
        <v>3620.1287543354806</v>
      </c>
      <c r="H16" s="69">
        <f t="shared" si="1"/>
        <v>0</v>
      </c>
      <c r="I16" s="69"/>
      <c r="J16" s="69"/>
      <c r="K16" s="69"/>
      <c r="L16" s="69"/>
      <c r="M16" s="69"/>
      <c r="N16" s="69"/>
      <c r="O16" s="69"/>
      <c r="P16" s="69"/>
      <c r="R16" s="69"/>
      <c r="S16" s="72"/>
      <c r="T16" s="69"/>
      <c r="U16" s="69"/>
      <c r="V16" s="69"/>
      <c r="W16" s="69"/>
      <c r="X16" s="69"/>
      <c r="Y16" s="69"/>
      <c r="Z16" s="174"/>
      <c r="AA16" s="69"/>
      <c r="AB16" s="73"/>
      <c r="AC16" s="69"/>
      <c r="AD16" s="69" t="str">
        <f t="shared" si="4"/>
        <v>Análise química de amostras de sedimento considerando a toxicidade de tributilestanho</v>
      </c>
      <c r="AE16" s="73"/>
      <c r="AF16" s="73"/>
      <c r="AG16" s="73"/>
      <c r="AH16" s="73"/>
      <c r="AI16" s="73"/>
      <c r="AJ16" s="73"/>
    </row>
    <row r="17" spans="3:36" hidden="1" outlineLevel="1" x14ac:dyDescent="0.25">
      <c r="C17" t="s">
        <v>164</v>
      </c>
      <c r="D17" s="74">
        <v>0</v>
      </c>
      <c r="E17" s="74" t="s">
        <v>178</v>
      </c>
      <c r="F17" s="69">
        <v>49884.800000000003</v>
      </c>
      <c r="G17" s="72">
        <f>F17*Fontes!$R$3/Fontes!$J$3</f>
        <v>56786.44054031244</v>
      </c>
      <c r="H17" s="69">
        <f t="shared" si="1"/>
        <v>0</v>
      </c>
      <c r="I17" s="69"/>
      <c r="J17" s="69"/>
      <c r="K17" s="69"/>
      <c r="L17" s="69"/>
      <c r="M17" s="69"/>
      <c r="N17" s="69"/>
      <c r="O17" s="69"/>
      <c r="P17" s="69"/>
      <c r="R17" s="69"/>
      <c r="S17" s="72"/>
      <c r="T17" s="69"/>
      <c r="U17" s="69"/>
      <c r="V17" s="69"/>
      <c r="W17" s="69"/>
      <c r="X17" s="69"/>
      <c r="Y17" s="69"/>
      <c r="Z17" s="174"/>
      <c r="AA17" s="69"/>
      <c r="AB17" s="73"/>
      <c r="AC17" s="69"/>
      <c r="AD17" s="69" t="str">
        <f t="shared" si="4"/>
        <v xml:space="preserve">Sondagens mistas </v>
      </c>
      <c r="AE17" s="73"/>
      <c r="AF17" s="73"/>
      <c r="AG17" s="73"/>
      <c r="AH17" s="73"/>
      <c r="AI17" s="73"/>
      <c r="AJ17" s="73"/>
    </row>
    <row r="18" spans="3:36" hidden="1" outlineLevel="1" x14ac:dyDescent="0.25">
      <c r="C18" t="s">
        <v>165</v>
      </c>
      <c r="D18" s="74">
        <v>0</v>
      </c>
      <c r="E18" s="74" t="s">
        <v>178</v>
      </c>
      <c r="F18" s="69">
        <v>125118.14</v>
      </c>
      <c r="G18" s="72">
        <f>F18*Fontes!$R$3/Fontes!$J$3</f>
        <v>142428.4314585703</v>
      </c>
      <c r="H18" s="69">
        <f t="shared" si="1"/>
        <v>0</v>
      </c>
      <c r="I18" s="69"/>
      <c r="J18" s="69"/>
      <c r="K18" s="69"/>
      <c r="L18" s="69"/>
      <c r="M18" s="69"/>
      <c r="N18" s="69"/>
      <c r="O18" s="69"/>
      <c r="P18" s="69"/>
      <c r="R18" s="69"/>
      <c r="S18" s="72"/>
      <c r="T18" s="69"/>
      <c r="U18" s="69"/>
      <c r="V18" s="69"/>
      <c r="W18" s="69"/>
      <c r="X18" s="69"/>
      <c r="Y18" s="69"/>
      <c r="Z18" s="174"/>
      <c r="AA18" s="69"/>
      <c r="AB18" s="73"/>
      <c r="AC18" s="69"/>
      <c r="AD18" s="69" t="str">
        <f t="shared" si="4"/>
        <v>Sondagens rotativas</v>
      </c>
      <c r="AE18" s="73"/>
      <c r="AF18" s="73"/>
      <c r="AG18" s="73"/>
      <c r="AH18" s="73"/>
      <c r="AI18" s="73"/>
      <c r="AJ18" s="73"/>
    </row>
    <row r="19" spans="3:36" collapsed="1" x14ac:dyDescent="0.25">
      <c r="C19" s="66" t="s">
        <v>18</v>
      </c>
      <c r="D19" s="74"/>
      <c r="E19" s="74"/>
      <c r="F19" s="69"/>
      <c r="G19" s="72"/>
      <c r="H19" s="69"/>
      <c r="I19" s="69"/>
      <c r="J19" s="69"/>
      <c r="K19" s="69"/>
      <c r="L19" s="69"/>
      <c r="M19" s="69"/>
      <c r="N19" s="69"/>
      <c r="O19" s="69"/>
      <c r="P19" s="69"/>
      <c r="R19" s="69"/>
      <c r="S19" s="72"/>
      <c r="T19" s="69"/>
      <c r="U19" s="69"/>
      <c r="V19" s="69"/>
      <c r="W19" s="69"/>
      <c r="X19" s="69"/>
      <c r="Y19" s="69"/>
      <c r="Z19" s="174"/>
      <c r="AA19" s="69"/>
      <c r="AB19" s="73"/>
      <c r="AC19" s="69"/>
      <c r="AD19" s="69" t="str">
        <f t="shared" si="4"/>
        <v>Estudos</v>
      </c>
      <c r="AE19" s="73"/>
      <c r="AF19" s="73"/>
      <c r="AG19" s="73"/>
      <c r="AH19" s="73"/>
      <c r="AI19" s="73"/>
      <c r="AJ19" s="73"/>
    </row>
    <row r="20" spans="3:36" x14ac:dyDescent="0.25">
      <c r="C20" t="s">
        <v>166</v>
      </c>
      <c r="D20" s="74">
        <v>1</v>
      </c>
      <c r="E20" s="74" t="s">
        <v>202</v>
      </c>
      <c r="F20" s="69">
        <v>121827.09</v>
      </c>
      <c r="G20" s="72">
        <f>F20*Fontes!R3/Fontes!I3</f>
        <v>139606.99746294558</v>
      </c>
      <c r="H20" s="69">
        <f t="shared" si="1"/>
        <v>139606.99746294558</v>
      </c>
      <c r="I20" s="69" t="s">
        <v>297</v>
      </c>
      <c r="J20" s="69"/>
      <c r="K20" s="69">
        <v>765000</v>
      </c>
      <c r="L20" s="69">
        <v>65479.360000000001</v>
      </c>
      <c r="M20" s="69">
        <v>56811.7</v>
      </c>
      <c r="N20" s="69">
        <v>118000</v>
      </c>
      <c r="O20" s="69">
        <v>90000</v>
      </c>
      <c r="P20" s="69">
        <v>70000</v>
      </c>
      <c r="R20" s="69">
        <f t="shared" ref="R20:R29" si="5">MEDIAN(K20:O20)</f>
        <v>90000</v>
      </c>
      <c r="S20" s="72">
        <f t="shared" ref="S20:S29" si="6">AVERAGE(K20:O20)</f>
        <v>219058.212</v>
      </c>
      <c r="T20" s="69">
        <f t="shared" ref="T20:T29" si="7">STDEV(K20:O20)</f>
        <v>306117.46708564134</v>
      </c>
      <c r="U20" s="69"/>
      <c r="V20" s="69">
        <f>S20-T20</f>
        <v>-87059.255085641344</v>
      </c>
      <c r="W20" s="69">
        <f>S20+T20</f>
        <v>525175.6790856414</v>
      </c>
      <c r="X20" s="69"/>
      <c r="Y20" s="69">
        <f>MEDIAN(L20:O20)</f>
        <v>77739.679999999993</v>
      </c>
      <c r="Z20" s="174">
        <f>AVERAGE(L20:O20)</f>
        <v>82572.764999999999</v>
      </c>
      <c r="AA20" s="69"/>
      <c r="AB20" s="73">
        <f t="shared" ref="AB20:AB35" si="8">Z20/$Z$37</f>
        <v>2.8332083032316817E-2</v>
      </c>
      <c r="AC20" s="69"/>
      <c r="AD20" s="69" t="str">
        <f t="shared" si="4"/>
        <v>Estudo das condições meteoceanográficas</v>
      </c>
      <c r="AE20" s="73">
        <f t="shared" ref="AE20:AE29" si="9">K20/$K$37</f>
        <v>8.4190832553788592E-2</v>
      </c>
      <c r="AF20" s="73">
        <f t="shared" ref="AF20:AF29" si="10">L20/$L$37</f>
        <v>1.7416402882807779E-2</v>
      </c>
      <c r="AG20" s="73">
        <f t="shared" ref="AG20:AG29" si="11">M20/$M$37</f>
        <v>1.7103302838865221E-2</v>
      </c>
      <c r="AH20" s="73">
        <f t="shared" ref="AH20:AH29" si="12">N20/$N$37</f>
        <v>5.0914739385571284E-2</v>
      </c>
      <c r="AI20" s="73">
        <f t="shared" ref="AI20:AI29" si="13">O20/$O$37</f>
        <v>5.7507987220447282E-2</v>
      </c>
      <c r="AJ20" s="73"/>
    </row>
    <row r="21" spans="3:36" x14ac:dyDescent="0.25">
      <c r="C21" t="s">
        <v>284</v>
      </c>
      <c r="D21" s="74">
        <v>1</v>
      </c>
      <c r="E21" s="74" t="s">
        <v>202</v>
      </c>
      <c r="F21" s="69">
        <v>21757.5</v>
      </c>
      <c r="G21" s="72">
        <v>22783.73</v>
      </c>
      <c r="H21" s="69">
        <f t="shared" si="1"/>
        <v>22783.73</v>
      </c>
      <c r="I21" s="69" t="s">
        <v>298</v>
      </c>
      <c r="J21" s="69"/>
      <c r="K21" s="69">
        <v>595000</v>
      </c>
      <c r="L21" s="69">
        <v>69555.240000000005</v>
      </c>
      <c r="M21" s="69">
        <v>65137.56</v>
      </c>
      <c r="N21" s="69">
        <v>181000</v>
      </c>
      <c r="O21" s="69">
        <v>90000</v>
      </c>
      <c r="P21" s="69">
        <v>50000</v>
      </c>
      <c r="R21" s="69">
        <f t="shared" si="5"/>
        <v>90000</v>
      </c>
      <c r="S21" s="72">
        <f t="shared" si="6"/>
        <v>200138.56</v>
      </c>
      <c r="T21" s="69">
        <f t="shared" si="7"/>
        <v>225659.93061454396</v>
      </c>
      <c r="U21" s="69"/>
      <c r="V21" s="69">
        <f t="shared" ref="V21:V35" si="14">S21-T21</f>
        <v>-25521.370614543965</v>
      </c>
      <c r="W21" s="69">
        <f t="shared" ref="W21:W35" si="15">S21+T21</f>
        <v>425798.49061454396</v>
      </c>
      <c r="X21" s="69"/>
      <c r="Y21" s="69">
        <f>MEDIAN(L21:O21)</f>
        <v>79777.62</v>
      </c>
      <c r="Z21" s="174">
        <f>AVERAGE(L21:O21)</f>
        <v>101423.2</v>
      </c>
      <c r="AA21" s="69"/>
      <c r="AB21" s="73">
        <f t="shared" si="8"/>
        <v>3.4799979433936541E-2</v>
      </c>
      <c r="AC21" s="69"/>
      <c r="AD21" s="69" t="str">
        <f t="shared" si="4"/>
        <v>Estudo de Sedimentação</v>
      </c>
      <c r="AE21" s="73">
        <f t="shared" si="9"/>
        <v>6.5481758652946684E-2</v>
      </c>
      <c r="AF21" s="73">
        <f t="shared" si="10"/>
        <v>1.8500518063255155E-2</v>
      </c>
      <c r="AG21" s="73">
        <f t="shared" si="11"/>
        <v>1.9609823590294846E-2</v>
      </c>
      <c r="AH21" s="73">
        <f t="shared" si="12"/>
        <v>7.8098032447359342E-2</v>
      </c>
      <c r="AI21" s="73">
        <f t="shared" si="13"/>
        <v>5.7507987220447282E-2</v>
      </c>
      <c r="AJ21" s="73"/>
    </row>
    <row r="22" spans="3:36" x14ac:dyDescent="0.25">
      <c r="C22" t="s">
        <v>167</v>
      </c>
      <c r="D22" s="74">
        <v>1</v>
      </c>
      <c r="E22" s="74" t="s">
        <v>202</v>
      </c>
      <c r="F22" s="69">
        <f>11000+(136200/12*1)</f>
        <v>22350</v>
      </c>
      <c r="G22" s="72">
        <v>25633.43</v>
      </c>
      <c r="H22" s="69">
        <f t="shared" si="1"/>
        <v>25633.43</v>
      </c>
      <c r="I22" s="69" t="s">
        <v>299</v>
      </c>
      <c r="J22" s="69"/>
      <c r="K22" s="69">
        <v>425000</v>
      </c>
      <c r="L22" s="69">
        <v>40895.33</v>
      </c>
      <c r="M22" s="69">
        <v>40160</v>
      </c>
      <c r="N22" s="69">
        <v>94000</v>
      </c>
      <c r="O22" s="69">
        <v>40000</v>
      </c>
      <c r="P22" s="69"/>
      <c r="R22" s="69">
        <f t="shared" si="5"/>
        <v>40895.33</v>
      </c>
      <c r="S22" s="72">
        <f t="shared" si="6"/>
        <v>128011.06600000002</v>
      </c>
      <c r="T22" s="69">
        <f t="shared" si="7"/>
        <v>167639.56016072631</v>
      </c>
      <c r="U22" s="69"/>
      <c r="V22" s="69">
        <f t="shared" si="14"/>
        <v>-39628.494160726288</v>
      </c>
      <c r="W22" s="69">
        <f t="shared" si="15"/>
        <v>295650.6261607263</v>
      </c>
      <c r="X22" s="69"/>
      <c r="Y22" s="69">
        <f>MEDIAN(L22:O22)</f>
        <v>40527.665000000001</v>
      </c>
      <c r="Z22" s="174">
        <f>AVERAGE(L22:O22)</f>
        <v>53763.832500000004</v>
      </c>
      <c r="AA22" s="69"/>
      <c r="AB22" s="73">
        <f t="shared" si="8"/>
        <v>1.8447261231055705E-2</v>
      </c>
      <c r="AC22" s="69"/>
      <c r="AD22" s="69" t="str">
        <f t="shared" si="4"/>
        <v>Estudo dos navios de projeto</v>
      </c>
      <c r="AE22" s="73">
        <f t="shared" si="9"/>
        <v>4.6772684752104769E-2</v>
      </c>
      <c r="AF22" s="73">
        <f t="shared" si="10"/>
        <v>1.0877466476541241E-2</v>
      </c>
      <c r="AG22" s="73">
        <f t="shared" si="11"/>
        <v>1.2090267357055453E-2</v>
      </c>
      <c r="AH22" s="73">
        <f t="shared" si="12"/>
        <v>4.055919917155678E-2</v>
      </c>
      <c r="AI22" s="73">
        <f t="shared" si="13"/>
        <v>2.5559105431309903E-2</v>
      </c>
      <c r="AJ22" s="73"/>
    </row>
    <row r="23" spans="3:36" x14ac:dyDescent="0.25">
      <c r="C23" t="s">
        <v>172</v>
      </c>
      <c r="D23" s="74">
        <v>1</v>
      </c>
      <c r="E23" s="74" t="s">
        <v>202</v>
      </c>
      <c r="F23" s="69">
        <v>104474.36</v>
      </c>
      <c r="G23" s="72">
        <f>F23*Fontes!$R$3/Fontes!$J$3</f>
        <v>118928.55202641277</v>
      </c>
      <c r="H23" s="69">
        <f t="shared" si="1"/>
        <v>118928.55202641277</v>
      </c>
      <c r="I23" s="69" t="s">
        <v>297</v>
      </c>
      <c r="J23" s="69"/>
      <c r="K23" s="69">
        <v>425000</v>
      </c>
      <c r="L23" s="69">
        <v>48871.08</v>
      </c>
      <c r="M23" s="69">
        <v>46526.83</v>
      </c>
      <c r="N23" s="69">
        <v>83100</v>
      </c>
      <c r="O23" s="69">
        <v>110000</v>
      </c>
      <c r="P23" s="69"/>
      <c r="R23" s="69">
        <f t="shared" si="5"/>
        <v>83100</v>
      </c>
      <c r="S23" s="72">
        <f t="shared" si="6"/>
        <v>142699.58199999999</v>
      </c>
      <c r="T23" s="69">
        <f t="shared" si="7"/>
        <v>159974.90807572112</v>
      </c>
      <c r="U23" s="69"/>
      <c r="V23" s="69">
        <f t="shared" si="14"/>
        <v>-17275.326075721125</v>
      </c>
      <c r="W23" s="69">
        <f t="shared" si="15"/>
        <v>302674.49007572111</v>
      </c>
      <c r="X23" s="69"/>
      <c r="Y23" s="69">
        <f>MEDIAN(L23:O23)</f>
        <v>65985.540000000008</v>
      </c>
      <c r="Z23" s="174">
        <f>AVERAGE(L23:O23)</f>
        <v>72124.477500000008</v>
      </c>
      <c r="AA23" s="69"/>
      <c r="AB23" s="73">
        <f t="shared" si="8"/>
        <v>2.4747102573015042E-2</v>
      </c>
      <c r="AC23" s="69"/>
      <c r="AD23" s="69" t="str">
        <f t="shared" si="4"/>
        <v>Estudo de dimensionamento (calado seguro)</v>
      </c>
      <c r="AE23" s="73">
        <f t="shared" si="9"/>
        <v>4.6772684752104769E-2</v>
      </c>
      <c r="AF23" s="73">
        <f t="shared" si="10"/>
        <v>1.2998881152746906E-2</v>
      </c>
      <c r="AG23" s="73">
        <f t="shared" si="11"/>
        <v>1.4007017280285567E-2</v>
      </c>
      <c r="AH23" s="73">
        <f t="shared" si="12"/>
        <v>3.5856057991025196E-2</v>
      </c>
      <c r="AI23" s="73">
        <f t="shared" si="13"/>
        <v>7.0287539936102233E-2</v>
      </c>
      <c r="AJ23" s="73"/>
    </row>
    <row r="24" spans="3:36" x14ac:dyDescent="0.25">
      <c r="C24" t="s">
        <v>168</v>
      </c>
      <c r="D24" s="74">
        <v>1</v>
      </c>
      <c r="E24" s="74" t="s">
        <v>202</v>
      </c>
      <c r="F24" s="69">
        <v>87729.65</v>
      </c>
      <c r="G24" s="72">
        <f>F24*Fontes!$R$3/Fontes!$J$3</f>
        <v>99867.185061329714</v>
      </c>
      <c r="H24" s="69">
        <f t="shared" si="1"/>
        <v>99867.185061329714</v>
      </c>
      <c r="I24" s="69" t="s">
        <v>297</v>
      </c>
      <c r="J24" s="69"/>
      <c r="K24" s="69">
        <v>255000</v>
      </c>
      <c r="L24" s="69">
        <v>101478</v>
      </c>
      <c r="M24" s="69">
        <v>93750</v>
      </c>
      <c r="N24" s="69">
        <v>144000</v>
      </c>
      <c r="O24" s="69">
        <v>95000</v>
      </c>
      <c r="P24" s="69"/>
      <c r="R24" s="69">
        <f t="shared" si="5"/>
        <v>101478</v>
      </c>
      <c r="S24" s="72">
        <f t="shared" si="6"/>
        <v>137845.6</v>
      </c>
      <c r="T24" s="69">
        <f t="shared" si="7"/>
        <v>68676.414778291961</v>
      </c>
      <c r="U24" s="69"/>
      <c r="V24" s="69">
        <f t="shared" si="14"/>
        <v>69169.185221708045</v>
      </c>
      <c r="W24" s="69">
        <f t="shared" si="15"/>
        <v>206522.01477829198</v>
      </c>
      <c r="X24" s="69"/>
      <c r="Y24" s="69">
        <f>MEDIAN(L24:O24)</f>
        <v>98239</v>
      </c>
      <c r="Z24" s="174">
        <f>AVERAGE(L24:O24)</f>
        <v>108557</v>
      </c>
      <c r="AA24" s="69"/>
      <c r="AB24" s="73">
        <f t="shared" si="8"/>
        <v>3.7247704345848377E-2</v>
      </c>
      <c r="AC24" s="69"/>
      <c r="AD24" s="69" t="str">
        <f t="shared" si="4"/>
        <v>Estudos de amarração</v>
      </c>
      <c r="AE24" s="73">
        <f t="shared" si="9"/>
        <v>2.8063610851262862E-2</v>
      </c>
      <c r="AF24" s="73">
        <f t="shared" si="10"/>
        <v>2.699143259405052E-2</v>
      </c>
      <c r="AG24" s="73">
        <f t="shared" si="11"/>
        <v>2.8223669440337371E-2</v>
      </c>
      <c r="AH24" s="73">
        <f t="shared" si="12"/>
        <v>6.2133241284086989E-2</v>
      </c>
      <c r="AI24" s="73">
        <f t="shared" si="13"/>
        <v>6.070287539936102E-2</v>
      </c>
      <c r="AJ24" s="73"/>
    </row>
    <row r="25" spans="3:36" x14ac:dyDescent="0.25">
      <c r="C25" t="s">
        <v>175</v>
      </c>
      <c r="D25" s="74">
        <v>1</v>
      </c>
      <c r="E25" s="74" t="s">
        <v>202</v>
      </c>
      <c r="F25" s="69">
        <v>0</v>
      </c>
      <c r="G25" s="69">
        <v>101301.16</v>
      </c>
      <c r="H25" s="69">
        <f t="shared" si="1"/>
        <v>101301.16</v>
      </c>
      <c r="I25" s="69" t="s">
        <v>300</v>
      </c>
      <c r="J25" s="69"/>
      <c r="K25" s="69">
        <v>510000</v>
      </c>
      <c r="L25" s="69">
        <v>420147.99</v>
      </c>
      <c r="M25" s="69">
        <v>387105.47</v>
      </c>
      <c r="N25" s="69">
        <v>169000</v>
      </c>
      <c r="O25" s="69">
        <v>110000</v>
      </c>
      <c r="P25" s="69"/>
      <c r="R25" s="69">
        <f t="shared" si="5"/>
        <v>387105.47</v>
      </c>
      <c r="S25" s="72">
        <f t="shared" si="6"/>
        <v>319250.69199999998</v>
      </c>
      <c r="T25" s="69">
        <f t="shared" si="7"/>
        <v>171413.94101163899</v>
      </c>
      <c r="U25" s="69"/>
      <c r="V25" s="69">
        <f t="shared" si="14"/>
        <v>147836.75098836099</v>
      </c>
      <c r="W25" s="69">
        <f t="shared" si="15"/>
        <v>490664.633011639</v>
      </c>
      <c r="X25" s="69"/>
      <c r="Y25" s="69">
        <f>MEDIAN(L25:N25)</f>
        <v>387105.47</v>
      </c>
      <c r="Z25" s="174">
        <f>AVERAGE(L25:N25)</f>
        <v>325417.82</v>
      </c>
      <c r="AA25" s="69"/>
      <c r="AB25" s="73">
        <f t="shared" si="8"/>
        <v>0.11165624278701977</v>
      </c>
      <c r="AC25" s="69"/>
      <c r="AD25" s="69" t="str">
        <f t="shared" si="4"/>
        <v>Estudo Value for Money</v>
      </c>
      <c r="AE25" s="73">
        <f t="shared" si="9"/>
        <v>5.6127221702525723E-2</v>
      </c>
      <c r="AF25" s="73">
        <f t="shared" si="10"/>
        <v>0.11175226306796361</v>
      </c>
      <c r="AG25" s="73">
        <f t="shared" si="11"/>
        <v>0.11653905945414862</v>
      </c>
      <c r="AH25" s="73">
        <f t="shared" si="12"/>
        <v>7.2920262340352093E-2</v>
      </c>
      <c r="AI25" s="73">
        <f t="shared" si="13"/>
        <v>7.0287539936102233E-2</v>
      </c>
      <c r="AJ25" s="73"/>
    </row>
    <row r="26" spans="3:36" x14ac:dyDescent="0.25">
      <c r="C26" t="s">
        <v>205</v>
      </c>
      <c r="D26" s="74">
        <v>1</v>
      </c>
      <c r="E26" s="74" t="s">
        <v>202</v>
      </c>
      <c r="F26" s="69">
        <f>174000/12*1</f>
        <v>14500</v>
      </c>
      <c r="G26" s="72">
        <v>15183.92</v>
      </c>
      <c r="H26" s="69">
        <f t="shared" si="1"/>
        <v>15183.92</v>
      </c>
      <c r="I26" s="69" t="s">
        <v>303</v>
      </c>
      <c r="J26" s="69"/>
      <c r="K26" s="69">
        <v>255000</v>
      </c>
      <c r="L26" s="69">
        <v>77400</v>
      </c>
      <c r="M26" s="69">
        <v>72973.66</v>
      </c>
      <c r="N26" s="69">
        <v>77000</v>
      </c>
      <c r="O26" s="69">
        <v>70000</v>
      </c>
      <c r="P26" s="69"/>
      <c r="R26" s="69">
        <f t="shared" si="5"/>
        <v>77000</v>
      </c>
      <c r="S26" s="72">
        <f t="shared" si="6"/>
        <v>110474.732</v>
      </c>
      <c r="T26" s="69">
        <f t="shared" si="7"/>
        <v>80849.525356424419</v>
      </c>
      <c r="U26" s="69"/>
      <c r="V26" s="69">
        <f t="shared" si="14"/>
        <v>29625.206643575584</v>
      </c>
      <c r="W26" s="69">
        <f t="shared" si="15"/>
        <v>191324.25735642441</v>
      </c>
      <c r="X26" s="69"/>
      <c r="Y26" s="69">
        <f>MEDIAN(L26:O26)</f>
        <v>74986.83</v>
      </c>
      <c r="Z26" s="174">
        <f>AVERAGE(L26:O26)</f>
        <v>74343.415000000008</v>
      </c>
      <c r="AA26" s="69"/>
      <c r="AB26" s="73">
        <f t="shared" si="8"/>
        <v>2.550845677368304E-2</v>
      </c>
      <c r="AC26" s="69"/>
      <c r="AD26" s="69" t="str">
        <f t="shared" si="4"/>
        <v>Estudo para Uso Benéfico do Material Dragado</v>
      </c>
      <c r="AE26" s="73">
        <f t="shared" si="9"/>
        <v>2.8063610851262862E-2</v>
      </c>
      <c r="AF26" s="73">
        <f t="shared" si="10"/>
        <v>2.0587091613743967E-2</v>
      </c>
      <c r="AG26" s="73">
        <f t="shared" si="11"/>
        <v>2.196890088204341E-2</v>
      </c>
      <c r="AH26" s="73">
        <f t="shared" si="12"/>
        <v>3.3224024853296515E-2</v>
      </c>
      <c r="AI26" s="73">
        <f t="shared" si="13"/>
        <v>4.472843450479233E-2</v>
      </c>
      <c r="AJ26" s="73"/>
    </row>
    <row r="27" spans="3:36" x14ac:dyDescent="0.25">
      <c r="C27" t="s">
        <v>285</v>
      </c>
      <c r="D27" s="74">
        <v>1</v>
      </c>
      <c r="E27" s="74" t="s">
        <v>202</v>
      </c>
      <c r="F27" s="69">
        <f>174000/12*1</f>
        <v>14500</v>
      </c>
      <c r="G27" s="72">
        <v>15183.92</v>
      </c>
      <c r="H27" s="69">
        <f t="shared" si="1"/>
        <v>15183.92</v>
      </c>
      <c r="I27" s="69" t="s">
        <v>303</v>
      </c>
      <c r="J27" s="69"/>
      <c r="K27" s="69">
        <v>340000</v>
      </c>
      <c r="L27" s="69">
        <v>285412.96999999997</v>
      </c>
      <c r="M27" s="69">
        <v>203125</v>
      </c>
      <c r="N27" s="69">
        <v>83100</v>
      </c>
      <c r="O27" s="69">
        <v>68000</v>
      </c>
      <c r="P27" s="69"/>
      <c r="R27" s="69">
        <f t="shared" si="5"/>
        <v>203125</v>
      </c>
      <c r="S27" s="72">
        <f t="shared" si="6"/>
        <v>195927.59399999998</v>
      </c>
      <c r="T27" s="69">
        <f t="shared" si="7"/>
        <v>120324.38304025988</v>
      </c>
      <c r="U27" s="69"/>
      <c r="V27" s="69">
        <f t="shared" si="14"/>
        <v>75603.210959740099</v>
      </c>
      <c r="W27" s="69">
        <f t="shared" si="15"/>
        <v>316251.97704025987</v>
      </c>
      <c r="X27" s="69"/>
      <c r="Y27" s="69">
        <f>MEDIAN(L27:N27)</f>
        <v>203125</v>
      </c>
      <c r="Z27" s="174">
        <f>AVERAGE(L27:N27)</f>
        <v>190545.99</v>
      </c>
      <c r="AA27" s="69"/>
      <c r="AB27" s="73">
        <f t="shared" si="8"/>
        <v>6.5379484508663474E-2</v>
      </c>
      <c r="AC27" s="69"/>
      <c r="AD27" s="69" t="str">
        <f t="shared" si="4"/>
        <v>Estudo sobre o Casco Soçobrado Apollo I</v>
      </c>
      <c r="AE27" s="73">
        <f t="shared" si="9"/>
        <v>3.7418147801683815E-2</v>
      </c>
      <c r="AF27" s="73">
        <f t="shared" si="10"/>
        <v>7.5915025337735892E-2</v>
      </c>
      <c r="AG27" s="73">
        <f t="shared" si="11"/>
        <v>6.1151283787397634E-2</v>
      </c>
      <c r="AH27" s="73">
        <f t="shared" si="12"/>
        <v>3.5856057991025196E-2</v>
      </c>
      <c r="AI27" s="73">
        <f t="shared" si="13"/>
        <v>4.3450479233226834E-2</v>
      </c>
      <c r="AJ27" s="73"/>
    </row>
    <row r="28" spans="3:36" x14ac:dyDescent="0.25">
      <c r="C28" t="s">
        <v>206</v>
      </c>
      <c r="D28" s="74">
        <v>1</v>
      </c>
      <c r="E28" s="74" t="s">
        <v>202</v>
      </c>
      <c r="F28" s="69">
        <f>174000/12*3</f>
        <v>43500</v>
      </c>
      <c r="G28" s="72">
        <v>45551.76</v>
      </c>
      <c r="H28" s="69">
        <f t="shared" si="1"/>
        <v>45551.76</v>
      </c>
      <c r="I28" s="69" t="s">
        <v>302</v>
      </c>
      <c r="J28" s="69"/>
      <c r="K28" s="69">
        <v>595000</v>
      </c>
      <c r="L28" s="69">
        <v>385412.97</v>
      </c>
      <c r="M28" s="69">
        <v>328125</v>
      </c>
      <c r="N28" s="69">
        <v>122000</v>
      </c>
      <c r="O28" s="69">
        <v>150000</v>
      </c>
      <c r="P28" s="69"/>
      <c r="R28" s="69">
        <f t="shared" si="5"/>
        <v>328125</v>
      </c>
      <c r="S28" s="72">
        <f t="shared" si="6"/>
        <v>316107.59399999998</v>
      </c>
      <c r="T28" s="69">
        <f t="shared" si="7"/>
        <v>192352.61770175942</v>
      </c>
      <c r="U28" s="69"/>
      <c r="V28" s="69">
        <f t="shared" si="14"/>
        <v>123754.97629824057</v>
      </c>
      <c r="W28" s="69">
        <f t="shared" si="15"/>
        <v>508460.21170175937</v>
      </c>
      <c r="X28" s="69"/>
      <c r="Y28" s="69">
        <f>MEDIAN(L28,M28,O28)</f>
        <v>328125</v>
      </c>
      <c r="Z28" s="174">
        <f>AVERAGE(L28:M28,O28)</f>
        <v>287845.99</v>
      </c>
      <c r="AA28" s="69"/>
      <c r="AB28" s="73">
        <f t="shared" si="8"/>
        <v>9.8764725744613688E-2</v>
      </c>
      <c r="AC28" s="69"/>
      <c r="AD28" s="69" t="str">
        <f t="shared" si="4"/>
        <v>Estudo para reforma estrutural dos molhes</v>
      </c>
      <c r="AE28" s="73">
        <f t="shared" si="9"/>
        <v>6.5481758652946684E-2</v>
      </c>
      <c r="AF28" s="73">
        <f t="shared" si="10"/>
        <v>0.10251333491621646</v>
      </c>
      <c r="AG28" s="73">
        <f t="shared" si="11"/>
        <v>9.878284304118079E-2</v>
      </c>
      <c r="AH28" s="73">
        <f t="shared" si="12"/>
        <v>5.26406627545737E-2</v>
      </c>
      <c r="AI28" s="73">
        <f t="shared" si="13"/>
        <v>9.5846645367412137E-2</v>
      </c>
      <c r="AJ28" s="73"/>
    </row>
    <row r="29" spans="3:36" x14ac:dyDescent="0.25">
      <c r="C29" t="s">
        <v>278</v>
      </c>
      <c r="D29" s="74">
        <v>1</v>
      </c>
      <c r="E29" s="74" t="s">
        <v>202</v>
      </c>
      <c r="F29" s="69">
        <f>21792+17025</f>
        <v>38817</v>
      </c>
      <c r="G29" s="72">
        <v>44519.59</v>
      </c>
      <c r="H29" s="69">
        <f t="shared" si="1"/>
        <v>44519.59</v>
      </c>
      <c r="I29" s="69" t="s">
        <v>301</v>
      </c>
      <c r="J29" s="69"/>
      <c r="K29" s="69">
        <v>1020000</v>
      </c>
      <c r="L29" s="69">
        <v>655000</v>
      </c>
      <c r="M29" s="69">
        <v>645175.78</v>
      </c>
      <c r="N29" s="69">
        <v>168400</v>
      </c>
      <c r="O29" s="69">
        <v>120000</v>
      </c>
      <c r="P29" s="69"/>
      <c r="R29" s="69">
        <f t="shared" si="5"/>
        <v>645175.78</v>
      </c>
      <c r="S29" s="72">
        <f t="shared" si="6"/>
        <v>521715.15600000008</v>
      </c>
      <c r="T29" s="69">
        <f t="shared" si="7"/>
        <v>376663.58567629231</v>
      </c>
      <c r="U29" s="69"/>
      <c r="V29" s="69">
        <f t="shared" si="14"/>
        <v>145051.57032370777</v>
      </c>
      <c r="W29" s="69">
        <f t="shared" si="15"/>
        <v>898378.74167629238</v>
      </c>
      <c r="X29" s="69"/>
      <c r="Y29" s="69">
        <f>MEDIAN(L29:N29)</f>
        <v>645175.78</v>
      </c>
      <c r="Z29" s="174">
        <f>AVERAGE(L29:N29)</f>
        <v>489525.26</v>
      </c>
      <c r="AA29" s="69"/>
      <c r="AB29" s="73">
        <f t="shared" si="8"/>
        <v>0.16796422298243832</v>
      </c>
      <c r="AC29" s="69"/>
      <c r="AD29" s="69" t="str">
        <f t="shared" si="4"/>
        <v>Estudo de Simulação Dinâmica (Arena)</v>
      </c>
      <c r="AE29" s="73">
        <f t="shared" si="9"/>
        <v>0.11225444340505145</v>
      </c>
      <c r="AF29" s="73">
        <f t="shared" si="10"/>
        <v>0.17421892773904776</v>
      </c>
      <c r="AG29" s="73">
        <f t="shared" si="11"/>
        <v>0.19423176475340614</v>
      </c>
      <c r="AH29" s="73">
        <f t="shared" si="12"/>
        <v>7.2661373835001722E-2</v>
      </c>
      <c r="AI29" s="73">
        <f t="shared" si="13"/>
        <v>7.6677316293929709E-2</v>
      </c>
      <c r="AJ29" s="73"/>
    </row>
    <row r="30" spans="3:36" x14ac:dyDescent="0.25">
      <c r="C30" s="66" t="s">
        <v>29</v>
      </c>
      <c r="D30" s="74"/>
      <c r="E30" s="74"/>
      <c r="F30" s="69"/>
      <c r="G30" s="72"/>
      <c r="H30" s="69"/>
      <c r="I30" s="69"/>
      <c r="J30" s="69"/>
      <c r="K30" s="69"/>
      <c r="L30" s="69"/>
      <c r="M30" s="69"/>
      <c r="N30" s="69"/>
      <c r="O30" s="69"/>
      <c r="P30" s="69"/>
      <c r="R30" s="69"/>
      <c r="S30" s="72"/>
      <c r="T30" s="69"/>
      <c r="U30" s="69"/>
      <c r="V30" s="69"/>
      <c r="W30" s="69"/>
      <c r="X30" s="69"/>
      <c r="Y30" s="69"/>
      <c r="Z30" s="174"/>
      <c r="AA30" s="69"/>
      <c r="AB30" s="73"/>
      <c r="AC30" s="69"/>
      <c r="AD30" s="69" t="str">
        <f t="shared" si="4"/>
        <v>Simulações de Manobra</v>
      </c>
      <c r="AE30" s="73"/>
      <c r="AF30" s="73"/>
      <c r="AG30" s="73"/>
      <c r="AH30" s="73"/>
      <c r="AI30" s="73"/>
      <c r="AJ30" s="73"/>
    </row>
    <row r="31" spans="3:36" x14ac:dyDescent="0.25">
      <c r="C31" t="s">
        <v>169</v>
      </c>
      <c r="D31" s="74">
        <f>Simulacoes!F11</f>
        <v>39</v>
      </c>
      <c r="E31" s="74" t="s">
        <v>178</v>
      </c>
      <c r="F31" s="69">
        <v>1200.8800000000001</v>
      </c>
      <c r="G31" s="72">
        <f>F31*Fontes!$R$3/Fontes!$J$3</f>
        <v>1367.0236367801494</v>
      </c>
      <c r="H31" s="69">
        <f t="shared" si="1"/>
        <v>53313.921834425826</v>
      </c>
      <c r="I31" t="s">
        <v>297</v>
      </c>
      <c r="J31" s="69"/>
      <c r="K31" s="69">
        <v>1657500</v>
      </c>
      <c r="L31" s="69">
        <v>292500</v>
      </c>
      <c r="M31" s="69">
        <v>244664.06</v>
      </c>
      <c r="N31" s="69">
        <v>159900</v>
      </c>
      <c r="O31" s="69">
        <v>117000</v>
      </c>
      <c r="P31" s="69"/>
      <c r="R31" s="69">
        <f>MEDIAN(K31:O31)</f>
        <v>244664.06</v>
      </c>
      <c r="S31" s="72">
        <f>AVERAGE(K31:O31)</f>
        <v>494312.81200000003</v>
      </c>
      <c r="T31" s="69">
        <f>STDEV(K31:O31)</f>
        <v>653883.44368835085</v>
      </c>
      <c r="U31" s="69"/>
      <c r="V31" s="69">
        <f t="shared" si="14"/>
        <v>-159570.63168835081</v>
      </c>
      <c r="W31" s="69">
        <f t="shared" si="15"/>
        <v>1148196.2556883509</v>
      </c>
      <c r="X31" s="69"/>
      <c r="Y31" s="69">
        <f>MEDIAN(L31:O31)</f>
        <v>202282.03</v>
      </c>
      <c r="Z31" s="174">
        <f>AVERAGE(L31:O31)</f>
        <v>203516.01500000001</v>
      </c>
      <c r="AA31" s="69"/>
      <c r="AB31" s="73">
        <f t="shared" si="8"/>
        <v>6.9829714862839287E-2</v>
      </c>
      <c r="AC31" s="69"/>
      <c r="AD31" s="69" t="str">
        <f t="shared" si="4"/>
        <v>Simulações de manobra "Fast-Time"</v>
      </c>
      <c r="AE31" s="73">
        <f>K31/$K$37</f>
        <v>0.18241347053320861</v>
      </c>
      <c r="AF31" s="73">
        <f>L31/$L$37</f>
        <v>7.7800055517055683E-2</v>
      </c>
      <c r="AG31" s="73">
        <f>M31/$M$37</f>
        <v>7.3656720569289263E-2</v>
      </c>
      <c r="AH31" s="73">
        <f>N31/$N$37</f>
        <v>6.8993786675871596E-2</v>
      </c>
      <c r="AI31" s="73">
        <f>O31/$O$37</f>
        <v>7.4760383386581475E-2</v>
      </c>
      <c r="AJ31" s="73"/>
    </row>
    <row r="32" spans="3:36" x14ac:dyDescent="0.25">
      <c r="C32" t="s">
        <v>170</v>
      </c>
      <c r="D32" s="74">
        <f>Simulacoes!F23</f>
        <v>20</v>
      </c>
      <c r="E32" s="74" t="s">
        <v>178</v>
      </c>
      <c r="F32" s="69">
        <v>10455.06</v>
      </c>
      <c r="G32" s="72">
        <f>F32*Fontes!$R$3/Fontes!$J$3</f>
        <v>11901.533995032532</v>
      </c>
      <c r="H32" s="69">
        <f t="shared" si="1"/>
        <v>238030.67990065063</v>
      </c>
      <c r="I32" t="s">
        <v>297</v>
      </c>
      <c r="J32" s="69"/>
      <c r="K32" s="69">
        <v>1360000</v>
      </c>
      <c r="L32" s="69">
        <v>420913.2</v>
      </c>
      <c r="M32" s="69">
        <v>333437.5</v>
      </c>
      <c r="N32" s="69">
        <v>329000</v>
      </c>
      <c r="O32" s="69">
        <v>200000</v>
      </c>
      <c r="P32" s="69"/>
      <c r="R32" s="69">
        <f>MEDIAN(K32:O32)</f>
        <v>333437.5</v>
      </c>
      <c r="S32" s="72">
        <f>AVERAGE(K32:O32)</f>
        <v>528670.14</v>
      </c>
      <c r="T32" s="69">
        <f>STDEV(K32:O32)</f>
        <v>471362.09640317713</v>
      </c>
      <c r="U32" s="69"/>
      <c r="V32" s="69">
        <f t="shared" si="14"/>
        <v>57308.043596822885</v>
      </c>
      <c r="W32" s="69">
        <f t="shared" si="15"/>
        <v>1000032.2364031771</v>
      </c>
      <c r="X32" s="69"/>
      <c r="Y32" s="69">
        <f>MEDIAN(L32:O32)</f>
        <v>331218.75</v>
      </c>
      <c r="Z32" s="174">
        <f>AVERAGE(L32:O32)</f>
        <v>320837.67499999999</v>
      </c>
      <c r="AA32" s="69"/>
      <c r="AB32" s="73">
        <f t="shared" si="8"/>
        <v>0.11008471919276867</v>
      </c>
      <c r="AC32" s="69"/>
      <c r="AD32" s="69" t="str">
        <f t="shared" si="4"/>
        <v>Simulações de manobra "Real-Time"</v>
      </c>
      <c r="AE32" s="73">
        <f>K32/$K$37</f>
        <v>0.14967259120673526</v>
      </c>
      <c r="AF32" s="73">
        <f>L32/$L$37</f>
        <v>0.11195579599268911</v>
      </c>
      <c r="AG32" s="73">
        <f>M32/$M$37</f>
        <v>0.10038218430946658</v>
      </c>
      <c r="AH32" s="73">
        <f>N32/$N$37</f>
        <v>0.14195719710044874</v>
      </c>
      <c r="AI32" s="73">
        <f>O32/$O$37</f>
        <v>0.12779552715654952</v>
      </c>
      <c r="AJ32" s="73"/>
    </row>
    <row r="33" spans="3:36" x14ac:dyDescent="0.25">
      <c r="C33" s="66" t="s">
        <v>34</v>
      </c>
      <c r="D33" s="74"/>
      <c r="E33" s="74"/>
      <c r="F33" s="69"/>
      <c r="G33" s="72"/>
      <c r="H33" s="69"/>
      <c r="J33" s="69"/>
      <c r="K33" s="69"/>
      <c r="L33" s="69"/>
      <c r="M33" s="69"/>
      <c r="N33" s="69"/>
      <c r="O33" s="69"/>
      <c r="P33" s="69"/>
      <c r="R33" s="69"/>
      <c r="S33" s="72"/>
      <c r="T33" s="69"/>
      <c r="U33" s="69"/>
      <c r="V33" s="69"/>
      <c r="W33" s="69"/>
      <c r="X33" s="69"/>
      <c r="Y33" s="69"/>
      <c r="Z33" s="174"/>
      <c r="AA33" s="69"/>
      <c r="AB33" s="73"/>
      <c r="AC33" s="69"/>
      <c r="AD33" s="69" t="str">
        <f t="shared" si="4"/>
        <v>Projetos</v>
      </c>
      <c r="AE33" s="73"/>
      <c r="AF33" s="73"/>
      <c r="AG33" s="73"/>
      <c r="AH33" s="73"/>
      <c r="AI33" s="73"/>
      <c r="AJ33" s="73"/>
    </row>
    <row r="34" spans="3:36" x14ac:dyDescent="0.25">
      <c r="C34" t="s">
        <v>286</v>
      </c>
      <c r="D34" s="74">
        <v>1</v>
      </c>
      <c r="E34" s="74" t="s">
        <v>202</v>
      </c>
      <c r="F34" s="69">
        <v>0</v>
      </c>
      <c r="G34" s="72">
        <v>338446.96022665064</v>
      </c>
      <c r="H34" s="69">
        <f t="shared" si="1"/>
        <v>338446.96022665064</v>
      </c>
      <c r="I34" t="s">
        <v>297</v>
      </c>
      <c r="J34" s="69"/>
      <c r="K34" s="69">
        <v>595000</v>
      </c>
      <c r="L34" s="69">
        <v>175477.21</v>
      </c>
      <c r="M34" s="69">
        <v>140625</v>
      </c>
      <c r="N34" s="69">
        <v>91700</v>
      </c>
      <c r="O34" s="69">
        <v>65000</v>
      </c>
      <c r="P34" s="69"/>
      <c r="R34" s="69">
        <f>MEDIAN(K34:O34)</f>
        <v>140625</v>
      </c>
      <c r="S34" s="72">
        <f>AVERAGE(K34:O34)</f>
        <v>213560.44199999998</v>
      </c>
      <c r="T34" s="69">
        <f>STDEV(K34:O34)</f>
        <v>217477.71145464957</v>
      </c>
      <c r="U34" s="69"/>
      <c r="V34" s="69">
        <f t="shared" si="14"/>
        <v>-3917.2694546495914</v>
      </c>
      <c r="W34" s="69">
        <f t="shared" si="15"/>
        <v>431038.15345464955</v>
      </c>
      <c r="X34" s="69"/>
      <c r="Y34" s="69">
        <f>MEDIAN(L34:O34)</f>
        <v>116162.5</v>
      </c>
      <c r="Z34" s="174">
        <f>AVERAGE(L34:O34)</f>
        <v>118200.55249999999</v>
      </c>
      <c r="AA34" s="69"/>
      <c r="AB34" s="73">
        <f t="shared" si="8"/>
        <v>4.0556566900669035E-2</v>
      </c>
      <c r="AC34" s="69"/>
      <c r="AD34" s="69" t="str">
        <f t="shared" si="4"/>
        <v>Projeto Conceitual de Dragagem</v>
      </c>
      <c r="AE34" s="73">
        <f>K34/$K$37</f>
        <v>6.5481758652946684E-2</v>
      </c>
      <c r="AF34" s="73">
        <f>L34/$L$37</f>
        <v>4.6673971555480476E-2</v>
      </c>
      <c r="AG34" s="73">
        <f>M34/$M$37</f>
        <v>4.2335504160506056E-2</v>
      </c>
      <c r="AH34" s="73">
        <f>N34/$N$37</f>
        <v>3.9566793234380393E-2</v>
      </c>
      <c r="AI34" s="73">
        <f>O34/$O$37</f>
        <v>4.1533546325878593E-2</v>
      </c>
      <c r="AJ34" s="73"/>
    </row>
    <row r="35" spans="3:36" x14ac:dyDescent="0.25">
      <c r="C35" t="s">
        <v>287</v>
      </c>
      <c r="D35" s="74">
        <v>1</v>
      </c>
      <c r="E35" s="74" t="s">
        <v>202</v>
      </c>
      <c r="F35" s="69">
        <v>0</v>
      </c>
      <c r="G35" s="72">
        <v>181836.01142547393</v>
      </c>
      <c r="H35" s="69">
        <f t="shared" si="1"/>
        <v>181836.01142547393</v>
      </c>
      <c r="I35" t="s">
        <v>297</v>
      </c>
      <c r="J35" s="69"/>
      <c r="K35" s="69">
        <v>170000</v>
      </c>
      <c r="L35" s="69">
        <v>120900</v>
      </c>
      <c r="M35" s="69">
        <v>117187.5</v>
      </c>
      <c r="N35" s="69">
        <v>89300</v>
      </c>
      <c r="O35" s="69">
        <v>65000</v>
      </c>
      <c r="P35" s="69"/>
      <c r="R35" s="69">
        <f>MEDIAN(K35:O35)</f>
        <v>117187.5</v>
      </c>
      <c r="S35" s="72">
        <f>AVERAGE(K35:O35)</f>
        <v>112477.5</v>
      </c>
      <c r="T35" s="69">
        <f>STDEV(K35:O35)</f>
        <v>39348.666194040175</v>
      </c>
      <c r="U35" s="69"/>
      <c r="V35" s="69">
        <f t="shared" si="14"/>
        <v>73128.833805959817</v>
      </c>
      <c r="W35" s="69">
        <f t="shared" si="15"/>
        <v>151826.16619404018</v>
      </c>
      <c r="X35" s="69"/>
      <c r="Y35" s="69">
        <f>MEDIAN(L35:N35)</f>
        <v>117187.5</v>
      </c>
      <c r="Z35" s="174">
        <f>AVERAGE(L35:N35)</f>
        <v>109129.16666666667</v>
      </c>
      <c r="AA35" s="69"/>
      <c r="AB35" s="73">
        <f t="shared" si="8"/>
        <v>3.7444024203955636E-2</v>
      </c>
      <c r="AC35" s="69"/>
      <c r="AD35" s="69" t="str">
        <f t="shared" si="4"/>
        <v>Projeto Conceitual  de Sinalização e Balizamento Náutico</v>
      </c>
      <c r="AE35" s="73">
        <f>K35/$K$37</f>
        <v>1.8709073900841908E-2</v>
      </c>
      <c r="AF35" s="73">
        <f>L35/$L$37</f>
        <v>3.2157356280383013E-2</v>
      </c>
      <c r="AG35" s="73">
        <f>M35/$M$37</f>
        <v>3.527958680042171E-2</v>
      </c>
      <c r="AH35" s="73">
        <f>N35/$N$37</f>
        <v>3.8531239212978942E-2</v>
      </c>
      <c r="AI35" s="73">
        <f>O35/$O$37</f>
        <v>4.1533546325878593E-2</v>
      </c>
      <c r="AJ35" s="73"/>
    </row>
    <row r="36" spans="3:36" ht="6" customHeight="1" x14ac:dyDescent="0.25">
      <c r="C36" s="66"/>
      <c r="F36" s="69"/>
      <c r="T36" s="69"/>
      <c r="Z36" s="173"/>
      <c r="AB36" s="73"/>
      <c r="AE36" s="73"/>
      <c r="AF36" s="73"/>
      <c r="AG36" s="73"/>
      <c r="AH36" s="73"/>
      <c r="AI36" s="73"/>
      <c r="AJ36" s="73"/>
    </row>
    <row r="37" spans="3:36" ht="15.75" thickBot="1" x14ac:dyDescent="0.3">
      <c r="H37" s="78">
        <f>SUM(H6:H35)</f>
        <v>1662677.9179378892</v>
      </c>
      <c r="I37" s="78"/>
      <c r="J37" s="78"/>
      <c r="K37" s="72">
        <f t="shared" ref="K37:O37" si="16">SUM(K7:K35)</f>
        <v>9086500</v>
      </c>
      <c r="L37" s="72">
        <f t="shared" si="16"/>
        <v>3759637.42</v>
      </c>
      <c r="M37" s="72">
        <f t="shared" si="16"/>
        <v>3321680.06</v>
      </c>
      <c r="N37" s="72">
        <f t="shared" si="16"/>
        <v>2317600</v>
      </c>
      <c r="O37" s="72">
        <f t="shared" si="16"/>
        <v>1565000</v>
      </c>
      <c r="P37" s="72">
        <f>SUM(P7:P35)</f>
        <v>120000</v>
      </c>
      <c r="Q37" s="72"/>
      <c r="R37" s="72">
        <f>SUM(R7:R35)</f>
        <v>3290018.64</v>
      </c>
      <c r="S37" s="72">
        <f>SUM(S7:S35)</f>
        <v>4010083.4959999998</v>
      </c>
      <c r="T37" s="69">
        <f>STDEV(K37:O37)</f>
        <v>2964353.2488726759</v>
      </c>
      <c r="Y37" s="72">
        <f>SUM(Y7:Y35)</f>
        <v>3175738.3649999998</v>
      </c>
      <c r="Z37" s="182">
        <f>SUM(Z7:Z35)</f>
        <v>2914461.4925000002</v>
      </c>
      <c r="AE37" s="73">
        <f>K37/$K$37</f>
        <v>1</v>
      </c>
      <c r="AF37" s="73">
        <f>L37/$L$37</f>
        <v>1</v>
      </c>
      <c r="AG37" s="73">
        <f>M37/$M$37</f>
        <v>1</v>
      </c>
      <c r="AH37" s="73">
        <f>N37/$N$37</f>
        <v>1</v>
      </c>
      <c r="AI37" s="73">
        <f>O37/$O$37</f>
        <v>1</v>
      </c>
      <c r="AJ37" s="73"/>
    </row>
    <row r="39" spans="3:36" x14ac:dyDescent="0.25">
      <c r="C39" t="s">
        <v>377</v>
      </c>
      <c r="F39" s="72"/>
      <c r="G39" t="s">
        <v>386</v>
      </c>
      <c r="H39" s="78">
        <f>H37*1.4496</f>
        <v>2410217.909842764</v>
      </c>
      <c r="I39" s="78"/>
      <c r="J39" s="78"/>
      <c r="K39" s="72"/>
    </row>
    <row r="40" spans="3:36" x14ac:dyDescent="0.25">
      <c r="C40" s="77" t="s">
        <v>381</v>
      </c>
      <c r="K40" s="72"/>
      <c r="L40" s="72"/>
      <c r="M40" s="72"/>
      <c r="N40" s="72"/>
      <c r="O40" s="72"/>
      <c r="P40" s="72"/>
      <c r="R40" s="72"/>
    </row>
    <row r="41" spans="3:36" x14ac:dyDescent="0.25">
      <c r="H41" s="69"/>
      <c r="I41" s="69"/>
      <c r="J41" s="76"/>
      <c r="K41" s="72"/>
      <c r="L41" s="72"/>
      <c r="M41" s="72"/>
      <c r="N41" s="72"/>
      <c r="O41" s="72"/>
      <c r="P41" s="72"/>
      <c r="R41" s="72"/>
      <c r="AE41" s="128">
        <f>AE25</f>
        <v>5.6127221702525723E-2</v>
      </c>
      <c r="AF41" s="128">
        <f t="shared" ref="AF41:AJ41" si="17">AF25</f>
        <v>0.11175226306796361</v>
      </c>
      <c r="AG41" s="128">
        <f t="shared" si="17"/>
        <v>0.11653905945414862</v>
      </c>
      <c r="AH41" s="128">
        <f t="shared" si="17"/>
        <v>7.2920262340352093E-2</v>
      </c>
      <c r="AI41" s="128">
        <f t="shared" si="17"/>
        <v>7.0287539936102233E-2</v>
      </c>
      <c r="AJ41" s="128">
        <f t="shared" si="17"/>
        <v>0</v>
      </c>
    </row>
    <row r="42" spans="3:36" x14ac:dyDescent="0.25">
      <c r="G42" t="s">
        <v>351</v>
      </c>
      <c r="H42" s="78">
        <f>AVERAGE(H39,K37:O37)</f>
        <v>3743439.2316404604</v>
      </c>
      <c r="I42" s="78"/>
      <c r="J42" s="78"/>
      <c r="N42" s="72"/>
      <c r="R42" s="72"/>
      <c r="AE42" s="128">
        <f>AE31</f>
        <v>0.18241347053320861</v>
      </c>
      <c r="AF42" s="128">
        <f t="shared" ref="AF42:AJ42" si="18">AF31</f>
        <v>7.7800055517055683E-2</v>
      </c>
      <c r="AG42" s="128">
        <f t="shared" si="18"/>
        <v>7.3656720569289263E-2</v>
      </c>
      <c r="AH42" s="128">
        <f t="shared" si="18"/>
        <v>6.8993786675871596E-2</v>
      </c>
      <c r="AI42" s="128">
        <f t="shared" si="18"/>
        <v>7.4760383386581475E-2</v>
      </c>
      <c r="AJ42" s="128">
        <f t="shared" si="18"/>
        <v>0</v>
      </c>
    </row>
    <row r="43" spans="3:36" x14ac:dyDescent="0.25">
      <c r="C43" s="66"/>
      <c r="G43" t="s">
        <v>352</v>
      </c>
      <c r="H43" s="78">
        <f>MEDIAN(H39,K37,L37,M37,N37,O37)</f>
        <v>2865948.9849213818</v>
      </c>
      <c r="P43" s="72"/>
      <c r="R43" s="72"/>
      <c r="AE43" s="128">
        <f>AE32</f>
        <v>0.14967259120673526</v>
      </c>
      <c r="AF43" s="128">
        <f t="shared" ref="AF43:AJ43" si="19">AF32</f>
        <v>0.11195579599268911</v>
      </c>
      <c r="AG43" s="128">
        <f t="shared" si="19"/>
        <v>0.10038218430946658</v>
      </c>
      <c r="AH43" s="128">
        <f t="shared" si="19"/>
        <v>0.14195719710044874</v>
      </c>
      <c r="AI43" s="128">
        <f t="shared" si="19"/>
        <v>0.12779552715654952</v>
      </c>
      <c r="AJ43" s="128">
        <f t="shared" si="19"/>
        <v>0</v>
      </c>
    </row>
    <row r="44" spans="3:36" x14ac:dyDescent="0.25">
      <c r="R44" s="72"/>
    </row>
    <row r="45" spans="3:36" x14ac:dyDescent="0.25">
      <c r="D45" s="70"/>
      <c r="AE45" s="128">
        <f>SUM(AE41:AE43)</f>
        <v>0.38821328344246958</v>
      </c>
      <c r="AF45" s="128">
        <f t="shared" ref="AF45:AJ45" si="20">SUM(AF41:AF43)</f>
        <v>0.30150811457770843</v>
      </c>
      <c r="AG45" s="128">
        <f t="shared" si="20"/>
        <v>0.2905779643329045</v>
      </c>
      <c r="AH45" s="128">
        <f t="shared" si="20"/>
        <v>0.28387124611667242</v>
      </c>
      <c r="AI45" s="128">
        <f t="shared" si="20"/>
        <v>0.2728434504792332</v>
      </c>
      <c r="AJ45" s="128">
        <f t="shared" si="20"/>
        <v>0</v>
      </c>
    </row>
    <row r="46" spans="3:36" x14ac:dyDescent="0.25">
      <c r="D46" s="70"/>
    </row>
    <row r="47" spans="3:36" x14ac:dyDescent="0.25">
      <c r="D47" s="70"/>
    </row>
    <row r="48" spans="3:36" x14ac:dyDescent="0.25">
      <c r="D48" s="70"/>
    </row>
    <row r="49" spans="2:14" ht="15.75" thickBot="1" x14ac:dyDescent="0.3">
      <c r="C49" s="66" t="s">
        <v>464</v>
      </c>
      <c r="D49" s="70"/>
    </row>
    <row r="50" spans="2:14" ht="30" x14ac:dyDescent="0.25">
      <c r="C50" s="14" t="str">
        <f>C5</f>
        <v>Descrição</v>
      </c>
      <c r="D50" s="14" t="str">
        <f t="shared" ref="D50:I50" si="21">D5</f>
        <v>Quantidade</v>
      </c>
      <c r="E50" s="14" t="str">
        <f t="shared" si="21"/>
        <v>Unidade</v>
      </c>
      <c r="F50" s="14" t="str">
        <f t="shared" si="21"/>
        <v>Valor de Referência</v>
      </c>
      <c r="G50" s="194" t="str">
        <f t="shared" si="21"/>
        <v>Valor Unitário Atualizado</v>
      </c>
      <c r="H50" s="197" t="str">
        <f t="shared" si="21"/>
        <v>Valor Total Estimado</v>
      </c>
      <c r="I50" s="195" t="str">
        <f t="shared" si="21"/>
        <v>Referências</v>
      </c>
      <c r="K50" s="14" t="s">
        <v>472</v>
      </c>
      <c r="L50" s="14" t="s">
        <v>473</v>
      </c>
    </row>
    <row r="51" spans="2:14" x14ac:dyDescent="0.25">
      <c r="B51" t="s">
        <v>222</v>
      </c>
      <c r="C51" t="s">
        <v>465</v>
      </c>
      <c r="D51" s="74">
        <v>7</v>
      </c>
      <c r="E51" s="74" t="s">
        <v>176</v>
      </c>
      <c r="F51" s="69">
        <f>VLOOKUP(B51,'[3]Tabela 1'!B$4:Z$101,25,FALSE)</f>
        <v>4575.53</v>
      </c>
      <c r="G51" s="69">
        <v>4610.34</v>
      </c>
      <c r="H51" s="174">
        <f>D51*G51</f>
        <v>32272.38</v>
      </c>
      <c r="I51" t="s">
        <v>432</v>
      </c>
      <c r="K51" t="s">
        <v>151</v>
      </c>
      <c r="L51" s="72">
        <f>H52</f>
        <v>18189.561852000006</v>
      </c>
    </row>
    <row r="52" spans="2:14" x14ac:dyDescent="0.25">
      <c r="B52" t="s">
        <v>466</v>
      </c>
      <c r="C52" t="s">
        <v>480</v>
      </c>
      <c r="D52" s="74">
        <f>D62</f>
        <v>7</v>
      </c>
      <c r="E52" s="74" t="s">
        <v>176</v>
      </c>
      <c r="F52" s="69"/>
      <c r="G52" s="69">
        <f>H62</f>
        <v>2598.5088360000009</v>
      </c>
      <c r="H52" s="174">
        <f t="shared" ref="H52:H53" si="22">D52*G52</f>
        <v>18189.561852000006</v>
      </c>
      <c r="I52" t="s">
        <v>479</v>
      </c>
      <c r="K52" t="s">
        <v>470</v>
      </c>
      <c r="L52" s="72">
        <f>G52</f>
        <v>2598.5088360000009</v>
      </c>
    </row>
    <row r="53" spans="2:14" ht="15.75" thickBot="1" x14ac:dyDescent="0.3">
      <c r="C53" t="s">
        <v>279</v>
      </c>
      <c r="D53" s="74">
        <v>3</v>
      </c>
      <c r="E53" s="74" t="s">
        <v>176</v>
      </c>
      <c r="F53" s="69">
        <v>22900</v>
      </c>
      <c r="G53" s="69">
        <f>F53</f>
        <v>22900</v>
      </c>
      <c r="H53" s="196">
        <f t="shared" si="22"/>
        <v>68700</v>
      </c>
      <c r="I53" t="s">
        <v>431</v>
      </c>
      <c r="K53" s="209" t="s">
        <v>471</v>
      </c>
      <c r="L53" s="210">
        <f>L52/20</f>
        <v>129.92544180000004</v>
      </c>
    </row>
    <row r="54" spans="2:14" x14ac:dyDescent="0.25">
      <c r="D54" s="70"/>
    </row>
    <row r="55" spans="2:14" x14ac:dyDescent="0.25">
      <c r="D55" s="70"/>
      <c r="L55" s="72"/>
    </row>
    <row r="56" spans="2:14" x14ac:dyDescent="0.25">
      <c r="D56" s="70"/>
      <c r="F56" t="s">
        <v>466</v>
      </c>
      <c r="G56" t="s">
        <v>466</v>
      </c>
    </row>
    <row r="57" spans="2:14" s="75" customFormat="1" ht="47.25" customHeight="1" x14ac:dyDescent="0.25">
      <c r="C57" s="203" t="s">
        <v>475</v>
      </c>
      <c r="D57" s="70"/>
      <c r="F57" s="16" t="s">
        <v>422</v>
      </c>
      <c r="G57" s="16" t="s">
        <v>423</v>
      </c>
      <c r="H57" s="204" t="s">
        <v>373</v>
      </c>
    </row>
    <row r="58" spans="2:14" x14ac:dyDescent="0.25">
      <c r="C58" t="s">
        <v>333</v>
      </c>
      <c r="D58" s="69">
        <v>20</v>
      </c>
      <c r="F58" s="69">
        <v>32.07</v>
      </c>
      <c r="G58" s="69">
        <v>6.36</v>
      </c>
      <c r="L58" s="72"/>
    </row>
    <row r="59" spans="2:14" x14ac:dyDescent="0.25">
      <c r="C59" t="s">
        <v>474</v>
      </c>
      <c r="D59" s="69">
        <v>9</v>
      </c>
      <c r="F59" s="69">
        <v>0.2</v>
      </c>
      <c r="G59" s="69">
        <v>0.8</v>
      </c>
      <c r="H59" s="72">
        <f>D61*(F58*F59+G58*G59)</f>
        <v>2070.3600000000006</v>
      </c>
      <c r="L59" s="72"/>
      <c r="N59" s="72"/>
    </row>
    <row r="60" spans="2:14" x14ac:dyDescent="0.25">
      <c r="D60" s="69"/>
      <c r="H60" s="72"/>
      <c r="L60" s="72"/>
      <c r="N60" s="72"/>
    </row>
    <row r="61" spans="2:14" x14ac:dyDescent="0.25">
      <c r="C61" s="66" t="s">
        <v>476</v>
      </c>
      <c r="D61" s="202">
        <f>D58*D59</f>
        <v>180</v>
      </c>
      <c r="E61" s="72"/>
      <c r="F61" s="72"/>
      <c r="G61" t="s">
        <v>477</v>
      </c>
      <c r="H61" s="206">
        <v>1.2551000000000001</v>
      </c>
      <c r="N61" s="72"/>
    </row>
    <row r="62" spans="2:14" x14ac:dyDescent="0.25">
      <c r="C62" t="s">
        <v>225</v>
      </c>
      <c r="D62" s="69">
        <v>7</v>
      </c>
      <c r="E62" s="72"/>
      <c r="F62" s="72"/>
      <c r="G62" t="s">
        <v>478</v>
      </c>
      <c r="H62" s="72">
        <f>H59*H61</f>
        <v>2598.5088360000009</v>
      </c>
    </row>
    <row r="63" spans="2:14" x14ac:dyDescent="0.25">
      <c r="D63" s="72"/>
      <c r="E63" s="72"/>
      <c r="F63" s="72"/>
      <c r="H63" s="72"/>
    </row>
    <row r="64" spans="2:14" x14ac:dyDescent="0.25">
      <c r="D64" s="70"/>
      <c r="H64" s="72"/>
    </row>
    <row r="65" spans="2:8" x14ac:dyDescent="0.25">
      <c r="C65" s="66" t="s">
        <v>375</v>
      </c>
      <c r="D65" s="70"/>
    </row>
    <row r="66" spans="2:8" x14ac:dyDescent="0.25">
      <c r="B66" t="s">
        <v>371</v>
      </c>
      <c r="C66" t="s">
        <v>3</v>
      </c>
      <c r="D66" t="s">
        <v>372</v>
      </c>
      <c r="E66" t="s">
        <v>150</v>
      </c>
      <c r="H66" s="72"/>
    </row>
    <row r="67" spans="2:8" x14ac:dyDescent="0.25">
      <c r="B67" t="s">
        <v>221</v>
      </c>
      <c r="C67" t="str">
        <f>VLOOKUP(B67,'[3]Tabela 1'!B$4:Z$101,2,FALSE)</f>
        <v>Engenheiro coordenador</v>
      </c>
      <c r="D67" s="69">
        <f>VLOOKUP(B67,'[3]Tabela 1'!B$4:Z$101,25,FALSE)</f>
        <v>31544.33</v>
      </c>
      <c r="E67">
        <v>3</v>
      </c>
      <c r="F67" s="72">
        <f>D67*E67</f>
        <v>94632.99</v>
      </c>
      <c r="G67" s="72"/>
      <c r="H67" s="72"/>
    </row>
    <row r="68" spans="2:8" x14ac:dyDescent="0.25">
      <c r="B68" t="s">
        <v>223</v>
      </c>
      <c r="C68" t="str">
        <f>VLOOKUP(B68,'[3]Tabela 1'!B$4:Z$101,2,FALSE)</f>
        <v>Oceanógrafo pleno</v>
      </c>
      <c r="D68" s="69">
        <f>VLOOKUP(B68,'[3]Tabela 1'!B$4:Z$101,25,FALSE)</f>
        <v>12060.05</v>
      </c>
      <c r="E68">
        <v>1</v>
      </c>
      <c r="F68" s="72">
        <f t="shared" ref="F68:F69" si="23">D68*E68</f>
        <v>12060.05</v>
      </c>
    </row>
    <row r="69" spans="2:8" x14ac:dyDescent="0.25">
      <c r="B69" t="s">
        <v>220</v>
      </c>
      <c r="C69" t="str">
        <f>VLOOKUP(B69,'[3]Tabela 1'!B$4:Z$101,2,FALSE)</f>
        <v>Engenheiro de projetos pleno</v>
      </c>
      <c r="D69" s="69">
        <f>VLOOKUP(B69,'[3]Tabela 1'!B$4:Z$101,25,FALSE)</f>
        <v>21592.42</v>
      </c>
      <c r="E69">
        <v>2</v>
      </c>
      <c r="F69" s="72">
        <f t="shared" si="23"/>
        <v>43184.84</v>
      </c>
    </row>
    <row r="71" spans="2:8" x14ac:dyDescent="0.25">
      <c r="D71" s="69"/>
      <c r="E71" s="130" t="s">
        <v>373</v>
      </c>
      <c r="F71" s="72">
        <f>SUM(F67:F69)</f>
        <v>149877.88</v>
      </c>
    </row>
    <row r="72" spans="2:8" x14ac:dyDescent="0.25">
      <c r="D72" s="69"/>
      <c r="E72" t="s">
        <v>374</v>
      </c>
      <c r="F72" s="72">
        <f>F71*6</f>
        <v>899267.28</v>
      </c>
    </row>
    <row r="73" spans="2:8" x14ac:dyDescent="0.25">
      <c r="D73" s="69"/>
    </row>
    <row r="75" spans="2:8" x14ac:dyDescent="0.25">
      <c r="D75" s="69"/>
    </row>
    <row r="76" spans="2:8" x14ac:dyDescent="0.25">
      <c r="D76" s="69"/>
    </row>
  </sheetData>
  <mergeCells count="1">
    <mergeCell ref="B3:H3"/>
  </mergeCells>
  <conditionalFormatting sqref="K7:O7">
    <cfRule type="cellIs" dxfId="14" priority="3" operator="between">
      <formula>$V$7</formula>
      <formula>$W$7</formula>
    </cfRule>
  </conditionalFormatting>
  <conditionalFormatting sqref="K20:O20">
    <cfRule type="cellIs" dxfId="13" priority="17" operator="between">
      <formula>$V$20</formula>
      <formula>$W$20</formula>
    </cfRule>
  </conditionalFormatting>
  <conditionalFormatting sqref="K21:O21">
    <cfRule type="cellIs" dxfId="12" priority="16" operator="between">
      <formula>$V$21</formula>
      <formula>$W$21</formula>
    </cfRule>
  </conditionalFormatting>
  <conditionalFormatting sqref="K22:O22">
    <cfRule type="cellIs" dxfId="11" priority="15" operator="between">
      <formula>$V$22</formula>
      <formula>$W$22</formula>
    </cfRule>
  </conditionalFormatting>
  <conditionalFormatting sqref="K23:O23">
    <cfRule type="cellIs" dxfId="10" priority="14" operator="between">
      <formula>$V$23</formula>
      <formula>$W$23</formula>
    </cfRule>
  </conditionalFormatting>
  <conditionalFormatting sqref="K24:O24">
    <cfRule type="cellIs" dxfId="9" priority="13" operator="between">
      <formula>$V$24</formula>
      <formula>$W$24</formula>
    </cfRule>
  </conditionalFormatting>
  <conditionalFormatting sqref="K25:O25">
    <cfRule type="cellIs" dxfId="8" priority="12" operator="between">
      <formula>$V$25</formula>
      <formula>$W$25</formula>
    </cfRule>
  </conditionalFormatting>
  <conditionalFormatting sqref="K26:O26">
    <cfRule type="cellIs" dxfId="7" priority="11" operator="between">
      <formula>$V$26</formula>
      <formula>$W$26</formula>
    </cfRule>
  </conditionalFormatting>
  <conditionalFormatting sqref="K27:O27">
    <cfRule type="cellIs" dxfId="6" priority="10" operator="between">
      <formula>$V$27</formula>
      <formula>$W$27</formula>
    </cfRule>
  </conditionalFormatting>
  <conditionalFormatting sqref="K28:O28">
    <cfRule type="cellIs" dxfId="5" priority="9" operator="between">
      <formula>$V$28</formula>
      <formula>$W$28</formula>
    </cfRule>
  </conditionalFormatting>
  <conditionalFormatting sqref="K29:O29">
    <cfRule type="cellIs" dxfId="4" priority="8" operator="between">
      <formula>$V$29</formula>
      <formula>$W$29</formula>
    </cfRule>
  </conditionalFormatting>
  <conditionalFormatting sqref="K31:O31">
    <cfRule type="cellIs" dxfId="3" priority="7" operator="between">
      <formula>$V$31</formula>
      <formula>$W$31</formula>
    </cfRule>
  </conditionalFormatting>
  <conditionalFormatting sqref="K32:O32">
    <cfRule type="cellIs" dxfId="2" priority="6" operator="between">
      <formula>$V$32</formula>
      <formula>$W$32</formula>
    </cfRule>
  </conditionalFormatting>
  <conditionalFormatting sqref="K34:O34">
    <cfRule type="cellIs" dxfId="1" priority="5" operator="between">
      <formula>$V$34</formula>
      <formula>$W$34</formula>
    </cfRule>
  </conditionalFormatting>
  <conditionalFormatting sqref="K35:O35">
    <cfRule type="cellIs" dxfId="0" priority="4" operator="between">
      <formula>$V$35</formula>
      <formula>$W$35</formula>
    </cfRule>
  </conditionalFormatting>
  <conditionalFormatting sqref="AE7:AI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20:AI29 AE31:AI32 AE34:AI3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558F-D994-4309-8AA9-6445E37C8AF0}">
  <sheetPr>
    <pageSetUpPr fitToPage="1"/>
  </sheetPr>
  <dimension ref="A1:AP341"/>
  <sheetViews>
    <sheetView zoomScale="55" zoomScaleNormal="55" zoomScalePageLayoutView="55" workbookViewId="0"/>
  </sheetViews>
  <sheetFormatPr defaultColWidth="8.85546875" defaultRowHeight="12.75" outlineLevelRow="1" outlineLevelCol="1" x14ac:dyDescent="0.2"/>
  <cols>
    <col min="1" max="1" width="3.7109375" style="29" customWidth="1"/>
    <col min="2" max="2" width="8.85546875" style="29"/>
    <col min="3" max="3" width="113.5703125" style="29" customWidth="1"/>
    <col min="4" max="4" width="15.140625" style="29" bestFit="1" customWidth="1"/>
    <col min="5" max="15" width="8.85546875" style="29" hidden="1" customWidth="1" outlineLevel="1"/>
    <col min="16" max="16" width="8.85546875" style="29" customWidth="1" collapsed="1"/>
    <col min="17" max="17" width="8.85546875" style="29" customWidth="1" outlineLevel="1" collapsed="1"/>
    <col min="18" max="27" width="8.85546875" style="29" customWidth="1" outlineLevel="1"/>
    <col min="28" max="28" width="8.85546875" style="29" customWidth="1"/>
    <col min="29" max="39" width="8.85546875" style="29" customWidth="1" outlineLevel="1"/>
    <col min="40" max="40" width="8.85546875" style="29"/>
    <col min="41" max="41" width="2.28515625" style="29" customWidth="1"/>
    <col min="42" max="16384" width="8.85546875" style="29"/>
  </cols>
  <sheetData>
    <row r="1" spans="1:42" ht="18.75" x14ac:dyDescent="0.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</row>
    <row r="2" spans="1:42" ht="18.75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</row>
    <row r="3" spans="1:42" ht="18.75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</row>
    <row r="4" spans="1:42" ht="18.75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</row>
    <row r="5" spans="1:42" ht="23.25" x14ac:dyDescent="0.2">
      <c r="A5" s="25"/>
      <c r="B5" s="26" t="s">
        <v>91</v>
      </c>
      <c r="C5" s="27"/>
      <c r="D5" s="25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</row>
    <row r="6" spans="1:42" ht="18.75" x14ac:dyDescent="0.2">
      <c r="A6" s="25"/>
      <c r="B6" s="25"/>
      <c r="C6" s="27"/>
      <c r="D6" s="25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>
        <v>1</v>
      </c>
      <c r="R6" s="28">
        <v>2</v>
      </c>
      <c r="S6" s="28">
        <v>3</v>
      </c>
      <c r="T6" s="28">
        <v>4</v>
      </c>
      <c r="U6" s="28">
        <v>5</v>
      </c>
      <c r="V6" s="28">
        <v>6</v>
      </c>
      <c r="W6" s="28">
        <v>7</v>
      </c>
      <c r="X6" s="28">
        <v>8</v>
      </c>
      <c r="Y6" s="28">
        <v>9</v>
      </c>
      <c r="Z6" s="28">
        <v>10</v>
      </c>
      <c r="AA6" s="28">
        <v>11</v>
      </c>
      <c r="AB6" s="28">
        <v>12</v>
      </c>
      <c r="AC6" s="28">
        <v>13</v>
      </c>
      <c r="AD6" s="28">
        <v>14</v>
      </c>
      <c r="AE6" s="28">
        <v>15</v>
      </c>
      <c r="AF6" s="28">
        <v>16</v>
      </c>
      <c r="AG6" s="28">
        <v>17</v>
      </c>
      <c r="AH6" s="28">
        <v>18</v>
      </c>
      <c r="AI6" s="28">
        <v>19</v>
      </c>
      <c r="AJ6" s="28">
        <v>20</v>
      </c>
      <c r="AK6" s="28">
        <v>21</v>
      </c>
      <c r="AL6" s="28">
        <v>22</v>
      </c>
      <c r="AM6" s="28">
        <v>23</v>
      </c>
      <c r="AN6" s="28">
        <v>24</v>
      </c>
      <c r="AO6" s="28"/>
      <c r="AP6" s="28"/>
    </row>
    <row r="7" spans="1:42" ht="18" customHeight="1" x14ac:dyDescent="0.2">
      <c r="A7" s="25"/>
      <c r="B7" s="215" t="s">
        <v>50</v>
      </c>
      <c r="C7" s="217" t="s">
        <v>51</v>
      </c>
      <c r="D7" s="30" t="s">
        <v>92</v>
      </c>
      <c r="E7" s="219">
        <v>2023</v>
      </c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>
        <v>2024</v>
      </c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1">
        <v>2025</v>
      </c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3"/>
      <c r="AO7" s="28"/>
      <c r="AP7" s="28"/>
    </row>
    <row r="8" spans="1:42" ht="18" customHeight="1" x14ac:dyDescent="0.2">
      <c r="A8" s="25"/>
      <c r="B8" s="216"/>
      <c r="C8" s="218"/>
      <c r="D8" s="32" t="s">
        <v>93</v>
      </c>
      <c r="E8" s="33" t="s">
        <v>94</v>
      </c>
      <c r="F8" s="33" t="s">
        <v>95</v>
      </c>
      <c r="G8" s="33" t="s">
        <v>96</v>
      </c>
      <c r="H8" s="33" t="s">
        <v>97</v>
      </c>
      <c r="I8" s="33" t="s">
        <v>98</v>
      </c>
      <c r="J8" s="33" t="s">
        <v>99</v>
      </c>
      <c r="K8" s="33" t="s">
        <v>100</v>
      </c>
      <c r="L8" s="33" t="s">
        <v>101</v>
      </c>
      <c r="M8" s="33" t="s">
        <v>102</v>
      </c>
      <c r="N8" s="33" t="s">
        <v>103</v>
      </c>
      <c r="O8" s="33" t="s">
        <v>104</v>
      </c>
      <c r="P8" s="34" t="s">
        <v>105</v>
      </c>
      <c r="Q8" s="33" t="s">
        <v>94</v>
      </c>
      <c r="R8" s="33" t="s">
        <v>95</v>
      </c>
      <c r="S8" s="33" t="s">
        <v>96</v>
      </c>
      <c r="T8" s="33" t="s">
        <v>97</v>
      </c>
      <c r="U8" s="33" t="s">
        <v>98</v>
      </c>
      <c r="V8" s="33" t="s">
        <v>99</v>
      </c>
      <c r="W8" s="33" t="s">
        <v>100</v>
      </c>
      <c r="X8" s="33" t="s">
        <v>101</v>
      </c>
      <c r="Y8" s="33" t="s">
        <v>102</v>
      </c>
      <c r="Z8" s="33" t="s">
        <v>103</v>
      </c>
      <c r="AA8" s="33" t="s">
        <v>104</v>
      </c>
      <c r="AB8" s="33" t="s">
        <v>105</v>
      </c>
      <c r="AC8" s="35" t="s">
        <v>94</v>
      </c>
      <c r="AD8" s="33" t="s">
        <v>95</v>
      </c>
      <c r="AE8" s="33" t="s">
        <v>96</v>
      </c>
      <c r="AF8" s="33" t="s">
        <v>97</v>
      </c>
      <c r="AG8" s="33" t="s">
        <v>98</v>
      </c>
      <c r="AH8" s="33" t="s">
        <v>99</v>
      </c>
      <c r="AI8" s="33" t="s">
        <v>100</v>
      </c>
      <c r="AJ8" s="33" t="s">
        <v>101</v>
      </c>
      <c r="AK8" s="33" t="s">
        <v>102</v>
      </c>
      <c r="AL8" s="33" t="s">
        <v>103</v>
      </c>
      <c r="AM8" s="33" t="s">
        <v>104</v>
      </c>
      <c r="AN8" s="34" t="s">
        <v>105</v>
      </c>
      <c r="AO8" s="28"/>
      <c r="AP8" s="28"/>
    </row>
    <row r="9" spans="1:42" ht="15" customHeight="1" x14ac:dyDescent="0.2">
      <c r="A9" s="25"/>
      <c r="B9" s="36"/>
      <c r="C9" s="37"/>
      <c r="D9" s="38"/>
      <c r="E9" s="39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0"/>
      <c r="R9" s="40"/>
      <c r="S9" s="40"/>
      <c r="T9" s="40"/>
      <c r="U9" s="40"/>
      <c r="V9" s="40"/>
      <c r="W9" s="40"/>
      <c r="X9" s="40"/>
      <c r="Y9" s="40"/>
      <c r="Z9" s="40"/>
      <c r="AA9" s="42"/>
      <c r="AB9" s="41"/>
      <c r="AC9" s="43"/>
      <c r="AD9" s="44"/>
      <c r="AE9" s="44"/>
      <c r="AF9" s="44"/>
      <c r="AG9" s="44"/>
      <c r="AH9" s="28"/>
      <c r="AI9" s="44"/>
      <c r="AJ9" s="44"/>
      <c r="AK9" s="44"/>
      <c r="AL9" s="44"/>
      <c r="AM9" s="28"/>
      <c r="AN9" s="45"/>
      <c r="AO9" s="28"/>
      <c r="AP9" s="28"/>
    </row>
    <row r="10" spans="1:42" ht="21" customHeight="1" x14ac:dyDescent="0.2">
      <c r="A10" s="25"/>
      <c r="B10" s="36">
        <v>1</v>
      </c>
      <c r="C10" s="46" t="s">
        <v>106</v>
      </c>
      <c r="D10" s="36">
        <v>6</v>
      </c>
      <c r="E10" s="47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4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48"/>
      <c r="AC10" s="49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48"/>
      <c r="AO10" s="28"/>
      <c r="AP10" s="28"/>
    </row>
    <row r="11" spans="1:42" ht="9.9499999999999993" customHeight="1" x14ac:dyDescent="0.2">
      <c r="A11" s="25"/>
      <c r="B11" s="50"/>
      <c r="C11" s="51"/>
      <c r="D11" s="50"/>
      <c r="E11" s="47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4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48"/>
      <c r="AC11" s="49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48"/>
      <c r="AO11" s="28"/>
      <c r="AP11" s="28"/>
    </row>
    <row r="12" spans="1:42" ht="21" customHeight="1" x14ac:dyDescent="0.2">
      <c r="A12" s="25"/>
      <c r="B12" s="50" t="s">
        <v>107</v>
      </c>
      <c r="C12" s="51" t="s">
        <v>108</v>
      </c>
      <c r="D12" s="50"/>
      <c r="E12" s="47"/>
      <c r="G12" s="28"/>
      <c r="H12" s="28"/>
      <c r="I12" s="28"/>
      <c r="J12" s="28"/>
      <c r="K12" s="52"/>
      <c r="L12" s="52"/>
      <c r="M12" s="52"/>
      <c r="N12" s="52"/>
      <c r="O12" s="52"/>
      <c r="P12" s="52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48"/>
      <c r="AC12" s="49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48"/>
      <c r="AO12" s="28"/>
      <c r="AP12" s="28"/>
    </row>
    <row r="13" spans="1:42" ht="9.9499999999999993" customHeight="1" x14ac:dyDescent="0.2">
      <c r="A13" s="25"/>
      <c r="B13" s="50"/>
      <c r="C13" s="51"/>
      <c r="D13" s="50"/>
      <c r="E13" s="4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4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48"/>
      <c r="AC13" s="49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48"/>
      <c r="AO13" s="28"/>
      <c r="AP13" s="28"/>
    </row>
    <row r="14" spans="1:42" ht="21" customHeight="1" x14ac:dyDescent="0.2">
      <c r="A14" s="25"/>
      <c r="B14" s="50" t="s">
        <v>109</v>
      </c>
      <c r="C14" s="51" t="s">
        <v>110</v>
      </c>
      <c r="D14" s="50"/>
      <c r="E14" s="47"/>
      <c r="G14" s="28"/>
      <c r="H14" s="28"/>
      <c r="I14" s="28"/>
      <c r="J14" s="28"/>
      <c r="K14" s="28"/>
      <c r="L14" s="28"/>
      <c r="M14" s="53"/>
      <c r="N14" s="53"/>
      <c r="O14" s="53"/>
      <c r="P14" s="53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48"/>
      <c r="AC14" s="49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48"/>
      <c r="AO14" s="28"/>
      <c r="AP14" s="28"/>
    </row>
    <row r="15" spans="1:42" ht="9.9499999999999993" customHeight="1" x14ac:dyDescent="0.2">
      <c r="A15" s="25"/>
      <c r="B15" s="50"/>
      <c r="C15" s="51"/>
      <c r="D15" s="50"/>
      <c r="E15" s="47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4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48"/>
      <c r="AC15" s="49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48"/>
      <c r="AO15" s="28"/>
      <c r="AP15" s="28"/>
    </row>
    <row r="16" spans="1:42" ht="21" customHeight="1" x14ac:dyDescent="0.2">
      <c r="A16" s="25"/>
      <c r="B16" s="36">
        <v>2</v>
      </c>
      <c r="C16" s="46" t="s">
        <v>111</v>
      </c>
      <c r="D16" s="36">
        <v>6</v>
      </c>
      <c r="E16" s="47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4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48"/>
      <c r="AC16" s="49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48"/>
      <c r="AO16" s="28"/>
      <c r="AP16" s="28"/>
    </row>
    <row r="17" spans="1:42" ht="9.9499999999999993" customHeight="1" x14ac:dyDescent="0.2">
      <c r="A17" s="25"/>
      <c r="B17" s="50"/>
      <c r="C17" s="51"/>
      <c r="D17" s="50"/>
      <c r="E17" s="47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4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48"/>
      <c r="AC17" s="49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48"/>
      <c r="AO17" s="28"/>
      <c r="AP17" s="28"/>
    </row>
    <row r="18" spans="1:42" ht="21" customHeight="1" x14ac:dyDescent="0.2">
      <c r="A18" s="25"/>
      <c r="B18" s="50" t="s">
        <v>112</v>
      </c>
      <c r="C18" s="51" t="s">
        <v>115</v>
      </c>
      <c r="D18" s="50"/>
      <c r="E18" s="47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48"/>
      <c r="Q18" s="53"/>
      <c r="R18" s="53"/>
      <c r="S18" s="53"/>
      <c r="T18" s="53"/>
      <c r="U18" s="53"/>
      <c r="V18" s="28"/>
      <c r="W18" s="28"/>
      <c r="X18" s="28"/>
      <c r="Y18" s="28"/>
      <c r="Z18" s="28"/>
      <c r="AA18" s="28"/>
      <c r="AB18" s="48"/>
      <c r="AC18" s="49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48"/>
      <c r="AO18" s="28"/>
      <c r="AP18" s="28"/>
    </row>
    <row r="19" spans="1:42" ht="9.9499999999999993" customHeight="1" x14ac:dyDescent="0.2">
      <c r="A19" s="25"/>
      <c r="B19" s="50"/>
      <c r="C19" s="51"/>
      <c r="D19" s="50"/>
      <c r="E19" s="47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4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48"/>
      <c r="AC19" s="49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48"/>
      <c r="AO19" s="28"/>
      <c r="AP19" s="28"/>
    </row>
    <row r="20" spans="1:42" ht="21" customHeight="1" x14ac:dyDescent="0.2">
      <c r="A20" s="25"/>
      <c r="B20" s="50" t="s">
        <v>288</v>
      </c>
      <c r="C20" s="51" t="s">
        <v>29</v>
      </c>
      <c r="D20" s="50"/>
      <c r="E20" s="47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48"/>
      <c r="Q20" s="28"/>
      <c r="R20" s="28"/>
      <c r="S20" s="28"/>
      <c r="T20" s="53"/>
      <c r="U20" s="53"/>
      <c r="W20" s="28"/>
      <c r="X20" s="28"/>
      <c r="Y20" s="28"/>
      <c r="Z20" s="28"/>
      <c r="AA20" s="28"/>
      <c r="AB20" s="48"/>
      <c r="AC20" s="49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48"/>
      <c r="AO20" s="28"/>
      <c r="AP20" s="28"/>
    </row>
    <row r="21" spans="1:42" ht="9.9499999999999993" customHeight="1" x14ac:dyDescent="0.2">
      <c r="A21" s="25"/>
      <c r="B21" s="50"/>
      <c r="C21" s="51"/>
      <c r="D21" s="50"/>
      <c r="E21" s="47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4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48"/>
      <c r="AC21" s="49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48"/>
      <c r="AO21" s="28"/>
      <c r="AP21" s="28"/>
    </row>
    <row r="22" spans="1:42" ht="21" customHeight="1" x14ac:dyDescent="0.2">
      <c r="A22" s="25"/>
      <c r="B22" s="50" t="s">
        <v>289</v>
      </c>
      <c r="C22" s="51" t="s">
        <v>117</v>
      </c>
      <c r="D22" s="50"/>
      <c r="E22" s="47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48"/>
      <c r="Q22" s="28"/>
      <c r="R22" s="28"/>
      <c r="S22" s="28"/>
      <c r="T22" s="28"/>
      <c r="V22" s="53"/>
      <c r="W22" s="28"/>
      <c r="X22" s="28"/>
      <c r="Y22" s="28"/>
      <c r="Z22" s="28"/>
      <c r="AA22" s="28"/>
      <c r="AB22" s="48"/>
      <c r="AC22" s="49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48"/>
      <c r="AO22" s="28"/>
      <c r="AP22" s="28"/>
    </row>
    <row r="23" spans="1:42" ht="9.9499999999999993" customHeight="1" x14ac:dyDescent="0.2">
      <c r="A23" s="25"/>
      <c r="B23" s="50"/>
      <c r="C23" s="51"/>
      <c r="D23" s="50"/>
      <c r="E23" s="47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4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48"/>
      <c r="AC23" s="49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48"/>
      <c r="AO23" s="28"/>
      <c r="AP23" s="28"/>
    </row>
    <row r="24" spans="1:42" ht="21" customHeight="1" x14ac:dyDescent="0.2">
      <c r="A24" s="25"/>
      <c r="B24" s="36">
        <v>3</v>
      </c>
      <c r="C24" s="46" t="s">
        <v>118</v>
      </c>
      <c r="D24" s="36">
        <v>6</v>
      </c>
      <c r="E24" s="47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4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48"/>
      <c r="AC24" s="49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48"/>
      <c r="AO24" s="28"/>
      <c r="AP24" s="28"/>
    </row>
    <row r="25" spans="1:42" ht="9.9499999999999993" customHeight="1" x14ac:dyDescent="0.2">
      <c r="A25" s="25"/>
      <c r="B25" s="50"/>
      <c r="C25" s="51"/>
      <c r="D25" s="50"/>
      <c r="E25" s="47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4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48"/>
      <c r="AC25" s="49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48"/>
      <c r="AO25" s="28"/>
      <c r="AP25" s="28"/>
    </row>
    <row r="26" spans="1:42" ht="21" customHeight="1" x14ac:dyDescent="0.2">
      <c r="A26" s="25"/>
      <c r="B26" s="50" t="s">
        <v>119</v>
      </c>
      <c r="C26" s="51" t="s">
        <v>120</v>
      </c>
      <c r="D26" s="50"/>
      <c r="E26" s="47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48"/>
      <c r="Q26" s="28"/>
      <c r="R26" s="28"/>
      <c r="S26" s="28"/>
      <c r="T26" s="28"/>
      <c r="U26" s="53"/>
      <c r="V26" s="28"/>
      <c r="W26" s="28"/>
      <c r="X26" s="28"/>
      <c r="Y26" s="28"/>
      <c r="Z26" s="28"/>
      <c r="AA26" s="28"/>
      <c r="AB26" s="48"/>
      <c r="AC26" s="49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48"/>
      <c r="AO26" s="28"/>
      <c r="AP26" s="28"/>
    </row>
    <row r="27" spans="1:42" ht="9.9499999999999993" customHeight="1" x14ac:dyDescent="0.2">
      <c r="A27" s="25"/>
      <c r="B27" s="50"/>
      <c r="C27" s="51"/>
      <c r="D27" s="50"/>
      <c r="E27" s="47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4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48"/>
      <c r="AC27" s="49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48"/>
      <c r="AO27" s="28"/>
      <c r="AP27" s="28"/>
    </row>
    <row r="28" spans="1:42" ht="21" customHeight="1" x14ac:dyDescent="0.2">
      <c r="A28" s="25"/>
      <c r="B28" s="50" t="s">
        <v>114</v>
      </c>
      <c r="C28" s="51" t="s">
        <v>121</v>
      </c>
      <c r="D28" s="50"/>
      <c r="E28" s="47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48"/>
      <c r="Q28" s="28"/>
      <c r="R28" s="28"/>
      <c r="S28" s="28"/>
      <c r="U28" s="53"/>
      <c r="V28" s="53"/>
      <c r="W28" s="53"/>
      <c r="X28" s="28"/>
      <c r="Y28" s="28"/>
      <c r="Z28" s="28"/>
      <c r="AA28" s="28"/>
      <c r="AB28" s="48"/>
      <c r="AC28" s="49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48"/>
      <c r="AO28" s="28"/>
      <c r="AP28" s="28"/>
    </row>
    <row r="29" spans="1:42" ht="9.9499999999999993" customHeight="1" x14ac:dyDescent="0.2">
      <c r="A29" s="25"/>
      <c r="B29" s="50"/>
      <c r="C29" s="51"/>
      <c r="D29" s="50"/>
      <c r="E29" s="47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4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48"/>
      <c r="AC29" s="49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48"/>
      <c r="AO29" s="28"/>
      <c r="AP29" s="28"/>
    </row>
    <row r="30" spans="1:42" ht="21" customHeight="1" x14ac:dyDescent="0.2">
      <c r="A30" s="25"/>
      <c r="B30" s="50" t="s">
        <v>116</v>
      </c>
      <c r="C30" s="51" t="s">
        <v>122</v>
      </c>
      <c r="D30" s="50"/>
      <c r="E30" s="47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48"/>
      <c r="Q30" s="28"/>
      <c r="R30" s="28"/>
      <c r="S30" s="28"/>
      <c r="T30" s="28"/>
      <c r="U30" s="28"/>
      <c r="V30" s="53"/>
      <c r="W30" s="53"/>
      <c r="X30" s="53"/>
      <c r="Y30" s="28"/>
      <c r="Z30" s="28"/>
      <c r="AA30" s="28"/>
      <c r="AB30" s="48"/>
      <c r="AC30" s="49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48"/>
      <c r="AO30" s="28"/>
      <c r="AP30" s="28"/>
    </row>
    <row r="31" spans="1:42" ht="9.9499999999999993" customHeight="1" x14ac:dyDescent="0.2">
      <c r="A31" s="25"/>
      <c r="B31" s="50"/>
      <c r="C31" s="51"/>
      <c r="D31" s="50"/>
      <c r="E31" s="47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4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48"/>
      <c r="AC31" s="49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48"/>
      <c r="AO31" s="28"/>
      <c r="AP31" s="28"/>
    </row>
    <row r="32" spans="1:42" ht="21" customHeight="1" x14ac:dyDescent="0.2">
      <c r="A32" s="25"/>
      <c r="B32" s="50" t="s">
        <v>123</v>
      </c>
      <c r="C32" s="51" t="s">
        <v>124</v>
      </c>
      <c r="D32" s="50"/>
      <c r="E32" s="47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48"/>
      <c r="Q32" s="28"/>
      <c r="R32" s="28"/>
      <c r="S32" s="28"/>
      <c r="T32" s="28"/>
      <c r="U32" s="28"/>
      <c r="W32" s="28"/>
      <c r="X32" s="53"/>
      <c r="Y32" s="53"/>
      <c r="Z32" s="28"/>
      <c r="AA32" s="28"/>
      <c r="AB32" s="48"/>
      <c r="AC32" s="49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48"/>
      <c r="AO32" s="28"/>
      <c r="AP32" s="28"/>
    </row>
    <row r="33" spans="1:42" ht="9.9499999999999993" customHeight="1" x14ac:dyDescent="0.2">
      <c r="A33" s="25"/>
      <c r="B33" s="50"/>
      <c r="C33" s="51"/>
      <c r="D33" s="50"/>
      <c r="E33" s="47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4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48"/>
      <c r="AC33" s="49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48"/>
      <c r="AO33" s="28"/>
      <c r="AP33" s="28"/>
    </row>
    <row r="34" spans="1:42" ht="21" customHeight="1" x14ac:dyDescent="0.2">
      <c r="A34" s="25"/>
      <c r="B34" s="50" t="s">
        <v>125</v>
      </c>
      <c r="C34" s="51" t="s">
        <v>126</v>
      </c>
      <c r="D34" s="50"/>
      <c r="E34" s="47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48"/>
      <c r="Q34" s="28"/>
      <c r="R34" s="28"/>
      <c r="S34" s="28"/>
      <c r="T34" s="28"/>
      <c r="U34" s="28"/>
      <c r="W34" s="28"/>
      <c r="Y34" s="53"/>
      <c r="Z34" s="28"/>
      <c r="AA34" s="28"/>
      <c r="AB34" s="48"/>
      <c r="AC34" s="49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48"/>
      <c r="AO34" s="28"/>
      <c r="AP34" s="28"/>
    </row>
    <row r="35" spans="1:42" ht="9.9499999999999993" customHeight="1" x14ac:dyDescent="0.2">
      <c r="A35" s="25"/>
      <c r="B35" s="50"/>
      <c r="C35" s="51"/>
      <c r="D35" s="50"/>
      <c r="E35" s="47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4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48"/>
      <c r="AC35" s="49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48"/>
      <c r="AO35" s="28"/>
      <c r="AP35" s="28"/>
    </row>
    <row r="36" spans="1:42" ht="21" customHeight="1" x14ac:dyDescent="0.2">
      <c r="A36" s="25"/>
      <c r="B36" s="50" t="s">
        <v>127</v>
      </c>
      <c r="C36" s="51" t="s">
        <v>128</v>
      </c>
      <c r="D36" s="50"/>
      <c r="E36" s="47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48"/>
      <c r="Q36" s="28"/>
      <c r="R36" s="28"/>
      <c r="S36" s="28"/>
      <c r="T36" s="28"/>
      <c r="U36" s="28"/>
      <c r="V36" s="28"/>
      <c r="W36" s="53"/>
      <c r="X36" s="53"/>
      <c r="Y36" s="53"/>
      <c r="AA36" s="28"/>
      <c r="AB36" s="48"/>
      <c r="AC36" s="49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48"/>
      <c r="AO36" s="28"/>
      <c r="AP36" s="28"/>
    </row>
    <row r="37" spans="1:42" ht="9.9499999999999993" customHeight="1" x14ac:dyDescent="0.2">
      <c r="A37" s="25"/>
      <c r="B37" s="50"/>
      <c r="C37" s="51"/>
      <c r="D37" s="50"/>
      <c r="E37" s="47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4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48"/>
      <c r="AC37" s="49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48"/>
      <c r="AO37" s="28"/>
      <c r="AP37" s="28"/>
    </row>
    <row r="38" spans="1:42" ht="21" customHeight="1" x14ac:dyDescent="0.2">
      <c r="A38" s="25"/>
      <c r="B38" s="50" t="s">
        <v>129</v>
      </c>
      <c r="C38" s="51" t="s">
        <v>130</v>
      </c>
      <c r="D38" s="50"/>
      <c r="E38" s="54"/>
      <c r="F38" s="54"/>
      <c r="G38" s="54"/>
      <c r="H38" s="54"/>
      <c r="I38" s="54"/>
      <c r="K38" s="28"/>
      <c r="M38" s="28"/>
      <c r="O38" s="28"/>
      <c r="P38" s="48"/>
      <c r="Q38" s="54"/>
      <c r="R38" s="54"/>
      <c r="S38" s="54"/>
      <c r="T38" s="28"/>
      <c r="U38" s="28"/>
      <c r="V38" s="28"/>
      <c r="W38" s="54"/>
      <c r="X38" s="54"/>
      <c r="Y38" s="53"/>
      <c r="Z38" s="53"/>
      <c r="AB38" s="48"/>
      <c r="AC38" s="49"/>
      <c r="AD38" s="54"/>
      <c r="AE38" s="54"/>
      <c r="AF38" s="54"/>
      <c r="AG38" s="54"/>
      <c r="AH38" s="28"/>
      <c r="AI38" s="54"/>
      <c r="AJ38" s="54"/>
      <c r="AK38" s="28"/>
      <c r="AL38" s="54"/>
      <c r="AM38" s="54"/>
      <c r="AN38" s="55"/>
      <c r="AO38" s="28"/>
      <c r="AP38" s="28"/>
    </row>
    <row r="39" spans="1:42" ht="9.9499999999999993" customHeight="1" x14ac:dyDescent="0.2">
      <c r="A39" s="25"/>
      <c r="B39" s="50"/>
      <c r="C39" s="51"/>
      <c r="D39" s="50"/>
      <c r="E39" s="47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4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54"/>
      <c r="AB39" s="48"/>
      <c r="AC39" s="49"/>
      <c r="AD39" s="28"/>
      <c r="AE39" s="28"/>
      <c r="AF39" s="28"/>
      <c r="AG39" s="28"/>
      <c r="AH39" s="28"/>
      <c r="AI39" s="28"/>
      <c r="AJ39" s="28"/>
      <c r="AK39" s="28"/>
      <c r="AL39" s="54"/>
      <c r="AM39" s="28"/>
      <c r="AN39" s="48"/>
      <c r="AO39" s="28"/>
      <c r="AP39" s="28"/>
    </row>
    <row r="40" spans="1:42" ht="21" customHeight="1" outlineLevel="1" x14ac:dyDescent="0.2">
      <c r="A40" s="25"/>
      <c r="B40" s="36">
        <v>4</v>
      </c>
      <c r="C40" s="46" t="s">
        <v>131</v>
      </c>
      <c r="D40" s="36">
        <v>3</v>
      </c>
      <c r="E40" s="47"/>
      <c r="F40" s="28"/>
      <c r="G40" s="28"/>
      <c r="H40" s="28"/>
      <c r="I40" s="54"/>
      <c r="J40" s="28"/>
      <c r="K40" s="28"/>
      <c r="L40" s="28"/>
      <c r="M40" s="28"/>
      <c r="N40" s="28"/>
      <c r="O40" s="54"/>
      <c r="P40" s="48"/>
      <c r="Q40" s="54"/>
      <c r="R40" s="28"/>
      <c r="S40" s="54"/>
      <c r="T40" s="54"/>
      <c r="U40" s="54"/>
      <c r="V40" s="54"/>
      <c r="W40" s="54"/>
      <c r="X40" s="54"/>
      <c r="Y40" s="28"/>
      <c r="Z40" s="54"/>
      <c r="AA40" s="54"/>
      <c r="AB40" s="48"/>
      <c r="AC40" s="49"/>
      <c r="AD40" s="54"/>
      <c r="AE40" s="54"/>
      <c r="AF40" s="54"/>
      <c r="AG40" s="54"/>
      <c r="AH40" s="28"/>
      <c r="AI40" s="54"/>
      <c r="AJ40" s="54"/>
      <c r="AK40" s="28"/>
      <c r="AL40" s="54"/>
      <c r="AM40" s="54"/>
      <c r="AN40" s="55"/>
      <c r="AO40" s="28"/>
      <c r="AP40" s="28"/>
    </row>
    <row r="41" spans="1:42" ht="9.9499999999999993" customHeight="1" outlineLevel="1" x14ac:dyDescent="0.2">
      <c r="A41" s="25"/>
      <c r="B41" s="50"/>
      <c r="C41" s="51"/>
      <c r="D41" s="50"/>
      <c r="E41" s="47"/>
      <c r="F41" s="28"/>
      <c r="G41" s="28"/>
      <c r="H41" s="28"/>
      <c r="I41" s="28"/>
      <c r="J41" s="28"/>
      <c r="K41" s="28"/>
      <c r="L41" s="28"/>
      <c r="M41" s="28"/>
      <c r="N41" s="28"/>
      <c r="O41" s="54"/>
      <c r="P41" s="4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54"/>
      <c r="AB41" s="48"/>
      <c r="AC41" s="49"/>
      <c r="AD41" s="28"/>
      <c r="AE41" s="28"/>
      <c r="AF41" s="28"/>
      <c r="AG41" s="28"/>
      <c r="AH41" s="28"/>
      <c r="AI41" s="28"/>
      <c r="AJ41" s="28"/>
      <c r="AK41" s="28"/>
      <c r="AL41" s="54"/>
      <c r="AM41" s="28"/>
      <c r="AN41" s="48"/>
      <c r="AO41" s="28"/>
      <c r="AP41" s="28"/>
    </row>
    <row r="42" spans="1:42" ht="21" customHeight="1" outlineLevel="1" x14ac:dyDescent="0.2">
      <c r="A42" s="25"/>
      <c r="B42" s="50" t="s">
        <v>132</v>
      </c>
      <c r="C42" s="51" t="s">
        <v>133</v>
      </c>
      <c r="D42" s="50"/>
      <c r="E42" s="47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48"/>
      <c r="Q42" s="28"/>
      <c r="R42" s="28"/>
      <c r="S42" s="28"/>
      <c r="T42" s="28"/>
      <c r="U42" s="28"/>
      <c r="V42" s="54"/>
      <c r="W42" s="28"/>
      <c r="X42" s="28"/>
      <c r="Y42" s="28"/>
      <c r="Z42" s="56"/>
      <c r="AA42" s="54"/>
      <c r="AB42" s="48"/>
      <c r="AC42" s="28"/>
      <c r="AD42" s="28"/>
      <c r="AE42" s="28"/>
      <c r="AF42" s="28"/>
      <c r="AG42" s="28"/>
      <c r="AH42" s="28"/>
      <c r="AI42" s="28"/>
      <c r="AJ42" s="28"/>
      <c r="AK42" s="54"/>
      <c r="AL42" s="54"/>
      <c r="AM42" s="28"/>
      <c r="AN42" s="48"/>
      <c r="AO42" s="28"/>
      <c r="AP42" s="28"/>
    </row>
    <row r="43" spans="1:42" ht="9.9499999999999993" customHeight="1" outlineLevel="1" x14ac:dyDescent="0.2">
      <c r="A43" s="25"/>
      <c r="B43" s="50"/>
      <c r="C43" s="51"/>
      <c r="D43" s="50"/>
      <c r="E43" s="47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48"/>
      <c r="Q43" s="28"/>
      <c r="R43" s="28"/>
      <c r="S43" s="28"/>
      <c r="T43" s="28"/>
      <c r="U43" s="28"/>
      <c r="V43" s="54"/>
      <c r="W43" s="28"/>
      <c r="X43" s="28"/>
      <c r="Y43" s="28"/>
      <c r="Z43" s="28"/>
      <c r="AA43" s="54"/>
      <c r="AB43" s="48"/>
      <c r="AC43" s="28"/>
      <c r="AD43" s="28"/>
      <c r="AE43" s="28"/>
      <c r="AF43" s="28"/>
      <c r="AG43" s="28"/>
      <c r="AH43" s="28"/>
      <c r="AI43" s="28"/>
      <c r="AJ43" s="28"/>
      <c r="AK43" s="54"/>
      <c r="AL43" s="54"/>
      <c r="AM43" s="28"/>
      <c r="AN43" s="48"/>
      <c r="AO43" s="28"/>
      <c r="AP43" s="28"/>
    </row>
    <row r="44" spans="1:42" ht="21" customHeight="1" outlineLevel="1" x14ac:dyDescent="0.2">
      <c r="A44" s="25"/>
      <c r="B44" s="50" t="s">
        <v>134</v>
      </c>
      <c r="C44" s="51" t="s">
        <v>135</v>
      </c>
      <c r="D44" s="50"/>
      <c r="E44" s="47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48"/>
      <c r="Q44" s="28"/>
      <c r="R44" s="28"/>
      <c r="S44" s="28"/>
      <c r="T44" s="28"/>
      <c r="U44" s="28"/>
      <c r="V44" s="54"/>
      <c r="W44" s="28"/>
      <c r="X44" s="28"/>
      <c r="Y44" s="28"/>
      <c r="Z44" s="28"/>
      <c r="AA44" s="56"/>
      <c r="AB44" s="56"/>
      <c r="AC44" s="56"/>
      <c r="AD44" s="28"/>
      <c r="AE44" s="28"/>
      <c r="AF44" s="28"/>
      <c r="AG44" s="28"/>
      <c r="AH44" s="28"/>
      <c r="AI44" s="28"/>
      <c r="AJ44" s="28"/>
      <c r="AK44" s="54"/>
      <c r="AL44" s="54"/>
      <c r="AM44" s="28"/>
      <c r="AN44" s="48"/>
      <c r="AO44" s="28"/>
      <c r="AP44" s="28"/>
    </row>
    <row r="45" spans="1:42" ht="9.9499999999999993" customHeight="1" outlineLevel="1" x14ac:dyDescent="0.2">
      <c r="A45" s="25"/>
      <c r="B45" s="50"/>
      <c r="C45" s="51"/>
      <c r="D45" s="50"/>
      <c r="E45" s="47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48"/>
      <c r="Q45" s="28"/>
      <c r="R45" s="28"/>
      <c r="S45" s="28"/>
      <c r="T45" s="28"/>
      <c r="U45" s="28"/>
      <c r="V45" s="54"/>
      <c r="W45" s="28"/>
      <c r="X45" s="28"/>
      <c r="Y45" s="28"/>
      <c r="Z45" s="28"/>
      <c r="AA45" s="28"/>
      <c r="AB45" s="48"/>
      <c r="AC45" s="54"/>
      <c r="AD45" s="28"/>
      <c r="AE45" s="28"/>
      <c r="AF45" s="28"/>
      <c r="AG45" s="28"/>
      <c r="AH45" s="28"/>
      <c r="AI45" s="28"/>
      <c r="AJ45" s="28"/>
      <c r="AK45" s="54"/>
      <c r="AL45" s="54"/>
      <c r="AM45" s="28"/>
      <c r="AN45" s="48"/>
      <c r="AO45" s="28"/>
      <c r="AP45" s="28"/>
    </row>
    <row r="46" spans="1:42" ht="21" customHeight="1" outlineLevel="1" x14ac:dyDescent="0.2">
      <c r="A46" s="25"/>
      <c r="B46" s="50" t="s">
        <v>136</v>
      </c>
      <c r="C46" s="51" t="s">
        <v>137</v>
      </c>
      <c r="D46" s="50"/>
      <c r="E46" s="47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48"/>
      <c r="Q46" s="28"/>
      <c r="R46" s="28"/>
      <c r="S46" s="28"/>
      <c r="T46" s="28"/>
      <c r="U46" s="28"/>
      <c r="V46" s="54"/>
      <c r="W46" s="28"/>
      <c r="X46" s="28"/>
      <c r="Y46" s="28"/>
      <c r="Z46" s="28"/>
      <c r="AA46" s="28"/>
      <c r="AB46" s="48"/>
      <c r="AC46" s="53"/>
      <c r="AE46" s="28"/>
      <c r="AF46" s="28"/>
      <c r="AG46" s="28"/>
      <c r="AH46" s="28"/>
      <c r="AI46" s="28"/>
      <c r="AJ46" s="28"/>
      <c r="AK46" s="54"/>
      <c r="AL46" s="54"/>
      <c r="AM46" s="28"/>
      <c r="AN46" s="48"/>
      <c r="AO46" s="28"/>
      <c r="AP46" s="28"/>
    </row>
    <row r="47" spans="1:42" ht="9.9499999999999993" customHeight="1" outlineLevel="1" x14ac:dyDescent="0.2">
      <c r="A47" s="25"/>
      <c r="B47" s="50"/>
      <c r="C47" s="51"/>
      <c r="D47" s="50"/>
      <c r="E47" s="47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48"/>
      <c r="Q47" s="28"/>
      <c r="R47" s="28"/>
      <c r="S47" s="28"/>
      <c r="T47" s="28"/>
      <c r="U47" s="28"/>
      <c r="V47" s="54"/>
      <c r="W47" s="28"/>
      <c r="X47" s="28"/>
      <c r="Y47" s="28"/>
      <c r="Z47" s="28"/>
      <c r="AA47" s="28"/>
      <c r="AB47" s="48"/>
      <c r="AC47" s="54"/>
      <c r="AD47" s="28"/>
      <c r="AE47" s="28"/>
      <c r="AF47" s="28"/>
      <c r="AG47" s="28"/>
      <c r="AH47" s="28"/>
      <c r="AI47" s="28"/>
      <c r="AJ47" s="28"/>
      <c r="AK47" s="54"/>
      <c r="AL47" s="54"/>
      <c r="AM47" s="28"/>
      <c r="AN47" s="48"/>
      <c r="AO47" s="28"/>
      <c r="AP47" s="28"/>
    </row>
    <row r="48" spans="1:42" ht="21" customHeight="1" outlineLevel="1" x14ac:dyDescent="0.2">
      <c r="A48" s="25"/>
      <c r="B48" s="36">
        <v>5</v>
      </c>
      <c r="C48" s="46" t="s">
        <v>138</v>
      </c>
      <c r="D48" s="36">
        <v>4</v>
      </c>
      <c r="E48" s="47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48"/>
      <c r="Q48" s="28"/>
      <c r="R48" s="28"/>
      <c r="S48" s="28"/>
      <c r="T48" s="28"/>
      <c r="U48" s="54"/>
      <c r="V48" s="54"/>
      <c r="W48" s="28"/>
      <c r="X48" s="28"/>
      <c r="Y48" s="28"/>
      <c r="Z48" s="28"/>
      <c r="AA48" s="28"/>
      <c r="AB48" s="48"/>
      <c r="AC48" s="28"/>
      <c r="AD48" s="28"/>
      <c r="AE48" s="28"/>
      <c r="AF48" s="28"/>
      <c r="AG48" s="28"/>
      <c r="AH48" s="28"/>
      <c r="AI48" s="28"/>
      <c r="AJ48" s="28"/>
      <c r="AK48" s="54"/>
      <c r="AL48" s="54"/>
      <c r="AM48" s="28"/>
      <c r="AN48" s="48"/>
      <c r="AO48" s="28"/>
      <c r="AP48" s="28"/>
    </row>
    <row r="49" spans="1:42" ht="9.9499999999999993" customHeight="1" outlineLevel="1" x14ac:dyDescent="0.2">
      <c r="A49" s="25"/>
      <c r="B49" s="50"/>
      <c r="C49" s="51"/>
      <c r="D49" s="50"/>
      <c r="E49" s="47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48"/>
      <c r="Q49" s="28"/>
      <c r="R49" s="28"/>
      <c r="S49" s="28"/>
      <c r="T49" s="28"/>
      <c r="U49" s="54"/>
      <c r="V49" s="54"/>
      <c r="W49" s="28"/>
      <c r="X49" s="28"/>
      <c r="Y49" s="28"/>
      <c r="Z49" s="28"/>
      <c r="AA49" s="28"/>
      <c r="AB49" s="48"/>
      <c r="AC49" s="28"/>
      <c r="AD49" s="28"/>
      <c r="AE49" s="28"/>
      <c r="AF49" s="28"/>
      <c r="AG49" s="28"/>
      <c r="AH49" s="28"/>
      <c r="AI49" s="28"/>
      <c r="AJ49" s="28"/>
      <c r="AK49" s="54"/>
      <c r="AL49" s="54"/>
      <c r="AM49" s="28"/>
      <c r="AN49" s="48"/>
      <c r="AO49" s="28"/>
      <c r="AP49" s="28"/>
    </row>
    <row r="50" spans="1:42" ht="21" customHeight="1" outlineLevel="1" x14ac:dyDescent="0.2">
      <c r="A50" s="25"/>
      <c r="B50" s="50" t="s">
        <v>139</v>
      </c>
      <c r="C50" s="51" t="s">
        <v>140</v>
      </c>
      <c r="D50" s="50"/>
      <c r="E50" s="47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4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48"/>
      <c r="AC50" s="28"/>
      <c r="AD50" s="57"/>
      <c r="AE50" s="57"/>
      <c r="AF50" s="57"/>
      <c r="AH50" s="28"/>
      <c r="AI50" s="28"/>
      <c r="AJ50" s="28"/>
      <c r="AK50" s="54"/>
      <c r="AL50" s="54"/>
      <c r="AM50" s="28"/>
      <c r="AN50" s="48"/>
      <c r="AO50" s="28"/>
      <c r="AP50" s="28"/>
    </row>
    <row r="51" spans="1:42" ht="9.9499999999999993" customHeight="1" outlineLevel="1" x14ac:dyDescent="0.2">
      <c r="A51" s="25"/>
      <c r="B51" s="50"/>
      <c r="C51" s="51"/>
      <c r="D51" s="50"/>
      <c r="E51" s="47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4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48"/>
      <c r="AC51" s="28"/>
      <c r="AD51" s="28"/>
      <c r="AE51" s="28"/>
      <c r="AF51" s="28"/>
      <c r="AG51" s="54"/>
      <c r="AH51" s="28"/>
      <c r="AI51" s="28"/>
      <c r="AJ51" s="28"/>
      <c r="AK51" s="54"/>
      <c r="AL51" s="54"/>
      <c r="AM51" s="28"/>
      <c r="AN51" s="48"/>
      <c r="AO51" s="28"/>
      <c r="AP51" s="28"/>
    </row>
    <row r="52" spans="1:42" ht="21" customHeight="1" outlineLevel="1" x14ac:dyDescent="0.2">
      <c r="A52" s="25"/>
      <c r="B52" s="50" t="s">
        <v>141</v>
      </c>
      <c r="C52" s="51" t="s">
        <v>142</v>
      </c>
      <c r="D52" s="50"/>
      <c r="E52" s="47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4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48"/>
      <c r="AC52" s="28"/>
      <c r="AD52" s="28"/>
      <c r="AE52" s="28"/>
      <c r="AF52" s="28"/>
      <c r="AG52" s="57"/>
      <c r="AH52" s="28"/>
      <c r="AI52" s="28"/>
      <c r="AJ52" s="28"/>
      <c r="AK52" s="54"/>
      <c r="AL52" s="54"/>
      <c r="AM52" s="28"/>
      <c r="AN52" s="48"/>
      <c r="AO52" s="28"/>
      <c r="AP52" s="28"/>
    </row>
    <row r="53" spans="1:42" ht="9.9499999999999993" customHeight="1" outlineLevel="1" x14ac:dyDescent="0.2">
      <c r="A53" s="25"/>
      <c r="B53" s="50"/>
      <c r="C53" s="51"/>
      <c r="D53" s="50"/>
      <c r="E53" s="47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4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48"/>
      <c r="AC53" s="28"/>
      <c r="AD53" s="28"/>
      <c r="AE53" s="28"/>
      <c r="AF53" s="28"/>
      <c r="AG53" s="28"/>
      <c r="AH53" s="28"/>
      <c r="AI53" s="28"/>
      <c r="AJ53" s="28"/>
      <c r="AK53" s="54"/>
      <c r="AL53" s="54"/>
      <c r="AM53" s="28"/>
      <c r="AN53" s="48"/>
      <c r="AO53" s="28"/>
      <c r="AP53" s="28"/>
    </row>
    <row r="54" spans="1:42" ht="21" customHeight="1" outlineLevel="1" x14ac:dyDescent="0.2">
      <c r="A54" s="25"/>
      <c r="B54" s="50" t="s">
        <v>143</v>
      </c>
      <c r="C54" s="51" t="s">
        <v>144</v>
      </c>
      <c r="D54" s="50"/>
      <c r="E54" s="47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4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48"/>
      <c r="AC54" s="28"/>
      <c r="AD54" s="28"/>
      <c r="AE54" s="28"/>
      <c r="AF54" s="28"/>
      <c r="AH54" s="53"/>
      <c r="AI54" s="28"/>
      <c r="AJ54" s="28"/>
      <c r="AK54" s="54"/>
      <c r="AL54" s="54"/>
      <c r="AM54" s="28"/>
      <c r="AN54" s="48"/>
      <c r="AO54" s="28"/>
      <c r="AP54" s="28"/>
    </row>
    <row r="55" spans="1:42" ht="9.9499999999999993" customHeight="1" outlineLevel="1" x14ac:dyDescent="0.2">
      <c r="A55" s="25"/>
      <c r="B55" s="50"/>
      <c r="C55" s="51"/>
      <c r="D55" s="50"/>
      <c r="E55" s="47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4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48"/>
      <c r="AC55" s="28"/>
      <c r="AD55" s="28"/>
      <c r="AE55" s="28"/>
      <c r="AF55" s="28"/>
      <c r="AG55" s="28"/>
      <c r="AH55" s="28"/>
      <c r="AI55" s="28"/>
      <c r="AJ55" s="28"/>
      <c r="AK55" s="54"/>
      <c r="AL55" s="54"/>
      <c r="AM55" s="28"/>
      <c r="AN55" s="48"/>
      <c r="AO55" s="28"/>
      <c r="AP55" s="28"/>
    </row>
    <row r="56" spans="1:42" ht="21" customHeight="1" outlineLevel="1" x14ac:dyDescent="0.2">
      <c r="A56" s="25"/>
      <c r="B56" s="36">
        <v>6</v>
      </c>
      <c r="C56" s="46" t="s">
        <v>145</v>
      </c>
      <c r="D56" s="36">
        <v>4</v>
      </c>
      <c r="E56" s="47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4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48"/>
      <c r="AC56" s="28"/>
      <c r="AD56" s="28"/>
      <c r="AE56" s="28"/>
      <c r="AF56" s="28"/>
      <c r="AG56" s="28"/>
      <c r="AH56" s="28"/>
      <c r="AI56" s="28"/>
      <c r="AJ56" s="28"/>
      <c r="AK56" s="54"/>
      <c r="AL56" s="54"/>
      <c r="AM56" s="28"/>
      <c r="AN56" s="48"/>
      <c r="AO56" s="28"/>
      <c r="AP56" s="28"/>
    </row>
    <row r="57" spans="1:42" ht="9.9499999999999993" customHeight="1" outlineLevel="1" x14ac:dyDescent="0.2">
      <c r="A57" s="25"/>
      <c r="B57" s="50"/>
      <c r="C57" s="51"/>
      <c r="D57" s="50"/>
      <c r="E57" s="47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4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48"/>
      <c r="AC57" s="28"/>
      <c r="AD57" s="28"/>
      <c r="AE57" s="28"/>
      <c r="AF57" s="28"/>
      <c r="AG57" s="28"/>
      <c r="AH57" s="28"/>
      <c r="AI57" s="28"/>
      <c r="AJ57" s="28"/>
      <c r="AK57" s="54"/>
      <c r="AL57" s="54"/>
      <c r="AM57" s="28"/>
      <c r="AN57" s="48"/>
      <c r="AO57" s="28"/>
      <c r="AP57" s="28"/>
    </row>
    <row r="58" spans="1:42" ht="21" customHeight="1" outlineLevel="1" x14ac:dyDescent="0.2">
      <c r="A58" s="25"/>
      <c r="B58" s="50" t="s">
        <v>146</v>
      </c>
      <c r="C58" s="51" t="s">
        <v>147</v>
      </c>
      <c r="D58" s="50"/>
      <c r="E58" s="47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4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48"/>
      <c r="AC58" s="28"/>
      <c r="AD58" s="28"/>
      <c r="AE58" s="28"/>
      <c r="AF58" s="28"/>
      <c r="AG58" s="28"/>
      <c r="AI58" s="56"/>
      <c r="AJ58" s="56"/>
      <c r="AK58" s="56"/>
      <c r="AL58" s="54"/>
      <c r="AN58" s="48"/>
      <c r="AO58" s="28"/>
      <c r="AP58" s="28"/>
    </row>
    <row r="59" spans="1:42" ht="9.9499999999999993" customHeight="1" outlineLevel="1" x14ac:dyDescent="0.2">
      <c r="A59" s="25"/>
      <c r="B59" s="50"/>
      <c r="C59" s="51"/>
      <c r="D59" s="50"/>
      <c r="E59" s="47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4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48"/>
      <c r="AC59" s="28"/>
      <c r="AD59" s="28"/>
      <c r="AE59" s="28"/>
      <c r="AF59" s="28"/>
      <c r="AG59" s="28"/>
      <c r="AH59" s="28"/>
      <c r="AI59" s="28"/>
      <c r="AJ59" s="28"/>
      <c r="AK59" s="28"/>
      <c r="AL59" s="54"/>
      <c r="AM59" s="28"/>
      <c r="AN59" s="48"/>
      <c r="AO59" s="28"/>
      <c r="AP59" s="28"/>
    </row>
    <row r="60" spans="1:42" ht="21" customHeight="1" outlineLevel="1" x14ac:dyDescent="0.2">
      <c r="A60" s="25"/>
      <c r="B60" s="50" t="s">
        <v>148</v>
      </c>
      <c r="C60" s="51" t="s">
        <v>149</v>
      </c>
      <c r="D60" s="50"/>
      <c r="E60" s="47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4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48"/>
      <c r="AC60" s="28"/>
      <c r="AD60" s="28"/>
      <c r="AE60" s="28"/>
      <c r="AF60" s="28"/>
      <c r="AG60" s="28"/>
      <c r="AH60" s="28"/>
      <c r="AI60" s="28"/>
      <c r="AJ60" s="28"/>
      <c r="AK60" s="58"/>
      <c r="AL60" s="54"/>
      <c r="AN60" s="48"/>
      <c r="AO60" s="28"/>
      <c r="AP60" s="28"/>
    </row>
    <row r="61" spans="1:42" ht="9.9499999999999993" customHeight="1" outlineLevel="1" x14ac:dyDescent="0.2">
      <c r="A61" s="25"/>
      <c r="B61" s="50"/>
      <c r="C61" s="51"/>
      <c r="D61" s="50"/>
      <c r="E61" s="47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4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48"/>
      <c r="AD61" s="28"/>
      <c r="AF61" s="28"/>
      <c r="AG61" s="28"/>
      <c r="AH61" s="28"/>
      <c r="AI61" s="28"/>
      <c r="AJ61" s="28"/>
      <c r="AK61" s="28"/>
      <c r="AL61" s="28"/>
      <c r="AM61" s="28"/>
      <c r="AN61" s="55"/>
      <c r="AO61" s="28"/>
      <c r="AP61" s="28"/>
    </row>
    <row r="62" spans="1:42" ht="21" customHeight="1" x14ac:dyDescent="0.2">
      <c r="A62" s="25"/>
      <c r="B62" s="31"/>
      <c r="C62" s="59"/>
      <c r="D62" s="31"/>
      <c r="E62" s="60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2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3"/>
      <c r="AB62" s="62"/>
      <c r="AC62" s="64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2"/>
      <c r="AO62" s="28"/>
      <c r="AP62" s="28"/>
    </row>
    <row r="63" spans="1:42" ht="18.75" x14ac:dyDescent="0.2">
      <c r="A63" s="25"/>
      <c r="B63" s="25"/>
      <c r="C63" s="27"/>
      <c r="D63" s="25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</row>
    <row r="64" spans="1:42" ht="18.75" x14ac:dyDescent="0.2">
      <c r="A64" s="25"/>
      <c r="B64" s="25"/>
      <c r="C64" s="27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</row>
    <row r="65" spans="1:42" ht="21" x14ac:dyDescent="0.2">
      <c r="A65" s="25"/>
      <c r="B65" s="52"/>
      <c r="C65" s="65" t="s">
        <v>152</v>
      </c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</row>
    <row r="66" spans="1:42" ht="18.75" x14ac:dyDescent="0.2">
      <c r="A66" s="25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</row>
    <row r="67" spans="1:42" ht="21" x14ac:dyDescent="0.2">
      <c r="A67" s="25"/>
      <c r="B67" s="53"/>
      <c r="C67" s="65" t="s">
        <v>153</v>
      </c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</row>
    <row r="68" spans="1:42" ht="18" customHeight="1" x14ac:dyDescent="0.2">
      <c r="A68" s="25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</row>
    <row r="69" spans="1:42" ht="21" x14ac:dyDescent="0.2">
      <c r="A69" s="25"/>
      <c r="B69" s="56"/>
      <c r="C69" s="65" t="s">
        <v>154</v>
      </c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</row>
    <row r="70" spans="1:42" ht="18.75" x14ac:dyDescent="0.2">
      <c r="A70" s="25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</row>
    <row r="71" spans="1:42" ht="21" x14ac:dyDescent="0.2">
      <c r="A71" s="25"/>
      <c r="B71" s="57"/>
      <c r="C71" s="65" t="s">
        <v>155</v>
      </c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</row>
    <row r="72" spans="1:42" ht="18.75" x14ac:dyDescent="0.2">
      <c r="A72" s="25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</row>
    <row r="73" spans="1:42" ht="18.75" x14ac:dyDescent="0.2">
      <c r="A73" s="25"/>
      <c r="B73" s="25"/>
      <c r="C73" s="27"/>
      <c r="D73" s="25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</row>
    <row r="74" spans="1:42" ht="23.25" x14ac:dyDescent="0.2">
      <c r="A74" s="25"/>
      <c r="B74" s="26" t="s">
        <v>156</v>
      </c>
      <c r="C74" s="27"/>
      <c r="D74" s="25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</row>
    <row r="75" spans="1:42" ht="18.75" x14ac:dyDescent="0.2">
      <c r="A75" s="25"/>
      <c r="B75" s="25"/>
      <c r="C75" s="27"/>
      <c r="D75" s="25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11" t="s">
        <v>437</v>
      </c>
      <c r="R75" s="211" t="s">
        <v>438</v>
      </c>
      <c r="S75" s="211" t="s">
        <v>439</v>
      </c>
      <c r="T75" s="211" t="s">
        <v>440</v>
      </c>
      <c r="U75" s="211" t="s">
        <v>441</v>
      </c>
      <c r="V75" s="211" t="s">
        <v>442</v>
      </c>
      <c r="W75" s="211" t="s">
        <v>443</v>
      </c>
      <c r="X75" s="211" t="s">
        <v>444</v>
      </c>
      <c r="Y75" s="211" t="s">
        <v>445</v>
      </c>
      <c r="Z75" s="211" t="s">
        <v>446</v>
      </c>
      <c r="AA75" s="211" t="s">
        <v>447</v>
      </c>
      <c r="AB75" s="211" t="s">
        <v>448</v>
      </c>
      <c r="AC75" s="211" t="s">
        <v>449</v>
      </c>
      <c r="AD75" s="211" t="s">
        <v>450</v>
      </c>
      <c r="AE75" s="211" t="s">
        <v>451</v>
      </c>
      <c r="AF75" s="211" t="s">
        <v>452</v>
      </c>
      <c r="AG75" s="211" t="s">
        <v>453</v>
      </c>
      <c r="AH75" s="211" t="s">
        <v>454</v>
      </c>
      <c r="AI75" s="211" t="s">
        <v>455</v>
      </c>
      <c r="AJ75" s="211" t="s">
        <v>456</v>
      </c>
      <c r="AK75" s="211" t="s">
        <v>457</v>
      </c>
      <c r="AL75" s="211" t="s">
        <v>458</v>
      </c>
      <c r="AM75" s="211" t="s">
        <v>459</v>
      </c>
      <c r="AN75" s="211" t="s">
        <v>481</v>
      </c>
      <c r="AO75" s="28"/>
      <c r="AP75" s="28"/>
    </row>
    <row r="76" spans="1:42" ht="18.75" x14ac:dyDescent="0.2">
      <c r="A76" s="25"/>
      <c r="B76" s="25"/>
      <c r="C76" s="27"/>
      <c r="D76" s="25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33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</row>
    <row r="77" spans="1:42" ht="18.75" x14ac:dyDescent="0.2">
      <c r="A77" s="25"/>
      <c r="B77" s="215" t="s">
        <v>50</v>
      </c>
      <c r="C77" s="217" t="s">
        <v>51</v>
      </c>
      <c r="D77" s="30" t="s">
        <v>92</v>
      </c>
      <c r="E77" s="219">
        <v>2023</v>
      </c>
      <c r="F77" s="220"/>
      <c r="G77" s="220"/>
      <c r="H77" s="220"/>
      <c r="I77" s="220"/>
      <c r="J77" s="220"/>
      <c r="K77" s="220"/>
      <c r="L77" s="220"/>
      <c r="M77" s="220"/>
      <c r="N77" s="220"/>
      <c r="O77" s="220"/>
      <c r="P77" s="220"/>
      <c r="Q77" s="220">
        <v>2024</v>
      </c>
      <c r="R77" s="220"/>
      <c r="S77" s="220"/>
      <c r="T77" s="220"/>
      <c r="U77" s="220"/>
      <c r="V77" s="220"/>
      <c r="W77" s="220"/>
      <c r="X77" s="220"/>
      <c r="Y77" s="220"/>
      <c r="Z77" s="220"/>
      <c r="AA77" s="220"/>
      <c r="AB77" s="220"/>
      <c r="AC77" s="221">
        <v>2025</v>
      </c>
      <c r="AD77" s="222"/>
      <c r="AE77" s="222"/>
      <c r="AF77" s="222"/>
      <c r="AG77" s="222"/>
      <c r="AH77" s="222"/>
      <c r="AI77" s="222"/>
      <c r="AJ77" s="222"/>
      <c r="AK77" s="222"/>
      <c r="AL77" s="222"/>
      <c r="AM77" s="222"/>
      <c r="AN77" s="223"/>
      <c r="AO77" s="28"/>
      <c r="AP77" s="28"/>
    </row>
    <row r="78" spans="1:42" ht="18.75" x14ac:dyDescent="0.2">
      <c r="A78" s="25"/>
      <c r="B78" s="216"/>
      <c r="C78" s="218"/>
      <c r="D78" s="32" t="s">
        <v>93</v>
      </c>
      <c r="E78" s="99" t="s">
        <v>94</v>
      </c>
      <c r="F78" s="99" t="s">
        <v>95</v>
      </c>
      <c r="G78" s="99" t="s">
        <v>96</v>
      </c>
      <c r="H78" s="99" t="s">
        <v>97</v>
      </c>
      <c r="I78" s="99" t="s">
        <v>98</v>
      </c>
      <c r="J78" s="99" t="s">
        <v>99</v>
      </c>
      <c r="K78" s="99" t="s">
        <v>100</v>
      </c>
      <c r="L78" s="99" t="s">
        <v>101</v>
      </c>
      <c r="M78" s="99" t="s">
        <v>102</v>
      </c>
      <c r="N78" s="99" t="s">
        <v>103</v>
      </c>
      <c r="O78" s="99" t="s">
        <v>104</v>
      </c>
      <c r="P78" s="100" t="s">
        <v>105</v>
      </c>
      <c r="Q78" s="33" t="s">
        <v>94</v>
      </c>
      <c r="R78" s="33" t="s">
        <v>95</v>
      </c>
      <c r="S78" s="33" t="s">
        <v>96</v>
      </c>
      <c r="T78" s="33" t="s">
        <v>97</v>
      </c>
      <c r="U78" s="33" t="s">
        <v>98</v>
      </c>
      <c r="V78" s="33" t="s">
        <v>99</v>
      </c>
      <c r="W78" s="33" t="s">
        <v>100</v>
      </c>
      <c r="X78" s="33" t="s">
        <v>101</v>
      </c>
      <c r="Y78" s="33" t="s">
        <v>102</v>
      </c>
      <c r="Z78" s="33" t="s">
        <v>103</v>
      </c>
      <c r="AA78" s="33" t="s">
        <v>104</v>
      </c>
      <c r="AB78" s="33" t="s">
        <v>105</v>
      </c>
      <c r="AC78" s="35" t="s">
        <v>94</v>
      </c>
      <c r="AD78" s="33" t="s">
        <v>95</v>
      </c>
      <c r="AE78" s="33" t="s">
        <v>96</v>
      </c>
      <c r="AF78" s="33" t="s">
        <v>97</v>
      </c>
      <c r="AG78" s="33" t="s">
        <v>98</v>
      </c>
      <c r="AH78" s="33" t="s">
        <v>99</v>
      </c>
      <c r="AI78" s="33" t="s">
        <v>100</v>
      </c>
      <c r="AJ78" s="33" t="s">
        <v>101</v>
      </c>
      <c r="AK78" s="33" t="s">
        <v>102</v>
      </c>
      <c r="AL78" s="33" t="s">
        <v>103</v>
      </c>
      <c r="AM78" s="33" t="s">
        <v>104</v>
      </c>
      <c r="AN78" s="34" t="s">
        <v>105</v>
      </c>
      <c r="AO78" s="28"/>
      <c r="AP78" s="28"/>
    </row>
    <row r="79" spans="1:42" ht="9.9499999999999993" customHeight="1" x14ac:dyDescent="0.2">
      <c r="A79" s="25"/>
      <c r="B79" s="50"/>
      <c r="D79" s="96"/>
      <c r="E79" s="79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80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80"/>
      <c r="AC79" s="87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80"/>
      <c r="AO79" s="28"/>
      <c r="AP79" s="28"/>
    </row>
    <row r="80" spans="1:42" ht="21" x14ac:dyDescent="0.2">
      <c r="A80" s="25"/>
      <c r="B80" s="36"/>
      <c r="C80" s="46" t="s">
        <v>320</v>
      </c>
      <c r="D80" s="97"/>
      <c r="E80" s="47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4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48"/>
      <c r="AC80" s="47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48"/>
      <c r="AO80" s="28"/>
      <c r="AP80" s="28"/>
    </row>
    <row r="81" spans="1:42" ht="9.9499999999999993" customHeight="1" x14ac:dyDescent="0.2">
      <c r="A81" s="25"/>
      <c r="B81" s="50"/>
      <c r="D81" s="97"/>
      <c r="E81" s="47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4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48"/>
      <c r="AC81" s="43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48"/>
      <c r="AO81" s="28"/>
      <c r="AP81" s="28"/>
    </row>
    <row r="82" spans="1:42" ht="21" hidden="1" x14ac:dyDescent="0.2">
      <c r="A82" s="25"/>
      <c r="B82" s="50"/>
      <c r="C82" s="51" t="s">
        <v>321</v>
      </c>
      <c r="D82" s="97"/>
      <c r="E82" s="47"/>
      <c r="F82" s="28"/>
      <c r="G82" s="28"/>
      <c r="H82" s="28"/>
      <c r="I82" s="28"/>
      <c r="J82" s="28"/>
      <c r="K82" s="101"/>
      <c r="L82" s="28"/>
      <c r="M82" s="28"/>
      <c r="N82" s="28"/>
      <c r="O82" s="28"/>
      <c r="P82" s="4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48"/>
      <c r="AC82" s="47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48"/>
      <c r="AO82" s="28"/>
      <c r="AP82" s="28"/>
    </row>
    <row r="83" spans="1:42" ht="9.9499999999999993" hidden="1" customHeight="1" x14ac:dyDescent="0.2">
      <c r="A83" s="25"/>
      <c r="B83" s="50"/>
      <c r="C83" s="51"/>
      <c r="D83" s="97"/>
      <c r="E83" s="47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4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48"/>
      <c r="AC83" s="43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48"/>
      <c r="AO83" s="28"/>
      <c r="AP83" s="28"/>
    </row>
    <row r="84" spans="1:42" ht="21" hidden="1" x14ac:dyDescent="0.2">
      <c r="A84" s="25"/>
      <c r="B84" s="36"/>
      <c r="C84" s="46"/>
      <c r="D84" s="97"/>
      <c r="E84" s="47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4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48"/>
      <c r="AC84" s="47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48"/>
      <c r="AO84" s="28"/>
      <c r="AP84" s="28"/>
    </row>
    <row r="85" spans="1:42" ht="9.9499999999999993" hidden="1" customHeight="1" x14ac:dyDescent="0.2">
      <c r="A85" s="25"/>
      <c r="B85" s="50"/>
      <c r="D85" s="97"/>
      <c r="E85" s="47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4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48"/>
      <c r="AC85" s="43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48"/>
      <c r="AO85" s="28"/>
      <c r="AP85" s="28"/>
    </row>
    <row r="86" spans="1:42" ht="21" hidden="1" x14ac:dyDescent="0.2">
      <c r="A86" s="25"/>
      <c r="B86" s="50"/>
      <c r="C86" s="51"/>
      <c r="D86" s="97"/>
      <c r="E86" s="47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4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48"/>
      <c r="AC86" s="47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48"/>
      <c r="AO86" s="28"/>
      <c r="AP86" s="28"/>
    </row>
    <row r="87" spans="1:42" ht="9.9499999999999993" hidden="1" customHeight="1" x14ac:dyDescent="0.2">
      <c r="A87" s="25"/>
      <c r="B87" s="50"/>
      <c r="C87" s="51"/>
      <c r="D87" s="97"/>
      <c r="E87" s="47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4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48"/>
      <c r="AC87" s="43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48"/>
      <c r="AO87" s="28"/>
      <c r="AP87" s="28"/>
    </row>
    <row r="88" spans="1:42" ht="21" hidden="1" x14ac:dyDescent="0.2">
      <c r="A88" s="25"/>
      <c r="B88" s="50"/>
      <c r="C88" s="51"/>
      <c r="D88" s="97"/>
      <c r="E88" s="47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4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48"/>
      <c r="AC88" s="47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48"/>
      <c r="AO88" s="28"/>
      <c r="AP88" s="28"/>
    </row>
    <row r="89" spans="1:42" ht="9.9499999999999993" hidden="1" customHeight="1" x14ac:dyDescent="0.2">
      <c r="A89" s="25"/>
      <c r="B89" s="50"/>
      <c r="D89" s="97"/>
      <c r="E89" s="47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4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48"/>
      <c r="AC89" s="43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48"/>
      <c r="AO89" s="28"/>
      <c r="AP89" s="28"/>
    </row>
    <row r="90" spans="1:42" ht="21" hidden="1" x14ac:dyDescent="0.2">
      <c r="A90" s="25"/>
      <c r="B90" s="50"/>
      <c r="C90" s="51"/>
      <c r="D90" s="97"/>
      <c r="E90" s="47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4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48"/>
      <c r="AC90" s="47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48"/>
      <c r="AO90" s="28"/>
      <c r="AP90" s="28"/>
    </row>
    <row r="91" spans="1:42" ht="9.9499999999999993" hidden="1" customHeight="1" x14ac:dyDescent="0.2">
      <c r="A91" s="25"/>
      <c r="B91" s="50"/>
      <c r="D91" s="97"/>
      <c r="E91" s="47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4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48"/>
      <c r="AC91" s="43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48"/>
      <c r="AO91" s="28"/>
      <c r="AP91" s="28"/>
    </row>
    <row r="92" spans="1:42" ht="21" hidden="1" x14ac:dyDescent="0.2">
      <c r="A92" s="25"/>
      <c r="B92" s="50"/>
      <c r="C92" s="51"/>
      <c r="D92" s="97"/>
      <c r="E92" s="47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4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48"/>
      <c r="AC92" s="47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48"/>
      <c r="AO92" s="28"/>
      <c r="AP92" s="28"/>
    </row>
    <row r="93" spans="1:42" ht="9.9499999999999993" hidden="1" customHeight="1" x14ac:dyDescent="0.2">
      <c r="A93" s="25"/>
      <c r="B93" s="50"/>
      <c r="D93" s="97"/>
      <c r="E93" s="47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4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48"/>
      <c r="AC93" s="43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48"/>
      <c r="AO93" s="28"/>
      <c r="AP93" s="28"/>
    </row>
    <row r="94" spans="1:42" ht="21" hidden="1" x14ac:dyDescent="0.2">
      <c r="A94" s="25"/>
      <c r="B94" s="50"/>
      <c r="C94" s="51"/>
      <c r="D94" s="97"/>
      <c r="E94" s="47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4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48"/>
      <c r="AC94" s="47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48"/>
      <c r="AO94" s="28"/>
      <c r="AP94" s="28"/>
    </row>
    <row r="95" spans="1:42" ht="9.9499999999999993" hidden="1" customHeight="1" x14ac:dyDescent="0.2">
      <c r="A95" s="25"/>
      <c r="B95" s="50"/>
      <c r="D95" s="97"/>
      <c r="E95" s="47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4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48"/>
      <c r="AC95" s="43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48"/>
      <c r="AO95" s="28"/>
      <c r="AP95" s="28"/>
    </row>
    <row r="96" spans="1:42" ht="21" hidden="1" x14ac:dyDescent="0.2">
      <c r="A96" s="25"/>
      <c r="B96" s="50"/>
      <c r="C96" s="51"/>
      <c r="D96" s="97"/>
      <c r="E96" s="47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4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48"/>
      <c r="AC96" s="47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48"/>
      <c r="AO96" s="28"/>
      <c r="AP96" s="28"/>
    </row>
    <row r="97" spans="1:42" ht="9.9499999999999993" hidden="1" customHeight="1" x14ac:dyDescent="0.2">
      <c r="A97" s="25"/>
      <c r="B97" s="50"/>
      <c r="D97" s="97"/>
      <c r="E97" s="47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4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48"/>
      <c r="AC97" s="43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48"/>
      <c r="AO97" s="28"/>
      <c r="AP97" s="28"/>
    </row>
    <row r="98" spans="1:42" ht="21" hidden="1" x14ac:dyDescent="0.2">
      <c r="A98" s="25"/>
      <c r="B98" s="50"/>
      <c r="C98" s="51"/>
      <c r="D98" s="97"/>
      <c r="E98" s="47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4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48"/>
      <c r="AC98" s="47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48"/>
      <c r="AO98" s="28"/>
      <c r="AP98" s="28"/>
    </row>
    <row r="99" spans="1:42" ht="9.9499999999999993" hidden="1" customHeight="1" x14ac:dyDescent="0.2">
      <c r="A99" s="25"/>
      <c r="B99" s="50"/>
      <c r="D99" s="97"/>
      <c r="E99" s="47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4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48"/>
      <c r="AC99" s="43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48"/>
      <c r="AO99" s="28"/>
      <c r="AP99" s="28"/>
    </row>
    <row r="100" spans="1:42" ht="21" hidden="1" x14ac:dyDescent="0.2">
      <c r="A100" s="25"/>
      <c r="B100" s="50"/>
      <c r="C100" s="51"/>
      <c r="D100" s="97"/>
      <c r="E100" s="47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4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48"/>
      <c r="AC100" s="47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48"/>
      <c r="AO100" s="28"/>
      <c r="AP100" s="28"/>
    </row>
    <row r="101" spans="1:42" ht="9.9499999999999993" hidden="1" customHeight="1" x14ac:dyDescent="0.2">
      <c r="A101" s="25"/>
      <c r="B101" s="50"/>
      <c r="D101" s="97"/>
      <c r="E101" s="47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4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48"/>
      <c r="AC101" s="43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48"/>
      <c r="AO101" s="28"/>
      <c r="AP101" s="28"/>
    </row>
    <row r="102" spans="1:42" ht="21" hidden="1" x14ac:dyDescent="0.2">
      <c r="A102" s="25"/>
      <c r="B102" s="50"/>
      <c r="C102" s="51"/>
      <c r="D102" s="97"/>
      <c r="E102" s="47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4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48"/>
      <c r="AC102" s="47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48"/>
      <c r="AO102" s="28"/>
      <c r="AP102" s="28"/>
    </row>
    <row r="103" spans="1:42" ht="9.9499999999999993" hidden="1" customHeight="1" x14ac:dyDescent="0.2">
      <c r="A103" s="25"/>
      <c r="B103" s="50"/>
      <c r="D103" s="97"/>
      <c r="E103" s="47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4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48"/>
      <c r="AC103" s="43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48"/>
      <c r="AO103" s="28"/>
      <c r="AP103" s="28"/>
    </row>
    <row r="104" spans="1:42" ht="21" hidden="1" x14ac:dyDescent="0.2">
      <c r="A104" s="25"/>
      <c r="B104" s="50"/>
      <c r="C104" s="51"/>
      <c r="D104" s="97"/>
      <c r="E104" s="47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4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48"/>
      <c r="AC104" s="47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48"/>
      <c r="AO104" s="28"/>
      <c r="AP104" s="28"/>
    </row>
    <row r="105" spans="1:42" ht="9.9499999999999993" hidden="1" customHeight="1" x14ac:dyDescent="0.2">
      <c r="A105" s="25"/>
      <c r="B105" s="50"/>
      <c r="D105" s="97"/>
      <c r="E105" s="47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4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48"/>
      <c r="AC105" s="43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48"/>
      <c r="AO105" s="28"/>
      <c r="AP105" s="28"/>
    </row>
    <row r="106" spans="1:42" ht="21" hidden="1" x14ac:dyDescent="0.2">
      <c r="A106" s="25"/>
      <c r="B106" s="36"/>
      <c r="C106" s="46"/>
      <c r="D106" s="97"/>
      <c r="E106" s="47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4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48"/>
      <c r="AC106" s="47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48"/>
      <c r="AO106" s="28"/>
      <c r="AP106" s="28"/>
    </row>
    <row r="107" spans="1:42" ht="9.9499999999999993" hidden="1" customHeight="1" x14ac:dyDescent="0.2">
      <c r="A107" s="25"/>
      <c r="B107" s="50"/>
      <c r="D107" s="97"/>
      <c r="E107" s="47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4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48"/>
      <c r="AC107" s="43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48"/>
      <c r="AO107" s="28"/>
      <c r="AP107" s="28"/>
    </row>
    <row r="108" spans="1:42" ht="21" hidden="1" x14ac:dyDescent="0.2">
      <c r="A108" s="25"/>
      <c r="B108" s="50"/>
      <c r="C108" s="51"/>
      <c r="D108" s="97"/>
      <c r="E108" s="47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4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48"/>
      <c r="AC108" s="47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48"/>
      <c r="AO108" s="28"/>
      <c r="AP108" s="28"/>
    </row>
    <row r="109" spans="1:42" ht="9.9499999999999993" hidden="1" customHeight="1" x14ac:dyDescent="0.2">
      <c r="A109" s="25"/>
      <c r="B109" s="50"/>
      <c r="D109" s="97"/>
      <c r="E109" s="47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4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48"/>
      <c r="AC109" s="43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48"/>
      <c r="AO109" s="28"/>
      <c r="AP109" s="28"/>
    </row>
    <row r="110" spans="1:42" ht="21" hidden="1" x14ac:dyDescent="0.2">
      <c r="A110" s="25"/>
      <c r="B110" s="50"/>
      <c r="C110" s="51"/>
      <c r="D110" s="97"/>
      <c r="E110" s="47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4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48"/>
      <c r="AC110" s="47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48"/>
      <c r="AO110" s="28"/>
      <c r="AP110" s="28"/>
    </row>
    <row r="111" spans="1:42" ht="9.9499999999999993" hidden="1" customHeight="1" x14ac:dyDescent="0.2">
      <c r="A111" s="25"/>
      <c r="B111" s="50"/>
      <c r="D111" s="97"/>
      <c r="E111" s="47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4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48"/>
      <c r="AC111" s="43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48"/>
      <c r="AO111" s="28"/>
      <c r="AP111" s="28"/>
    </row>
    <row r="112" spans="1:42" ht="21" hidden="1" x14ac:dyDescent="0.2">
      <c r="A112" s="25"/>
      <c r="B112" s="36"/>
      <c r="C112" s="46"/>
      <c r="D112" s="97"/>
      <c r="E112" s="47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4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48"/>
      <c r="AC112" s="47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48"/>
      <c r="AO112" s="28"/>
      <c r="AP112" s="28"/>
    </row>
    <row r="113" spans="1:42" ht="9.9499999999999993" hidden="1" customHeight="1" x14ac:dyDescent="0.2">
      <c r="A113" s="25"/>
      <c r="B113" s="50"/>
      <c r="D113" s="97"/>
      <c r="E113" s="47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4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48"/>
      <c r="AC113" s="43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48"/>
      <c r="AO113" s="28"/>
      <c r="AP113" s="28"/>
    </row>
    <row r="114" spans="1:42" ht="21" hidden="1" x14ac:dyDescent="0.2">
      <c r="A114" s="25"/>
      <c r="B114" s="50"/>
      <c r="C114" s="51"/>
      <c r="D114" s="97"/>
      <c r="E114" s="47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4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48"/>
      <c r="AC114" s="47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48"/>
      <c r="AO114" s="28"/>
      <c r="AP114" s="28"/>
    </row>
    <row r="115" spans="1:42" ht="9.9499999999999993" hidden="1" customHeight="1" x14ac:dyDescent="0.2">
      <c r="A115" s="25"/>
      <c r="B115" s="50"/>
      <c r="D115" s="97"/>
      <c r="E115" s="47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4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48"/>
      <c r="AC115" s="43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48"/>
      <c r="AO115" s="28"/>
      <c r="AP115" s="28"/>
    </row>
    <row r="116" spans="1:42" ht="21" hidden="1" x14ac:dyDescent="0.2">
      <c r="A116" s="25"/>
      <c r="B116" s="50"/>
      <c r="C116" s="51"/>
      <c r="D116" s="97"/>
      <c r="E116" s="47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4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48"/>
      <c r="AC116" s="47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48"/>
      <c r="AO116" s="28"/>
      <c r="AP116" s="28"/>
    </row>
    <row r="117" spans="1:42" ht="21" x14ac:dyDescent="0.2">
      <c r="A117" s="25"/>
      <c r="B117" s="36">
        <v>1</v>
      </c>
      <c r="C117" s="46" t="str">
        <f>'Planilha Orçamentária'!C6</f>
        <v>Coordenação Geral</v>
      </c>
      <c r="D117" s="97"/>
      <c r="E117" s="47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4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48"/>
      <c r="AC117" s="47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48"/>
      <c r="AO117" s="28"/>
      <c r="AP117" s="28"/>
    </row>
    <row r="118" spans="1:42" ht="9.9499999999999993" customHeight="1" x14ac:dyDescent="0.2">
      <c r="A118" s="25"/>
      <c r="B118" s="50"/>
      <c r="D118" s="97"/>
      <c r="E118" s="47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4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48"/>
      <c r="AC118" s="43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48"/>
      <c r="AO118" s="28"/>
      <c r="AP118" s="28"/>
    </row>
    <row r="119" spans="1:42" ht="21" x14ac:dyDescent="0.2">
      <c r="A119" s="25"/>
      <c r="B119" s="50" t="s">
        <v>107</v>
      </c>
      <c r="C119" s="51" t="str">
        <f>'Planilha Orçamentária'!C7</f>
        <v>Coordenação do Projeto (Porto Alegre, Rio Grande ou Pelotas)</v>
      </c>
      <c r="D119" s="97">
        <v>7</v>
      </c>
      <c r="E119" s="47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48"/>
      <c r="Q119" s="81"/>
      <c r="R119" s="81"/>
      <c r="S119" s="81"/>
      <c r="T119" s="81"/>
      <c r="U119" s="81"/>
      <c r="V119" s="81"/>
      <c r="W119" s="28"/>
      <c r="X119" s="28"/>
      <c r="Y119" s="28"/>
      <c r="Z119" s="28"/>
      <c r="AA119" s="81"/>
      <c r="AB119" s="48"/>
      <c r="AC119" s="47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48"/>
      <c r="AO119" s="28"/>
      <c r="AP119" s="28"/>
    </row>
    <row r="120" spans="1:42" ht="9.9499999999999993" customHeight="1" x14ac:dyDescent="0.2">
      <c r="A120" s="25"/>
      <c r="B120" s="50"/>
      <c r="C120" s="51"/>
      <c r="D120" s="97"/>
      <c r="E120" s="47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4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48"/>
      <c r="AC120" s="43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48"/>
      <c r="AO120" s="28"/>
      <c r="AP120" s="28"/>
    </row>
    <row r="121" spans="1:42" ht="21" x14ac:dyDescent="0.2">
      <c r="A121" s="25"/>
      <c r="B121" s="36">
        <v>2</v>
      </c>
      <c r="C121" s="46" t="str">
        <f>'Planilha Orçamentária'!C11</f>
        <v>Estudos</v>
      </c>
      <c r="D121" s="97"/>
      <c r="E121" s="47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4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48"/>
      <c r="AC121" s="47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48"/>
      <c r="AO121" s="28"/>
      <c r="AP121" s="28"/>
    </row>
    <row r="122" spans="1:42" ht="9.9499999999999993" customHeight="1" x14ac:dyDescent="0.2">
      <c r="A122" s="25"/>
      <c r="B122" s="50"/>
      <c r="D122" s="97"/>
      <c r="E122" s="47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4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48"/>
      <c r="AC122" s="43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48"/>
      <c r="AO122" s="28"/>
      <c r="AP122" s="28"/>
    </row>
    <row r="123" spans="1:42" ht="21" x14ac:dyDescent="0.2">
      <c r="A123" s="25"/>
      <c r="B123" s="50" t="s">
        <v>112</v>
      </c>
      <c r="C123" s="51" t="str">
        <f>'Planilha Orçamentária'!C12</f>
        <v>Estudo das condições meteoceanográficas</v>
      </c>
      <c r="D123" s="97">
        <v>2</v>
      </c>
      <c r="E123" s="47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48"/>
      <c r="Q123" s="28"/>
      <c r="R123" s="82"/>
      <c r="S123" s="82"/>
      <c r="T123" s="28"/>
      <c r="U123" s="28"/>
      <c r="V123" s="28"/>
      <c r="W123" s="28"/>
      <c r="X123" s="28"/>
      <c r="Y123" s="28"/>
      <c r="Z123" s="28"/>
      <c r="AA123" s="28"/>
      <c r="AB123" s="48"/>
      <c r="AC123" s="47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48"/>
      <c r="AO123" s="28"/>
      <c r="AP123" s="28"/>
    </row>
    <row r="124" spans="1:42" ht="9.9499999999999993" customHeight="1" x14ac:dyDescent="0.2">
      <c r="A124" s="25"/>
      <c r="B124" s="50"/>
      <c r="C124" s="51"/>
      <c r="D124" s="97"/>
      <c r="E124" s="47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4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48"/>
      <c r="AC124" s="43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48"/>
      <c r="AO124" s="28"/>
      <c r="AP124" s="28"/>
    </row>
    <row r="125" spans="1:42" ht="21" x14ac:dyDescent="0.2">
      <c r="A125" s="25"/>
      <c r="B125" s="50" t="s">
        <v>288</v>
      </c>
      <c r="C125" s="51" t="str">
        <f>'Planilha Orçamentária'!C13</f>
        <v>Estudo de Sedimentação</v>
      </c>
      <c r="D125" s="97">
        <v>2</v>
      </c>
      <c r="E125" s="47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48"/>
      <c r="Q125" s="28"/>
      <c r="R125" s="28"/>
      <c r="S125" s="82"/>
      <c r="T125" s="82"/>
      <c r="U125" s="28"/>
      <c r="V125" s="28"/>
      <c r="W125" s="28"/>
      <c r="X125" s="28"/>
      <c r="Y125" s="28"/>
      <c r="Z125" s="28"/>
      <c r="AA125" s="28"/>
      <c r="AB125" s="48"/>
      <c r="AC125" s="47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48"/>
      <c r="AO125" s="28"/>
      <c r="AP125" s="28"/>
    </row>
    <row r="126" spans="1:42" ht="9.9499999999999993" customHeight="1" x14ac:dyDescent="0.2">
      <c r="A126" s="25"/>
      <c r="B126" s="50"/>
      <c r="D126" s="97"/>
      <c r="E126" s="47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4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48"/>
      <c r="AC126" s="43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48"/>
      <c r="AO126" s="28"/>
      <c r="AP126" s="28"/>
    </row>
    <row r="127" spans="1:42" ht="21" x14ac:dyDescent="0.2">
      <c r="A127" s="25"/>
      <c r="B127" s="50" t="s">
        <v>289</v>
      </c>
      <c r="C127" s="51" t="str">
        <f>'Planilha Orçamentária'!C14</f>
        <v>Estudo dos navios de projeto</v>
      </c>
      <c r="D127" s="97">
        <v>1</v>
      </c>
      <c r="E127" s="47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48"/>
      <c r="Q127" s="82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48"/>
      <c r="AC127" s="47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48"/>
      <c r="AO127" s="28"/>
      <c r="AP127" s="28"/>
    </row>
    <row r="128" spans="1:42" ht="9.9499999999999993" customHeight="1" x14ac:dyDescent="0.2">
      <c r="A128" s="25"/>
      <c r="B128" s="50"/>
      <c r="D128" s="97"/>
      <c r="E128" s="47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4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48"/>
      <c r="AC128" s="43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48"/>
      <c r="AO128" s="28"/>
      <c r="AP128" s="28"/>
    </row>
    <row r="129" spans="1:42" ht="21" x14ac:dyDescent="0.2">
      <c r="A129" s="25"/>
      <c r="B129" s="50" t="s">
        <v>290</v>
      </c>
      <c r="C129" s="51" t="str">
        <f>'Planilha Orçamentária'!C15</f>
        <v>Estudo de dimensionamento (calado seguro)</v>
      </c>
      <c r="D129" s="97">
        <v>1</v>
      </c>
      <c r="E129" s="47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48"/>
      <c r="Q129" s="28"/>
      <c r="R129" s="28"/>
      <c r="S129" s="28"/>
      <c r="T129" s="28"/>
      <c r="U129" s="82"/>
      <c r="V129" s="28"/>
      <c r="W129" s="28"/>
      <c r="X129" s="28"/>
      <c r="Y129" s="28"/>
      <c r="Z129" s="28"/>
      <c r="AA129" s="28"/>
      <c r="AB129" s="48"/>
      <c r="AC129" s="47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48"/>
      <c r="AO129" s="28"/>
      <c r="AP129" s="28"/>
    </row>
    <row r="130" spans="1:42" ht="9.9499999999999993" customHeight="1" x14ac:dyDescent="0.2">
      <c r="A130" s="25"/>
      <c r="B130" s="50"/>
      <c r="D130" s="97"/>
      <c r="E130" s="47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4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48"/>
      <c r="AC130" s="43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48"/>
      <c r="AO130" s="28"/>
      <c r="AP130" s="28"/>
    </row>
    <row r="131" spans="1:42" ht="21" x14ac:dyDescent="0.2">
      <c r="A131" s="25"/>
      <c r="B131" s="50" t="s">
        <v>291</v>
      </c>
      <c r="C131" s="51" t="str">
        <f>'Planilha Orçamentária'!C16</f>
        <v>Estudos de amarração</v>
      </c>
      <c r="D131" s="97">
        <v>1</v>
      </c>
      <c r="E131" s="47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48"/>
      <c r="Q131" s="28"/>
      <c r="R131" s="28"/>
      <c r="S131" s="28"/>
      <c r="T131" s="28"/>
      <c r="U131" s="82"/>
      <c r="V131" s="28"/>
      <c r="W131" s="28"/>
      <c r="X131" s="28"/>
      <c r="Y131" s="28"/>
      <c r="Z131" s="28"/>
      <c r="AA131" s="28"/>
      <c r="AB131" s="48"/>
      <c r="AC131" s="47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48"/>
      <c r="AO131" s="28"/>
      <c r="AP131" s="28"/>
    </row>
    <row r="132" spans="1:42" ht="9.9499999999999993" customHeight="1" x14ac:dyDescent="0.2">
      <c r="A132" s="25"/>
      <c r="B132" s="50"/>
      <c r="D132" s="97"/>
      <c r="E132" s="47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4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48"/>
      <c r="AC132" s="43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48"/>
      <c r="AO132" s="28"/>
      <c r="AP132" s="28"/>
    </row>
    <row r="133" spans="1:42" ht="21" x14ac:dyDescent="0.2">
      <c r="A133" s="25"/>
      <c r="B133" s="50" t="s">
        <v>292</v>
      </c>
      <c r="C133" s="51" t="str">
        <f>'Planilha Orçamentária'!C17</f>
        <v>Estudo Value for Money</v>
      </c>
      <c r="D133" s="97">
        <v>2</v>
      </c>
      <c r="E133" s="47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48"/>
      <c r="Q133" s="28"/>
      <c r="R133" s="28"/>
      <c r="S133" s="28"/>
      <c r="T133" s="28"/>
      <c r="U133" s="82"/>
      <c r="V133" s="82"/>
      <c r="W133" s="28"/>
      <c r="X133" s="28"/>
      <c r="Y133" s="28"/>
      <c r="Z133" s="28"/>
      <c r="AA133" s="28"/>
      <c r="AB133" s="48"/>
      <c r="AC133" s="47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48"/>
      <c r="AO133" s="28"/>
      <c r="AP133" s="28"/>
    </row>
    <row r="134" spans="1:42" ht="9.9499999999999993" customHeight="1" x14ac:dyDescent="0.2">
      <c r="A134" s="25"/>
      <c r="B134" s="50"/>
      <c r="D134" s="97"/>
      <c r="E134" s="47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4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48"/>
      <c r="AC134" s="43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48"/>
      <c r="AO134" s="28"/>
      <c r="AP134" s="28"/>
    </row>
    <row r="135" spans="1:42" ht="21" x14ac:dyDescent="0.2">
      <c r="A135" s="25"/>
      <c r="B135" s="50" t="s">
        <v>293</v>
      </c>
      <c r="C135" s="51" t="str">
        <f>'Planilha Orçamentária'!C18</f>
        <v>Estudo para Uso Benéfico do Material Dragado</v>
      </c>
      <c r="D135" s="97">
        <v>1</v>
      </c>
      <c r="E135" s="47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48"/>
      <c r="Q135" s="28"/>
      <c r="R135" s="28"/>
      <c r="S135" s="28"/>
      <c r="T135" s="82"/>
      <c r="U135" s="28"/>
      <c r="V135" s="28"/>
      <c r="W135" s="28"/>
      <c r="X135" s="28"/>
      <c r="Y135" s="28"/>
      <c r="Z135" s="28"/>
      <c r="AA135" s="28"/>
      <c r="AB135" s="48"/>
      <c r="AC135" s="47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48"/>
      <c r="AO135" s="28"/>
      <c r="AP135" s="28"/>
    </row>
    <row r="136" spans="1:42" ht="9.9499999999999993" customHeight="1" x14ac:dyDescent="0.2">
      <c r="A136" s="25"/>
      <c r="B136" s="50"/>
      <c r="D136" s="97"/>
      <c r="E136" s="47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4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48"/>
      <c r="AC136" s="43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48"/>
      <c r="AO136" s="28"/>
      <c r="AP136" s="28"/>
    </row>
    <row r="137" spans="1:42" ht="21" x14ac:dyDescent="0.2">
      <c r="A137" s="25"/>
      <c r="B137" s="50" t="s">
        <v>294</v>
      </c>
      <c r="C137" s="51" t="str">
        <f>'Planilha Orçamentária'!C19</f>
        <v>Estudo sobre o Casco Soçobrado Apollo I</v>
      </c>
      <c r="D137" s="97">
        <v>1</v>
      </c>
      <c r="E137" s="47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48"/>
      <c r="Q137" s="28"/>
      <c r="R137" s="28"/>
      <c r="S137" s="28"/>
      <c r="T137" s="28"/>
      <c r="U137" s="28"/>
      <c r="V137" s="82"/>
      <c r="W137" s="28"/>
      <c r="X137" s="28"/>
      <c r="Y137" s="28"/>
      <c r="Z137" s="28"/>
      <c r="AA137" s="28"/>
      <c r="AB137" s="48"/>
      <c r="AC137" s="47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48"/>
      <c r="AO137" s="28"/>
      <c r="AP137" s="28"/>
    </row>
    <row r="138" spans="1:42" ht="9.9499999999999993" customHeight="1" x14ac:dyDescent="0.2">
      <c r="A138" s="25"/>
      <c r="B138" s="50"/>
      <c r="D138" s="97"/>
      <c r="E138" s="47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4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48"/>
      <c r="AC138" s="43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48"/>
      <c r="AO138" s="28"/>
      <c r="AP138" s="28"/>
    </row>
    <row r="139" spans="1:42" ht="21" x14ac:dyDescent="0.2">
      <c r="A139" s="25"/>
      <c r="B139" s="50" t="s">
        <v>295</v>
      </c>
      <c r="C139" s="51" t="str">
        <f>'Planilha Orçamentária'!C20</f>
        <v>Estudo para reforma estrutural dos molhes</v>
      </c>
      <c r="D139" s="97">
        <v>3</v>
      </c>
      <c r="E139" s="47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48"/>
      <c r="Q139" s="82"/>
      <c r="R139" s="82"/>
      <c r="S139" s="82"/>
      <c r="T139" s="28"/>
      <c r="U139" s="28"/>
      <c r="V139" s="28"/>
      <c r="W139" s="28"/>
      <c r="X139" s="28"/>
      <c r="Y139" s="28"/>
      <c r="Z139" s="28"/>
      <c r="AA139" s="28"/>
      <c r="AB139" s="48"/>
      <c r="AC139" s="47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48"/>
      <c r="AO139" s="28"/>
      <c r="AP139" s="28"/>
    </row>
    <row r="140" spans="1:42" ht="9.9499999999999993" customHeight="1" x14ac:dyDescent="0.2">
      <c r="A140" s="25"/>
      <c r="B140" s="50"/>
      <c r="D140" s="97"/>
      <c r="E140" s="47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4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48"/>
      <c r="AC140" s="43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48"/>
      <c r="AO140" s="28"/>
      <c r="AP140" s="28"/>
    </row>
    <row r="141" spans="1:42" ht="21" x14ac:dyDescent="0.2">
      <c r="A141" s="25"/>
      <c r="B141" s="50" t="s">
        <v>296</v>
      </c>
      <c r="C141" s="51" t="str">
        <f>'Planilha Orçamentária'!C21</f>
        <v>Estudo de Simulação Dinâmica de Capacidade</v>
      </c>
      <c r="D141" s="97">
        <v>3</v>
      </c>
      <c r="E141" s="47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48"/>
      <c r="Q141" s="28"/>
      <c r="R141" s="82"/>
      <c r="S141" s="82"/>
      <c r="T141" s="82"/>
      <c r="U141" s="28"/>
      <c r="V141" s="28"/>
      <c r="W141" s="28"/>
      <c r="X141" s="28"/>
      <c r="Y141" s="28"/>
      <c r="Z141" s="28"/>
      <c r="AA141" s="28"/>
      <c r="AB141" s="48"/>
      <c r="AC141" s="47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48"/>
      <c r="AO141" s="28"/>
      <c r="AP141" s="28"/>
    </row>
    <row r="142" spans="1:42" ht="9.9499999999999993" customHeight="1" x14ac:dyDescent="0.2">
      <c r="A142" s="25"/>
      <c r="B142" s="50"/>
      <c r="D142" s="97"/>
      <c r="E142" s="47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4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48"/>
      <c r="AC142" s="43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48"/>
      <c r="AO142" s="28"/>
      <c r="AP142" s="28"/>
    </row>
    <row r="143" spans="1:42" ht="21" x14ac:dyDescent="0.2">
      <c r="A143" s="25"/>
      <c r="B143" s="36">
        <v>3</v>
      </c>
      <c r="C143" s="46" t="str">
        <f>'Planilha Orçamentária'!C22</f>
        <v>Simulações de Manobra</v>
      </c>
      <c r="D143" s="97"/>
      <c r="E143" s="47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4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48"/>
      <c r="AC143" s="47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48"/>
      <c r="AO143" s="28"/>
      <c r="AP143" s="28"/>
    </row>
    <row r="144" spans="1:42" ht="9.9499999999999993" customHeight="1" x14ac:dyDescent="0.2">
      <c r="A144" s="25"/>
      <c r="B144" s="50"/>
      <c r="D144" s="97"/>
      <c r="E144" s="47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4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48"/>
      <c r="AC144" s="43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48"/>
      <c r="AO144" s="28"/>
      <c r="AP144" s="28"/>
    </row>
    <row r="145" spans="1:42" ht="21" x14ac:dyDescent="0.2">
      <c r="A145" s="25"/>
      <c r="B145" s="50" t="s">
        <v>119</v>
      </c>
      <c r="C145" s="51" t="str">
        <f>'Planilha Orçamentária'!C23</f>
        <v>Simulações de manobra "Fast-Time"</v>
      </c>
      <c r="D145" s="97">
        <v>2</v>
      </c>
      <c r="E145" s="47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48"/>
      <c r="Q145" s="28"/>
      <c r="R145" s="28"/>
      <c r="S145" s="28"/>
      <c r="T145" s="28"/>
      <c r="U145" s="83"/>
      <c r="V145" s="83"/>
      <c r="W145" s="28"/>
      <c r="X145" s="28"/>
      <c r="Y145" s="28"/>
      <c r="Z145" s="28"/>
      <c r="AA145" s="28"/>
      <c r="AB145" s="48"/>
      <c r="AC145" s="47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48"/>
      <c r="AO145" s="28"/>
      <c r="AP145" s="28"/>
    </row>
    <row r="146" spans="1:42" ht="9.9499999999999993" customHeight="1" x14ac:dyDescent="0.2">
      <c r="A146" s="25"/>
      <c r="B146" s="50"/>
      <c r="D146" s="97"/>
      <c r="E146" s="47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4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48"/>
      <c r="AC146" s="43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48"/>
      <c r="AO146" s="28"/>
      <c r="AP146" s="28"/>
    </row>
    <row r="147" spans="1:42" ht="21" x14ac:dyDescent="0.2">
      <c r="A147" s="25"/>
      <c r="B147" s="50" t="s">
        <v>114</v>
      </c>
      <c r="C147" s="51" t="str">
        <f>'Planilha Orçamentária'!C24</f>
        <v>Simulações de manobra "Real-Time"</v>
      </c>
      <c r="D147" s="97">
        <v>1</v>
      </c>
      <c r="E147" s="47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48"/>
      <c r="Q147" s="28"/>
      <c r="R147" s="28"/>
      <c r="S147" s="28"/>
      <c r="T147" s="28"/>
      <c r="U147" s="28"/>
      <c r="V147" s="83"/>
      <c r="W147" s="28"/>
      <c r="X147" s="28"/>
      <c r="Y147" s="28"/>
      <c r="Z147" s="28"/>
      <c r="AA147" s="28"/>
      <c r="AB147" s="48"/>
      <c r="AC147" s="47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48"/>
      <c r="AO147" s="28"/>
      <c r="AP147" s="28"/>
    </row>
    <row r="148" spans="1:42" ht="9.9499999999999993" customHeight="1" x14ac:dyDescent="0.2">
      <c r="A148" s="25"/>
      <c r="B148" s="50"/>
      <c r="D148" s="97"/>
      <c r="E148" s="47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4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48"/>
      <c r="AC148" s="43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48"/>
      <c r="AO148" s="28"/>
      <c r="AP148" s="28"/>
    </row>
    <row r="149" spans="1:42" ht="21" x14ac:dyDescent="0.2">
      <c r="A149" s="25"/>
      <c r="B149" s="36">
        <v>4</v>
      </c>
      <c r="C149" s="46" t="str">
        <f>'Planilha Orçamentária'!C25</f>
        <v>Projetos</v>
      </c>
      <c r="D149" s="97"/>
      <c r="E149" s="47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4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48"/>
      <c r="AC149" s="47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48"/>
      <c r="AO149" s="28"/>
      <c r="AP149" s="28"/>
    </row>
    <row r="150" spans="1:42" ht="9.9499999999999993" customHeight="1" x14ac:dyDescent="0.2">
      <c r="A150" s="25"/>
      <c r="B150" s="50"/>
      <c r="D150" s="97"/>
      <c r="E150" s="47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4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48"/>
      <c r="AC150" s="43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48"/>
      <c r="AO150" s="28"/>
      <c r="AP150" s="28"/>
    </row>
    <row r="151" spans="1:42" ht="21" x14ac:dyDescent="0.2">
      <c r="A151" s="25"/>
      <c r="B151" s="50" t="s">
        <v>132</v>
      </c>
      <c r="C151" s="51" t="str">
        <f>'Planilha Orçamentária'!C26</f>
        <v>Projeto Conceitual de Dragagem</v>
      </c>
      <c r="D151" s="97">
        <v>1</v>
      </c>
      <c r="E151" s="47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48"/>
      <c r="Q151" s="28"/>
      <c r="R151" s="28"/>
      <c r="S151" s="28"/>
      <c r="T151" s="28"/>
      <c r="U151" s="28"/>
      <c r="V151" s="84"/>
      <c r="W151" s="28"/>
      <c r="X151" s="28"/>
      <c r="Y151" s="28"/>
      <c r="Z151" s="28"/>
      <c r="AA151" s="28"/>
      <c r="AB151" s="48"/>
      <c r="AC151" s="47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48"/>
      <c r="AO151" s="28"/>
      <c r="AP151" s="28"/>
    </row>
    <row r="152" spans="1:42" ht="9.9499999999999993" customHeight="1" x14ac:dyDescent="0.2">
      <c r="A152" s="25"/>
      <c r="B152" s="50"/>
      <c r="D152" s="97"/>
      <c r="E152" s="47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4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48"/>
      <c r="AC152" s="43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48"/>
      <c r="AO152" s="28"/>
      <c r="AP152" s="28"/>
    </row>
    <row r="153" spans="1:42" ht="21" x14ac:dyDescent="0.2">
      <c r="A153" s="25"/>
      <c r="B153" s="50" t="s">
        <v>134</v>
      </c>
      <c r="C153" s="51" t="str">
        <f>'Planilha Orçamentária'!C27</f>
        <v>Projeto Conceitual  de Sinalização e Balizamento Náutico</v>
      </c>
      <c r="D153" s="97">
        <v>1</v>
      </c>
      <c r="E153" s="47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48"/>
      <c r="Q153" s="28"/>
      <c r="R153" s="28"/>
      <c r="S153" s="28"/>
      <c r="T153" s="28"/>
      <c r="U153" s="28"/>
      <c r="V153" s="84"/>
      <c r="W153" s="28"/>
      <c r="X153" s="28"/>
      <c r="Y153" s="28"/>
      <c r="Z153" s="28"/>
      <c r="AA153" s="28"/>
      <c r="AB153" s="48"/>
      <c r="AC153" s="47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48"/>
      <c r="AO153" s="28"/>
      <c r="AP153" s="28"/>
    </row>
    <row r="154" spans="1:42" ht="9.9499999999999993" customHeight="1" x14ac:dyDescent="0.2">
      <c r="A154" s="25"/>
      <c r="B154" s="50"/>
      <c r="D154" s="97"/>
      <c r="E154" s="47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4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48"/>
      <c r="AC154" s="43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48"/>
      <c r="AO154" s="28"/>
      <c r="AP154" s="28"/>
    </row>
    <row r="155" spans="1:42" ht="21" x14ac:dyDescent="0.2">
      <c r="A155" s="25"/>
      <c r="B155" s="31" t="s">
        <v>150</v>
      </c>
      <c r="C155" s="59" t="s">
        <v>151</v>
      </c>
      <c r="D155" s="98">
        <v>7</v>
      </c>
      <c r="E155" s="85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86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86"/>
      <c r="AC155" s="85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86"/>
      <c r="AO155" s="28"/>
      <c r="AP155" s="28"/>
    </row>
    <row r="156" spans="1:42" ht="18.75" x14ac:dyDescent="0.2">
      <c r="A156" s="25"/>
      <c r="B156" s="25"/>
      <c r="C156" s="27"/>
      <c r="D156" s="25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</row>
    <row r="157" spans="1:42" ht="18.75" x14ac:dyDescent="0.2">
      <c r="A157" s="25"/>
      <c r="B157" s="25"/>
      <c r="C157" s="27"/>
      <c r="D157" s="25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</row>
    <row r="158" spans="1:42" ht="18.75" x14ac:dyDescent="0.2">
      <c r="A158" s="25"/>
      <c r="B158" s="25"/>
      <c r="C158" s="27"/>
      <c r="D158" s="25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</row>
    <row r="159" spans="1:42" ht="18.75" x14ac:dyDescent="0.2">
      <c r="A159" s="25"/>
      <c r="B159" s="25"/>
      <c r="C159" s="27"/>
      <c r="D159" s="25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</row>
    <row r="160" spans="1:42" ht="18.75" x14ac:dyDescent="0.2">
      <c r="A160" s="25"/>
      <c r="B160" s="25"/>
      <c r="C160" s="27"/>
      <c r="D160" s="25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</row>
    <row r="161" spans="1:42" ht="18.75" x14ac:dyDescent="0.2">
      <c r="A161" s="25"/>
      <c r="B161" s="25"/>
      <c r="C161" s="27"/>
      <c r="D161" s="25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</row>
    <row r="162" spans="1:42" ht="18.75" x14ac:dyDescent="0.2">
      <c r="A162" s="25"/>
      <c r="B162" s="25"/>
      <c r="C162" s="27"/>
      <c r="D162" s="25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</row>
    <row r="163" spans="1:42" ht="23.25" x14ac:dyDescent="0.2">
      <c r="A163" s="25"/>
      <c r="B163" s="26" t="s">
        <v>389</v>
      </c>
      <c r="C163" s="27"/>
      <c r="D163" s="25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</row>
    <row r="164" spans="1:42" ht="18.75" x14ac:dyDescent="0.2">
      <c r="A164" s="25"/>
      <c r="B164" s="25"/>
      <c r="C164" s="27"/>
      <c r="D164" s="25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</row>
    <row r="165" spans="1:42" ht="36.75" customHeight="1" x14ac:dyDescent="0.2">
      <c r="A165" s="25"/>
      <c r="B165" s="215" t="s">
        <v>50</v>
      </c>
      <c r="C165" s="217" t="s">
        <v>51</v>
      </c>
      <c r="D165" s="30" t="s">
        <v>92</v>
      </c>
      <c r="E165" s="160"/>
      <c r="F165" s="160"/>
      <c r="G165" s="160"/>
      <c r="H165" s="160"/>
      <c r="I165" s="160"/>
      <c r="J165" s="160"/>
      <c r="K165" s="160"/>
      <c r="L165" s="160"/>
      <c r="M165" s="160"/>
      <c r="N165" s="160"/>
      <c r="O165" s="160"/>
      <c r="P165" s="160"/>
      <c r="Q165" s="212" t="s">
        <v>416</v>
      </c>
      <c r="R165" s="212"/>
      <c r="S165" s="212"/>
      <c r="T165" s="212"/>
      <c r="U165" s="212"/>
      <c r="V165" s="212"/>
      <c r="W165" s="212" t="s">
        <v>417</v>
      </c>
      <c r="X165" s="212"/>
      <c r="Y165" s="212"/>
      <c r="Z165" s="212"/>
      <c r="AA165" s="212" t="s">
        <v>390</v>
      </c>
      <c r="AB165" s="212"/>
      <c r="AC165" s="212"/>
      <c r="AD165" s="212" t="s">
        <v>391</v>
      </c>
      <c r="AE165" s="212"/>
      <c r="AF165" s="212"/>
      <c r="AG165" s="212"/>
      <c r="AH165" s="212" t="s">
        <v>145</v>
      </c>
      <c r="AI165" s="212"/>
      <c r="AJ165" s="212"/>
      <c r="AK165" s="212"/>
      <c r="AL165" s="212" t="s">
        <v>418</v>
      </c>
      <c r="AM165" s="212"/>
      <c r="AN165" s="161"/>
      <c r="AO165" s="28"/>
      <c r="AP165" s="28"/>
    </row>
    <row r="166" spans="1:42" ht="18.75" customHeight="1" x14ac:dyDescent="0.2">
      <c r="A166" s="25"/>
      <c r="B166" s="216"/>
      <c r="C166" s="218"/>
      <c r="D166" s="32" t="s">
        <v>93</v>
      </c>
      <c r="E166" s="99"/>
      <c r="F166" s="99"/>
      <c r="G166" s="99"/>
      <c r="H166" s="99"/>
      <c r="I166" s="99"/>
      <c r="J166" s="99"/>
      <c r="K166" s="99"/>
      <c r="L166" s="99"/>
      <c r="M166" s="99"/>
      <c r="N166" s="33"/>
      <c r="O166" s="33"/>
      <c r="P166" s="33"/>
      <c r="Q166" s="169" t="s">
        <v>392</v>
      </c>
      <c r="R166" s="169" t="s">
        <v>393</v>
      </c>
      <c r="S166" s="169" t="s">
        <v>394</v>
      </c>
      <c r="T166" s="170" t="s">
        <v>395</v>
      </c>
      <c r="U166" s="169" t="s">
        <v>396</v>
      </c>
      <c r="V166" s="169" t="s">
        <v>397</v>
      </c>
      <c r="W166" s="170" t="s">
        <v>398</v>
      </c>
      <c r="X166" s="169" t="s">
        <v>399</v>
      </c>
      <c r="Y166" s="169" t="s">
        <v>400</v>
      </c>
      <c r="Z166" s="169" t="s">
        <v>401</v>
      </c>
      <c r="AA166" s="169" t="s">
        <v>402</v>
      </c>
      <c r="AB166" s="169" t="s">
        <v>403</v>
      </c>
      <c r="AC166" s="169" t="s">
        <v>404</v>
      </c>
      <c r="AD166" s="169" t="s">
        <v>405</v>
      </c>
      <c r="AE166" s="169" t="s">
        <v>406</v>
      </c>
      <c r="AF166" s="169" t="s">
        <v>407</v>
      </c>
      <c r="AG166" s="169" t="s">
        <v>408</v>
      </c>
      <c r="AH166" s="169" t="s">
        <v>409</v>
      </c>
      <c r="AI166" s="169" t="s">
        <v>410</v>
      </c>
      <c r="AJ166" s="169" t="s">
        <v>411</v>
      </c>
      <c r="AK166" s="169" t="s">
        <v>412</v>
      </c>
      <c r="AL166" s="169" t="s">
        <v>413</v>
      </c>
      <c r="AM166" s="170" t="s">
        <v>414</v>
      </c>
      <c r="AN166" s="33" t="s">
        <v>415</v>
      </c>
      <c r="AO166" s="28"/>
      <c r="AP166" s="28"/>
    </row>
    <row r="167" spans="1:42" ht="9.9499999999999993" customHeight="1" x14ac:dyDescent="0.2">
      <c r="A167" s="25"/>
      <c r="B167" s="50"/>
      <c r="D167" s="96"/>
      <c r="E167" s="79"/>
      <c r="F167" s="42"/>
      <c r="G167" s="42"/>
      <c r="H167" s="42"/>
      <c r="I167" s="42"/>
      <c r="J167" s="42"/>
      <c r="K167" s="42"/>
      <c r="L167" s="42"/>
      <c r="M167" s="42"/>
      <c r="N167" s="42"/>
      <c r="O167" s="28"/>
      <c r="P167" s="28"/>
      <c r="Q167" s="28"/>
      <c r="R167" s="42"/>
      <c r="S167" s="42"/>
      <c r="T167" s="42"/>
      <c r="U167" s="42"/>
      <c r="V167" s="42"/>
      <c r="W167" s="42"/>
      <c r="X167" s="42"/>
      <c r="Y167" s="42"/>
      <c r="Z167" s="42"/>
      <c r="AA167" s="28"/>
      <c r="AB167" s="28"/>
      <c r="AC167" s="28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80"/>
      <c r="AO167" s="28"/>
      <c r="AP167" s="28"/>
    </row>
    <row r="168" spans="1:42" ht="21" x14ac:dyDescent="0.2">
      <c r="A168" s="25"/>
      <c r="B168" s="36"/>
      <c r="C168" s="46" t="s">
        <v>320</v>
      </c>
      <c r="D168" s="97"/>
      <c r="E168" s="47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48"/>
      <c r="AO168" s="28"/>
      <c r="AP168" s="28"/>
    </row>
    <row r="169" spans="1:42" ht="9.9499999999999993" customHeight="1" x14ac:dyDescent="0.2">
      <c r="A169" s="25"/>
      <c r="B169" s="50"/>
      <c r="D169" s="97"/>
      <c r="E169" s="47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48"/>
      <c r="AO169" s="28"/>
      <c r="AP169" s="28"/>
    </row>
    <row r="170" spans="1:42" ht="21" hidden="1" customHeight="1" x14ac:dyDescent="0.2">
      <c r="A170" s="25"/>
      <c r="B170" s="50"/>
      <c r="C170" s="51" t="s">
        <v>321</v>
      </c>
      <c r="D170" s="97"/>
      <c r="E170" s="47"/>
      <c r="F170" s="28"/>
      <c r="G170" s="28"/>
      <c r="H170" s="28"/>
      <c r="I170" s="28"/>
      <c r="J170" s="28"/>
      <c r="K170" s="101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48"/>
      <c r="AO170" s="28"/>
      <c r="AP170" s="28"/>
    </row>
    <row r="171" spans="1:42" ht="9.9499999999999993" hidden="1" customHeight="1" x14ac:dyDescent="0.2">
      <c r="A171" s="25"/>
      <c r="B171" s="50"/>
      <c r="C171" s="51"/>
      <c r="D171" s="97"/>
      <c r="E171" s="47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48"/>
      <c r="AO171" s="28"/>
      <c r="AP171" s="28"/>
    </row>
    <row r="172" spans="1:42" ht="21" hidden="1" customHeight="1" x14ac:dyDescent="0.2">
      <c r="A172" s="25"/>
      <c r="B172" s="36"/>
      <c r="C172" s="46"/>
      <c r="D172" s="97"/>
      <c r="E172" s="47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48"/>
      <c r="AO172" s="28"/>
      <c r="AP172" s="28"/>
    </row>
    <row r="173" spans="1:42" ht="9.9499999999999993" hidden="1" customHeight="1" x14ac:dyDescent="0.2">
      <c r="A173" s="25"/>
      <c r="B173" s="50"/>
      <c r="D173" s="97"/>
      <c r="E173" s="47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48"/>
      <c r="AO173" s="28"/>
      <c r="AP173" s="28"/>
    </row>
    <row r="174" spans="1:42" ht="21" hidden="1" customHeight="1" x14ac:dyDescent="0.2">
      <c r="A174" s="25"/>
      <c r="B174" s="50"/>
      <c r="C174" s="51"/>
      <c r="D174" s="97"/>
      <c r="E174" s="47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48"/>
      <c r="AO174" s="28"/>
      <c r="AP174" s="28"/>
    </row>
    <row r="175" spans="1:42" ht="9.9499999999999993" hidden="1" customHeight="1" x14ac:dyDescent="0.2">
      <c r="A175" s="25"/>
      <c r="B175" s="50"/>
      <c r="C175" s="51"/>
      <c r="D175" s="97"/>
      <c r="E175" s="47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48"/>
      <c r="AO175" s="28"/>
      <c r="AP175" s="28"/>
    </row>
    <row r="176" spans="1:42" ht="21" hidden="1" customHeight="1" x14ac:dyDescent="0.2">
      <c r="A176" s="25"/>
      <c r="B176" s="50"/>
      <c r="C176" s="51"/>
      <c r="D176" s="97"/>
      <c r="E176" s="47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48"/>
      <c r="AO176" s="28"/>
      <c r="AP176" s="28"/>
    </row>
    <row r="177" spans="1:42" ht="9.9499999999999993" hidden="1" customHeight="1" x14ac:dyDescent="0.2">
      <c r="A177" s="25"/>
      <c r="B177" s="50"/>
      <c r="D177" s="97"/>
      <c r="E177" s="47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48"/>
      <c r="AO177" s="28"/>
      <c r="AP177" s="28"/>
    </row>
    <row r="178" spans="1:42" ht="21" hidden="1" customHeight="1" x14ac:dyDescent="0.2">
      <c r="A178" s="25"/>
      <c r="B178" s="50"/>
      <c r="C178" s="51"/>
      <c r="D178" s="97"/>
      <c r="E178" s="47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48"/>
      <c r="AO178" s="28"/>
      <c r="AP178" s="28"/>
    </row>
    <row r="179" spans="1:42" ht="9.9499999999999993" hidden="1" customHeight="1" x14ac:dyDescent="0.2">
      <c r="A179" s="25"/>
      <c r="B179" s="50"/>
      <c r="D179" s="97"/>
      <c r="E179" s="47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48"/>
      <c r="AO179" s="28"/>
      <c r="AP179" s="28"/>
    </row>
    <row r="180" spans="1:42" ht="21" hidden="1" customHeight="1" x14ac:dyDescent="0.2">
      <c r="A180" s="25"/>
      <c r="B180" s="50"/>
      <c r="C180" s="51"/>
      <c r="D180" s="97"/>
      <c r="E180" s="47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48"/>
      <c r="AO180" s="28"/>
      <c r="AP180" s="28"/>
    </row>
    <row r="181" spans="1:42" ht="9.9499999999999993" hidden="1" customHeight="1" x14ac:dyDescent="0.2">
      <c r="A181" s="25"/>
      <c r="B181" s="50"/>
      <c r="D181" s="97"/>
      <c r="E181" s="47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48"/>
      <c r="AO181" s="28"/>
      <c r="AP181" s="28"/>
    </row>
    <row r="182" spans="1:42" ht="21" hidden="1" customHeight="1" x14ac:dyDescent="0.2">
      <c r="A182" s="25"/>
      <c r="B182" s="50"/>
      <c r="C182" s="51"/>
      <c r="D182" s="97"/>
      <c r="E182" s="47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48"/>
      <c r="AO182" s="28"/>
      <c r="AP182" s="28"/>
    </row>
    <row r="183" spans="1:42" ht="9.9499999999999993" hidden="1" customHeight="1" x14ac:dyDescent="0.2">
      <c r="A183" s="25"/>
      <c r="B183" s="50"/>
      <c r="D183" s="97"/>
      <c r="E183" s="47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48"/>
      <c r="AO183" s="28"/>
      <c r="AP183" s="28"/>
    </row>
    <row r="184" spans="1:42" ht="21" hidden="1" customHeight="1" x14ac:dyDescent="0.2">
      <c r="A184" s="25"/>
      <c r="B184" s="50"/>
      <c r="C184" s="51"/>
      <c r="D184" s="97"/>
      <c r="E184" s="47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48"/>
      <c r="AO184" s="28"/>
      <c r="AP184" s="28"/>
    </row>
    <row r="185" spans="1:42" ht="9.9499999999999993" hidden="1" customHeight="1" x14ac:dyDescent="0.2">
      <c r="A185" s="25"/>
      <c r="B185" s="50"/>
      <c r="D185" s="97"/>
      <c r="E185" s="47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48"/>
      <c r="AO185" s="28"/>
      <c r="AP185" s="28"/>
    </row>
    <row r="186" spans="1:42" ht="21" hidden="1" customHeight="1" x14ac:dyDescent="0.2">
      <c r="A186" s="25"/>
      <c r="B186" s="50"/>
      <c r="C186" s="51"/>
      <c r="D186" s="97"/>
      <c r="E186" s="47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48"/>
      <c r="AO186" s="28"/>
      <c r="AP186" s="28"/>
    </row>
    <row r="187" spans="1:42" ht="9.9499999999999993" hidden="1" customHeight="1" x14ac:dyDescent="0.2">
      <c r="A187" s="25"/>
      <c r="B187" s="50"/>
      <c r="D187" s="97"/>
      <c r="E187" s="47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48"/>
      <c r="AO187" s="28"/>
      <c r="AP187" s="28"/>
    </row>
    <row r="188" spans="1:42" ht="21" hidden="1" customHeight="1" x14ac:dyDescent="0.2">
      <c r="A188" s="25"/>
      <c r="B188" s="50"/>
      <c r="C188" s="51"/>
      <c r="D188" s="97"/>
      <c r="E188" s="47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48"/>
      <c r="AO188" s="28"/>
      <c r="AP188" s="28"/>
    </row>
    <row r="189" spans="1:42" ht="9.9499999999999993" hidden="1" customHeight="1" x14ac:dyDescent="0.2">
      <c r="A189" s="25"/>
      <c r="B189" s="50"/>
      <c r="D189" s="97"/>
      <c r="E189" s="47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48"/>
      <c r="AO189" s="28"/>
      <c r="AP189" s="28"/>
    </row>
    <row r="190" spans="1:42" ht="21" hidden="1" customHeight="1" x14ac:dyDescent="0.2">
      <c r="A190" s="25"/>
      <c r="B190" s="50"/>
      <c r="C190" s="51"/>
      <c r="D190" s="97"/>
      <c r="E190" s="47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48"/>
      <c r="AO190" s="28"/>
      <c r="AP190" s="28"/>
    </row>
    <row r="191" spans="1:42" ht="9.9499999999999993" hidden="1" customHeight="1" x14ac:dyDescent="0.2">
      <c r="A191" s="25"/>
      <c r="B191" s="50"/>
      <c r="D191" s="97"/>
      <c r="E191" s="47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48"/>
      <c r="AO191" s="28"/>
      <c r="AP191" s="28"/>
    </row>
    <row r="192" spans="1:42" ht="21" hidden="1" customHeight="1" x14ac:dyDescent="0.2">
      <c r="A192" s="25"/>
      <c r="B192" s="50"/>
      <c r="C192" s="51"/>
      <c r="D192" s="97"/>
      <c r="E192" s="47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48"/>
      <c r="AO192" s="28"/>
      <c r="AP192" s="28"/>
    </row>
    <row r="193" spans="1:42" ht="9.9499999999999993" hidden="1" customHeight="1" x14ac:dyDescent="0.2">
      <c r="A193" s="25"/>
      <c r="B193" s="50"/>
      <c r="D193" s="97"/>
      <c r="E193" s="47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48"/>
      <c r="AO193" s="28"/>
      <c r="AP193" s="28"/>
    </row>
    <row r="194" spans="1:42" ht="21" hidden="1" customHeight="1" x14ac:dyDescent="0.2">
      <c r="A194" s="25"/>
      <c r="B194" s="36"/>
      <c r="C194" s="46"/>
      <c r="D194" s="97"/>
      <c r="E194" s="47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48"/>
      <c r="AO194" s="28"/>
      <c r="AP194" s="28"/>
    </row>
    <row r="195" spans="1:42" ht="9.9499999999999993" hidden="1" customHeight="1" x14ac:dyDescent="0.2">
      <c r="A195" s="25"/>
      <c r="B195" s="50"/>
      <c r="D195" s="97"/>
      <c r="E195" s="47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48"/>
      <c r="AO195" s="28"/>
      <c r="AP195" s="28"/>
    </row>
    <row r="196" spans="1:42" ht="21" hidden="1" customHeight="1" x14ac:dyDescent="0.2">
      <c r="A196" s="25"/>
      <c r="B196" s="50"/>
      <c r="C196" s="51"/>
      <c r="D196" s="97"/>
      <c r="E196" s="47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48"/>
      <c r="AO196" s="28"/>
      <c r="AP196" s="28"/>
    </row>
    <row r="197" spans="1:42" ht="9.9499999999999993" hidden="1" customHeight="1" x14ac:dyDescent="0.2">
      <c r="A197" s="25"/>
      <c r="B197" s="50"/>
      <c r="D197" s="97"/>
      <c r="E197" s="47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48"/>
      <c r="AO197" s="28"/>
      <c r="AP197" s="28"/>
    </row>
    <row r="198" spans="1:42" ht="21" hidden="1" customHeight="1" x14ac:dyDescent="0.2">
      <c r="A198" s="25"/>
      <c r="B198" s="50"/>
      <c r="C198" s="51"/>
      <c r="D198" s="97"/>
      <c r="E198" s="47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48"/>
      <c r="AO198" s="28"/>
      <c r="AP198" s="28"/>
    </row>
    <row r="199" spans="1:42" ht="9.9499999999999993" hidden="1" customHeight="1" x14ac:dyDescent="0.2">
      <c r="A199" s="25"/>
      <c r="B199" s="50"/>
      <c r="D199" s="97"/>
      <c r="E199" s="47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48"/>
      <c r="AO199" s="28"/>
      <c r="AP199" s="28"/>
    </row>
    <row r="200" spans="1:42" ht="21" hidden="1" customHeight="1" x14ac:dyDescent="0.2">
      <c r="A200" s="25"/>
      <c r="B200" s="36"/>
      <c r="C200" s="46"/>
      <c r="D200" s="97"/>
      <c r="E200" s="47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48"/>
      <c r="AO200" s="28"/>
      <c r="AP200" s="28"/>
    </row>
    <row r="201" spans="1:42" ht="9.9499999999999993" hidden="1" customHeight="1" x14ac:dyDescent="0.2">
      <c r="A201" s="25"/>
      <c r="B201" s="50"/>
      <c r="D201" s="97"/>
      <c r="E201" s="47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48"/>
      <c r="AO201" s="28"/>
      <c r="AP201" s="28"/>
    </row>
    <row r="202" spans="1:42" ht="21" hidden="1" customHeight="1" x14ac:dyDescent="0.2">
      <c r="A202" s="25"/>
      <c r="B202" s="50"/>
      <c r="C202" s="51"/>
      <c r="D202" s="97"/>
      <c r="E202" s="47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48"/>
      <c r="AO202" s="28"/>
      <c r="AP202" s="28"/>
    </row>
    <row r="203" spans="1:42" ht="9.9499999999999993" hidden="1" customHeight="1" x14ac:dyDescent="0.2">
      <c r="A203" s="25"/>
      <c r="B203" s="50"/>
      <c r="D203" s="97"/>
      <c r="E203" s="47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48"/>
      <c r="AO203" s="28"/>
      <c r="AP203" s="28"/>
    </row>
    <row r="204" spans="1:42" ht="21" hidden="1" customHeight="1" x14ac:dyDescent="0.2">
      <c r="A204" s="25"/>
      <c r="B204" s="50"/>
      <c r="C204" s="51"/>
      <c r="D204" s="97"/>
      <c r="E204" s="47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48"/>
      <c r="AO204" s="28"/>
      <c r="AP204" s="28"/>
    </row>
    <row r="205" spans="1:42" ht="21" x14ac:dyDescent="0.2">
      <c r="A205" s="25"/>
      <c r="B205" s="36">
        <v>1</v>
      </c>
      <c r="C205" s="46" t="str">
        <f>C117</f>
        <v>Coordenação Geral</v>
      </c>
      <c r="D205" s="97"/>
      <c r="E205" s="47"/>
      <c r="F205" s="28"/>
      <c r="G205" s="28"/>
      <c r="H205" s="28"/>
      <c r="I205" s="28"/>
      <c r="J205" s="28"/>
      <c r="K205" s="28"/>
      <c r="L205" s="28"/>
      <c r="M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48"/>
      <c r="AO205" s="28"/>
      <c r="AP205" s="28"/>
    </row>
    <row r="206" spans="1:42" ht="9.9499999999999993" customHeight="1" x14ac:dyDescent="0.2">
      <c r="A206" s="25"/>
      <c r="B206" s="50"/>
      <c r="D206" s="97"/>
      <c r="E206" s="47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48"/>
      <c r="AO206" s="28"/>
      <c r="AP206" s="28"/>
    </row>
    <row r="207" spans="1:42" ht="21" x14ac:dyDescent="0.2">
      <c r="A207" s="25"/>
      <c r="B207" s="50" t="s">
        <v>107</v>
      </c>
      <c r="C207" s="51" t="str">
        <f t="shared" ref="C207:C241" si="0">C119</f>
        <v>Coordenação do Projeto (Porto Alegre, Rio Grande ou Pelotas)</v>
      </c>
      <c r="D207" s="97">
        <v>7</v>
      </c>
      <c r="E207" s="47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48"/>
      <c r="Q207" s="163"/>
      <c r="R207" s="163"/>
      <c r="S207" s="164"/>
      <c r="T207" s="164">
        <v>0.4</v>
      </c>
      <c r="U207" s="163"/>
      <c r="V207" s="163"/>
      <c r="W207" s="162">
        <v>0.4</v>
      </c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164">
        <v>0.2</v>
      </c>
      <c r="AN207" s="48"/>
      <c r="AO207" s="28"/>
      <c r="AP207" s="28"/>
    </row>
    <row r="208" spans="1:42" ht="9.9499999999999993" customHeight="1" x14ac:dyDescent="0.2">
      <c r="A208" s="25"/>
      <c r="B208" s="50"/>
      <c r="C208" s="51"/>
      <c r="D208" s="97"/>
      <c r="E208" s="47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48"/>
      <c r="AO208" s="28"/>
      <c r="AP208" s="28"/>
    </row>
    <row r="209" spans="1:42" ht="21" x14ac:dyDescent="0.2">
      <c r="A209" s="25"/>
      <c r="B209" s="36">
        <v>2</v>
      </c>
      <c r="C209" s="46" t="str">
        <f t="shared" si="0"/>
        <v>Estudos</v>
      </c>
      <c r="D209" s="97"/>
      <c r="E209" s="47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48"/>
      <c r="AO209" s="28"/>
      <c r="AP209" s="28"/>
    </row>
    <row r="210" spans="1:42" ht="9.9499999999999993" customHeight="1" x14ac:dyDescent="0.2">
      <c r="A210" s="25"/>
      <c r="B210" s="50"/>
      <c r="D210" s="97"/>
      <c r="E210" s="47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48"/>
      <c r="AO210" s="28"/>
      <c r="AP210" s="28"/>
    </row>
    <row r="211" spans="1:42" ht="21" x14ac:dyDescent="0.2">
      <c r="A211" s="25"/>
      <c r="B211" s="50" t="s">
        <v>112</v>
      </c>
      <c r="C211" s="51" t="str">
        <f t="shared" si="0"/>
        <v>Estudo das condições meteoceanográficas</v>
      </c>
      <c r="D211" s="97">
        <v>2</v>
      </c>
      <c r="E211" s="47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165"/>
      <c r="S211" s="165"/>
      <c r="T211" s="28"/>
      <c r="U211" s="28"/>
      <c r="V211" s="162"/>
      <c r="W211" s="162">
        <v>0.8</v>
      </c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162">
        <v>0.2</v>
      </c>
      <c r="AN211" s="48"/>
      <c r="AO211" s="28"/>
      <c r="AP211" s="28"/>
    </row>
    <row r="212" spans="1:42" ht="9.9499999999999993" customHeight="1" x14ac:dyDescent="0.2">
      <c r="A212" s="25"/>
      <c r="B212" s="50"/>
      <c r="C212" s="51"/>
      <c r="D212" s="97"/>
      <c r="E212" s="47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48"/>
      <c r="AO212" s="28"/>
      <c r="AP212" s="28"/>
    </row>
    <row r="213" spans="1:42" ht="21" x14ac:dyDescent="0.2">
      <c r="A213" s="25"/>
      <c r="B213" s="50" t="s">
        <v>288</v>
      </c>
      <c r="C213" s="51" t="str">
        <f t="shared" si="0"/>
        <v>Estudo de Sedimentação</v>
      </c>
      <c r="D213" s="97">
        <v>2</v>
      </c>
      <c r="E213" s="47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165"/>
      <c r="T213" s="165"/>
      <c r="U213" s="28"/>
      <c r="V213" s="162"/>
      <c r="W213" s="162">
        <v>0.8</v>
      </c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162">
        <v>0.2</v>
      </c>
      <c r="AN213" s="48"/>
      <c r="AO213" s="28"/>
      <c r="AP213" s="28"/>
    </row>
    <row r="214" spans="1:42" ht="9.9499999999999993" customHeight="1" x14ac:dyDescent="0.2">
      <c r="A214" s="25"/>
      <c r="B214" s="50"/>
      <c r="D214" s="97"/>
      <c r="E214" s="47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48"/>
      <c r="AO214" s="28"/>
      <c r="AP214" s="28"/>
    </row>
    <row r="215" spans="1:42" ht="21" x14ac:dyDescent="0.2">
      <c r="A215" s="25"/>
      <c r="B215" s="50" t="s">
        <v>289</v>
      </c>
      <c r="C215" s="51" t="str">
        <f t="shared" si="0"/>
        <v>Estudo dos navios de projeto</v>
      </c>
      <c r="D215" s="97">
        <v>1</v>
      </c>
      <c r="E215" s="47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48"/>
      <c r="Q215" s="165"/>
      <c r="R215" s="28"/>
      <c r="S215" s="28"/>
      <c r="T215" s="28"/>
      <c r="U215" s="28"/>
      <c r="V215" s="162"/>
      <c r="W215" s="162">
        <v>0.8</v>
      </c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162">
        <v>0.2</v>
      </c>
      <c r="AN215" s="48"/>
      <c r="AO215" s="28"/>
      <c r="AP215" s="28"/>
    </row>
    <row r="216" spans="1:42" ht="9.9499999999999993" customHeight="1" x14ac:dyDescent="0.2">
      <c r="A216" s="25"/>
      <c r="B216" s="50"/>
      <c r="D216" s="97"/>
      <c r="E216" s="47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48"/>
      <c r="AO216" s="28"/>
      <c r="AP216" s="28"/>
    </row>
    <row r="217" spans="1:42" ht="21" x14ac:dyDescent="0.2">
      <c r="A217" s="25"/>
      <c r="B217" s="50" t="s">
        <v>290</v>
      </c>
      <c r="C217" s="51" t="str">
        <f t="shared" si="0"/>
        <v>Estudo de dimensionamento (calado seguro)</v>
      </c>
      <c r="D217" s="97">
        <v>1</v>
      </c>
      <c r="E217" s="47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165"/>
      <c r="V217" s="162"/>
      <c r="W217" s="162">
        <v>0.8</v>
      </c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162">
        <v>0.2</v>
      </c>
      <c r="AN217" s="48"/>
      <c r="AO217" s="28"/>
      <c r="AP217" s="28"/>
    </row>
    <row r="218" spans="1:42" ht="9.9499999999999993" customHeight="1" x14ac:dyDescent="0.2">
      <c r="A218" s="25"/>
      <c r="B218" s="50"/>
      <c r="D218" s="97"/>
      <c r="E218" s="47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48"/>
      <c r="AO218" s="28"/>
      <c r="AP218" s="28"/>
    </row>
    <row r="219" spans="1:42" ht="21" x14ac:dyDescent="0.2">
      <c r="A219" s="25"/>
      <c r="B219" s="50" t="s">
        <v>291</v>
      </c>
      <c r="C219" s="51" t="str">
        <f t="shared" si="0"/>
        <v>Estudos de amarração</v>
      </c>
      <c r="D219" s="97">
        <v>1</v>
      </c>
      <c r="E219" s="47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165"/>
      <c r="V219" s="162"/>
      <c r="W219" s="162">
        <v>0.8</v>
      </c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162">
        <v>0.2</v>
      </c>
      <c r="AN219" s="48"/>
      <c r="AO219" s="28"/>
      <c r="AP219" s="28"/>
    </row>
    <row r="220" spans="1:42" ht="9.9499999999999993" customHeight="1" x14ac:dyDescent="0.2">
      <c r="A220" s="25"/>
      <c r="B220" s="50"/>
      <c r="D220" s="97"/>
      <c r="E220" s="47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48"/>
      <c r="AO220" s="28"/>
      <c r="AP220" s="28"/>
    </row>
    <row r="221" spans="1:42" ht="21" x14ac:dyDescent="0.2">
      <c r="A221" s="25"/>
      <c r="B221" s="50" t="s">
        <v>292</v>
      </c>
      <c r="C221" s="51" t="str">
        <f t="shared" si="0"/>
        <v>Estudo Value for Money</v>
      </c>
      <c r="D221" s="97">
        <v>2</v>
      </c>
      <c r="E221" s="47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165"/>
      <c r="V221" s="165"/>
      <c r="W221" s="162">
        <v>0.8</v>
      </c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162">
        <v>0.2</v>
      </c>
      <c r="AN221" s="48"/>
      <c r="AO221" s="28"/>
      <c r="AP221" s="28"/>
    </row>
    <row r="222" spans="1:42" ht="9.9499999999999993" customHeight="1" x14ac:dyDescent="0.2">
      <c r="A222" s="25"/>
      <c r="B222" s="50"/>
      <c r="D222" s="97"/>
      <c r="E222" s="47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48"/>
      <c r="AO222" s="28"/>
      <c r="AP222" s="28"/>
    </row>
    <row r="223" spans="1:42" ht="21" x14ac:dyDescent="0.2">
      <c r="A223" s="25"/>
      <c r="B223" s="50" t="s">
        <v>293</v>
      </c>
      <c r="C223" s="51" t="str">
        <f t="shared" si="0"/>
        <v>Estudo para Uso Benéfico do Material Dragado</v>
      </c>
      <c r="D223" s="97">
        <v>1</v>
      </c>
      <c r="E223" s="47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165"/>
      <c r="U223" s="28"/>
      <c r="V223" s="28"/>
      <c r="W223" s="162">
        <v>0.8</v>
      </c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162">
        <v>0.2</v>
      </c>
      <c r="AN223" s="48"/>
      <c r="AO223" s="28"/>
      <c r="AP223" s="28"/>
    </row>
    <row r="224" spans="1:42" ht="9.9499999999999993" customHeight="1" x14ac:dyDescent="0.2">
      <c r="A224" s="25"/>
      <c r="B224" s="50"/>
      <c r="D224" s="97"/>
      <c r="E224" s="47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48"/>
      <c r="AO224" s="28"/>
      <c r="AP224" s="28"/>
    </row>
    <row r="225" spans="1:42" ht="21" x14ac:dyDescent="0.2">
      <c r="A225" s="25"/>
      <c r="B225" s="50" t="s">
        <v>294</v>
      </c>
      <c r="C225" s="51" t="str">
        <f t="shared" si="0"/>
        <v>Estudo sobre o Casco Soçobrado Apollo I</v>
      </c>
      <c r="D225" s="97">
        <v>1</v>
      </c>
      <c r="E225" s="47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165"/>
      <c r="W225" s="162">
        <v>0.8</v>
      </c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162">
        <v>0.2</v>
      </c>
      <c r="AN225" s="48"/>
      <c r="AO225" s="28"/>
      <c r="AP225" s="28"/>
    </row>
    <row r="226" spans="1:42" ht="9.9499999999999993" customHeight="1" x14ac:dyDescent="0.2">
      <c r="A226" s="25"/>
      <c r="B226" s="50"/>
      <c r="D226" s="97"/>
      <c r="E226" s="47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48"/>
      <c r="AO226" s="28"/>
      <c r="AP226" s="28"/>
    </row>
    <row r="227" spans="1:42" ht="21" x14ac:dyDescent="0.2">
      <c r="A227" s="25"/>
      <c r="B227" s="50" t="s">
        <v>295</v>
      </c>
      <c r="C227" s="51" t="str">
        <f t="shared" si="0"/>
        <v>Estudo para reforma estrutural dos molhes</v>
      </c>
      <c r="D227" s="97">
        <v>3</v>
      </c>
      <c r="E227" s="47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48"/>
      <c r="Q227" s="165"/>
      <c r="R227" s="165"/>
      <c r="S227" s="165"/>
      <c r="T227" s="28"/>
      <c r="U227" s="28"/>
      <c r="V227" s="28"/>
      <c r="W227" s="162">
        <v>0.8</v>
      </c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162">
        <v>0.2</v>
      </c>
      <c r="AN227" s="48"/>
      <c r="AO227" s="28"/>
      <c r="AP227" s="28"/>
    </row>
    <row r="228" spans="1:42" ht="9.9499999999999993" customHeight="1" x14ac:dyDescent="0.2">
      <c r="A228" s="25"/>
      <c r="B228" s="50"/>
      <c r="D228" s="97"/>
      <c r="E228" s="47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48"/>
      <c r="AO228" s="28"/>
      <c r="AP228" s="28"/>
    </row>
    <row r="229" spans="1:42" ht="21" x14ac:dyDescent="0.2">
      <c r="A229" s="25"/>
      <c r="B229" s="50" t="s">
        <v>296</v>
      </c>
      <c r="C229" s="51" t="str">
        <f t="shared" si="0"/>
        <v>Estudo de Simulação Dinâmica de Capacidade</v>
      </c>
      <c r="D229" s="97">
        <v>3</v>
      </c>
      <c r="E229" s="47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165"/>
      <c r="S229" s="165"/>
      <c r="T229" s="165"/>
      <c r="U229" s="28"/>
      <c r="V229" s="28"/>
      <c r="W229" s="162">
        <v>0.8</v>
      </c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162">
        <v>0.2</v>
      </c>
      <c r="AN229" s="48"/>
      <c r="AO229" s="28"/>
      <c r="AP229" s="28"/>
    </row>
    <row r="230" spans="1:42" ht="9.9499999999999993" customHeight="1" x14ac:dyDescent="0.2">
      <c r="A230" s="25"/>
      <c r="B230" s="50"/>
      <c r="D230" s="97"/>
      <c r="E230" s="47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48"/>
      <c r="AO230" s="28"/>
      <c r="AP230" s="28"/>
    </row>
    <row r="231" spans="1:42" ht="21" x14ac:dyDescent="0.2">
      <c r="A231" s="25"/>
      <c r="B231" s="36">
        <v>3</v>
      </c>
      <c r="C231" s="46" t="str">
        <f t="shared" si="0"/>
        <v>Simulações de Manobra</v>
      </c>
      <c r="D231" s="97"/>
      <c r="E231" s="47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162"/>
      <c r="AN231" s="48"/>
      <c r="AO231" s="28"/>
      <c r="AP231" s="28"/>
    </row>
    <row r="232" spans="1:42" ht="9.9499999999999993" customHeight="1" x14ac:dyDescent="0.2">
      <c r="A232" s="25"/>
      <c r="B232" s="50"/>
      <c r="D232" s="97"/>
      <c r="E232" s="47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48"/>
      <c r="AO232" s="28"/>
      <c r="AP232" s="28"/>
    </row>
    <row r="233" spans="1:42" ht="21" x14ac:dyDescent="0.2">
      <c r="A233" s="25"/>
      <c r="B233" s="50" t="s">
        <v>119</v>
      </c>
      <c r="C233" s="51" t="str">
        <f t="shared" si="0"/>
        <v>Simulações de manobra "Fast-Time"</v>
      </c>
      <c r="D233" s="97">
        <v>2</v>
      </c>
      <c r="E233" s="47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166"/>
      <c r="V233" s="166"/>
      <c r="W233" s="162">
        <v>0.8</v>
      </c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162">
        <v>0.2</v>
      </c>
      <c r="AN233" s="48"/>
      <c r="AO233" s="28"/>
      <c r="AP233" s="28"/>
    </row>
    <row r="234" spans="1:42" ht="9.9499999999999993" customHeight="1" x14ac:dyDescent="0.2">
      <c r="A234" s="25"/>
      <c r="B234" s="50"/>
      <c r="D234" s="97"/>
      <c r="E234" s="47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48"/>
      <c r="AO234" s="28"/>
      <c r="AP234" s="28"/>
    </row>
    <row r="235" spans="1:42" ht="21" x14ac:dyDescent="0.2">
      <c r="A235" s="25"/>
      <c r="B235" s="50" t="s">
        <v>114</v>
      </c>
      <c r="C235" s="51" t="str">
        <f t="shared" si="0"/>
        <v>Simulações de manobra "Real-Time"</v>
      </c>
      <c r="D235" s="97">
        <v>1</v>
      </c>
      <c r="E235" s="47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166"/>
      <c r="W235" s="162">
        <v>0.8</v>
      </c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162">
        <v>0.2</v>
      </c>
      <c r="AN235" s="48"/>
      <c r="AO235" s="28"/>
      <c r="AP235" s="28"/>
    </row>
    <row r="236" spans="1:42" ht="9.9499999999999993" customHeight="1" x14ac:dyDescent="0.2">
      <c r="A236" s="25"/>
      <c r="B236" s="50"/>
      <c r="D236" s="97"/>
      <c r="E236" s="47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48"/>
      <c r="AO236" s="28"/>
      <c r="AP236" s="28"/>
    </row>
    <row r="237" spans="1:42" ht="21" x14ac:dyDescent="0.2">
      <c r="A237" s="25"/>
      <c r="B237" s="36">
        <v>4</v>
      </c>
      <c r="C237" s="46" t="str">
        <f t="shared" si="0"/>
        <v>Projetos</v>
      </c>
      <c r="D237" s="97"/>
      <c r="E237" s="47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48"/>
      <c r="AO237" s="28"/>
      <c r="AP237" s="28"/>
    </row>
    <row r="238" spans="1:42" ht="9.9499999999999993" customHeight="1" x14ac:dyDescent="0.2">
      <c r="A238" s="25"/>
      <c r="B238" s="50"/>
      <c r="D238" s="97"/>
      <c r="E238" s="47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48"/>
      <c r="AO238" s="28"/>
      <c r="AP238" s="28"/>
    </row>
    <row r="239" spans="1:42" ht="21" x14ac:dyDescent="0.2">
      <c r="A239" s="25"/>
      <c r="B239" s="50" t="s">
        <v>132</v>
      </c>
      <c r="C239" s="51" t="str">
        <f t="shared" si="0"/>
        <v>Projeto Conceitual de Dragagem</v>
      </c>
      <c r="D239" s="97">
        <v>1</v>
      </c>
      <c r="E239" s="47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167"/>
      <c r="W239" s="162">
        <v>0.8</v>
      </c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162">
        <v>0.2</v>
      </c>
      <c r="AN239" s="48"/>
      <c r="AO239" s="28"/>
      <c r="AP239" s="28"/>
    </row>
    <row r="240" spans="1:42" ht="9.9499999999999993" customHeight="1" x14ac:dyDescent="0.2">
      <c r="A240" s="25"/>
      <c r="B240" s="50"/>
      <c r="D240" s="97"/>
      <c r="E240" s="47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48"/>
      <c r="AO240" s="28"/>
      <c r="AP240" s="28"/>
    </row>
    <row r="241" spans="1:42" ht="21" x14ac:dyDescent="0.2">
      <c r="A241" s="25"/>
      <c r="B241" s="50" t="s">
        <v>134</v>
      </c>
      <c r="C241" s="51" t="str">
        <f t="shared" si="0"/>
        <v>Projeto Conceitual  de Sinalização e Balizamento Náutico</v>
      </c>
      <c r="D241" s="97">
        <v>1</v>
      </c>
      <c r="E241" s="47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167"/>
      <c r="W241" s="162">
        <v>0.8</v>
      </c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162">
        <v>0.2</v>
      </c>
      <c r="AN241" s="48"/>
      <c r="AO241" s="28"/>
      <c r="AP241" s="28"/>
    </row>
    <row r="242" spans="1:42" ht="9.9499999999999993" customHeight="1" x14ac:dyDescent="0.2">
      <c r="A242" s="25"/>
      <c r="B242" s="50"/>
      <c r="D242" s="97"/>
      <c r="E242" s="47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48"/>
      <c r="AO242" s="28"/>
      <c r="AP242" s="28"/>
    </row>
    <row r="243" spans="1:42" ht="21" x14ac:dyDescent="0.2">
      <c r="A243" s="25"/>
      <c r="B243" s="31" t="s">
        <v>150</v>
      </c>
      <c r="C243" s="59" t="s">
        <v>151</v>
      </c>
      <c r="D243" s="98">
        <v>7</v>
      </c>
      <c r="E243" s="85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  <c r="AA243" s="63"/>
      <c r="AB243" s="63"/>
      <c r="AC243" s="63"/>
      <c r="AD243" s="63"/>
      <c r="AE243" s="63"/>
      <c r="AF243" s="63"/>
      <c r="AG243" s="63"/>
      <c r="AH243" s="63"/>
      <c r="AI243" s="63"/>
      <c r="AJ243" s="63"/>
      <c r="AK243" s="63"/>
      <c r="AL243" s="63"/>
      <c r="AM243" s="63"/>
      <c r="AN243" s="86"/>
      <c r="AO243" s="28"/>
      <c r="AP243" s="28"/>
    </row>
    <row r="244" spans="1:42" ht="18.75" x14ac:dyDescent="0.2">
      <c r="A244" s="25"/>
      <c r="B244" s="25"/>
      <c r="C244" s="27"/>
      <c r="D244" s="25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</row>
    <row r="245" spans="1:42" ht="18.75" x14ac:dyDescent="0.2">
      <c r="A245" s="25"/>
      <c r="B245" s="168"/>
      <c r="C245" s="27" t="s">
        <v>419</v>
      </c>
      <c r="D245" s="25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</row>
    <row r="246" spans="1:42" ht="18.75" x14ac:dyDescent="0.2">
      <c r="A246" s="25"/>
      <c r="B246" s="25"/>
      <c r="C246" s="27"/>
      <c r="D246" s="25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</row>
    <row r="247" spans="1:42" ht="18.75" x14ac:dyDescent="0.2">
      <c r="A247" s="25"/>
      <c r="B247" s="25"/>
      <c r="C247" s="27"/>
      <c r="D247" s="25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</row>
    <row r="248" spans="1:42" ht="18.75" x14ac:dyDescent="0.2">
      <c r="A248" s="25"/>
      <c r="B248" s="25"/>
      <c r="C248" s="27"/>
      <c r="D248" s="25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</row>
    <row r="249" spans="1:42" ht="18.75" x14ac:dyDescent="0.2">
      <c r="A249" s="25"/>
      <c r="B249" s="25"/>
      <c r="C249" s="27"/>
      <c r="D249" s="25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</row>
    <row r="250" spans="1:42" ht="18.75" x14ac:dyDescent="0.2">
      <c r="A250" s="25"/>
      <c r="B250" s="25"/>
      <c r="C250" s="27"/>
      <c r="D250" s="25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</row>
    <row r="251" spans="1:42" ht="18.75" x14ac:dyDescent="0.2">
      <c r="A251" s="25"/>
      <c r="B251" s="25"/>
      <c r="C251" s="27"/>
      <c r="D251" s="25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</row>
    <row r="252" spans="1:42" ht="18.75" x14ac:dyDescent="0.2">
      <c r="A252" s="25"/>
      <c r="B252" s="25"/>
      <c r="C252" s="27"/>
      <c r="D252" s="25"/>
      <c r="E252" s="28"/>
      <c r="F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</row>
    <row r="253" spans="1:42" ht="19.5" thickBot="1" x14ac:dyDescent="0.25">
      <c r="A253" s="25"/>
      <c r="B253" s="25"/>
      <c r="C253" s="118" t="s">
        <v>338</v>
      </c>
      <c r="D253" s="121" t="s">
        <v>343</v>
      </c>
      <c r="E253" s="105" t="s">
        <v>333</v>
      </c>
      <c r="F253" s="28"/>
      <c r="G253" s="105" t="s">
        <v>333</v>
      </c>
      <c r="H253" s="105" t="s">
        <v>340</v>
      </c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</row>
    <row r="254" spans="1:42" ht="18.75" x14ac:dyDescent="0.2">
      <c r="A254" s="25"/>
      <c r="B254" s="25"/>
      <c r="C254" s="106" t="s">
        <v>322</v>
      </c>
      <c r="D254" s="107">
        <v>44965</v>
      </c>
      <c r="E254" s="108"/>
      <c r="F254" s="109"/>
      <c r="G254" s="110"/>
      <c r="H254" s="233">
        <f>G264/30</f>
        <v>1.6666666666666667</v>
      </c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</row>
    <row r="255" spans="1:42" ht="18.75" x14ac:dyDescent="0.2">
      <c r="A255" s="25"/>
      <c r="B255" s="25"/>
      <c r="C255" s="111" t="s">
        <v>323</v>
      </c>
      <c r="D255" s="103">
        <v>44968</v>
      </c>
      <c r="E255" s="104">
        <f>D255-D254</f>
        <v>3</v>
      </c>
      <c r="F255" s="28"/>
      <c r="G255" s="112"/>
      <c r="H255" s="234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</row>
    <row r="256" spans="1:42" ht="18.75" x14ac:dyDescent="0.2">
      <c r="A256" s="25"/>
      <c r="B256" s="25"/>
      <c r="C256" s="111" t="s">
        <v>325</v>
      </c>
      <c r="D256" s="103">
        <v>44970</v>
      </c>
      <c r="E256" s="104">
        <f t="shared" ref="E256:E270" si="1">D256-D255</f>
        <v>2</v>
      </c>
      <c r="F256" s="28"/>
      <c r="G256" s="112"/>
      <c r="H256" s="234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</row>
    <row r="257" spans="1:42" ht="18.75" x14ac:dyDescent="0.2">
      <c r="A257" s="25"/>
      <c r="B257" s="25"/>
      <c r="C257" s="111" t="s">
        <v>324</v>
      </c>
      <c r="D257" s="103">
        <v>44970</v>
      </c>
      <c r="E257" s="104">
        <f t="shared" si="1"/>
        <v>0</v>
      </c>
      <c r="F257" s="28"/>
      <c r="G257" s="112"/>
      <c r="H257" s="234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</row>
    <row r="258" spans="1:42" ht="18.75" x14ac:dyDescent="0.2">
      <c r="A258" s="25"/>
      <c r="B258" s="25"/>
      <c r="C258" s="111" t="s">
        <v>326</v>
      </c>
      <c r="D258" s="103">
        <v>44973</v>
      </c>
      <c r="E258" s="104">
        <f t="shared" si="1"/>
        <v>3</v>
      </c>
      <c r="F258" s="28"/>
      <c r="G258" s="112"/>
      <c r="H258" s="234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</row>
    <row r="259" spans="1:42" ht="18.75" x14ac:dyDescent="0.2">
      <c r="A259" s="25"/>
      <c r="B259" s="25"/>
      <c r="C259" s="111" t="s">
        <v>327</v>
      </c>
      <c r="D259" s="103">
        <v>45005</v>
      </c>
      <c r="E259" s="104">
        <f t="shared" si="1"/>
        <v>32</v>
      </c>
      <c r="F259" s="28"/>
      <c r="G259" s="112"/>
      <c r="H259" s="234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</row>
    <row r="260" spans="1:42" ht="18.75" x14ac:dyDescent="0.2">
      <c r="A260" s="25"/>
      <c r="B260" s="25"/>
      <c r="C260" s="111" t="s">
        <v>328</v>
      </c>
      <c r="D260" s="103">
        <v>45008</v>
      </c>
      <c r="E260" s="104">
        <f t="shared" si="1"/>
        <v>3</v>
      </c>
      <c r="F260" s="28"/>
      <c r="G260" s="112"/>
      <c r="H260" s="234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</row>
    <row r="261" spans="1:42" ht="18.75" x14ac:dyDescent="0.2">
      <c r="A261" s="25"/>
      <c r="B261" s="25"/>
      <c r="C261" s="111" t="s">
        <v>329</v>
      </c>
      <c r="D261" s="103">
        <v>45013</v>
      </c>
      <c r="E261" s="104">
        <f t="shared" si="1"/>
        <v>5</v>
      </c>
      <c r="F261" s="28"/>
      <c r="G261" s="112"/>
      <c r="H261" s="234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</row>
    <row r="262" spans="1:42" ht="18.75" x14ac:dyDescent="0.2">
      <c r="A262" s="25"/>
      <c r="B262" s="25"/>
      <c r="C262" s="111" t="s">
        <v>330</v>
      </c>
      <c r="D262" s="103">
        <v>45013</v>
      </c>
      <c r="E262" s="104">
        <f t="shared" si="1"/>
        <v>0</v>
      </c>
      <c r="F262" s="28"/>
      <c r="G262" s="112"/>
      <c r="H262" s="234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</row>
    <row r="263" spans="1:42" ht="18.75" x14ac:dyDescent="0.2">
      <c r="A263" s="25"/>
      <c r="B263" s="25"/>
      <c r="C263" s="111" t="s">
        <v>331</v>
      </c>
      <c r="D263" s="103">
        <v>45014</v>
      </c>
      <c r="E263" s="104">
        <f t="shared" si="1"/>
        <v>1</v>
      </c>
      <c r="F263" s="28"/>
      <c r="G263" s="112"/>
      <c r="H263" s="234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</row>
    <row r="264" spans="1:42" ht="19.5" thickBot="1" x14ac:dyDescent="0.25">
      <c r="A264" s="25"/>
      <c r="B264" s="25"/>
      <c r="C264" s="113" t="s">
        <v>332</v>
      </c>
      <c r="D264" s="114">
        <v>45015</v>
      </c>
      <c r="E264" s="115">
        <f t="shared" si="1"/>
        <v>1</v>
      </c>
      <c r="F264" s="116"/>
      <c r="G264" s="117">
        <f>D264-D254</f>
        <v>50</v>
      </c>
      <c r="H264" s="235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</row>
    <row r="265" spans="1:42" ht="18.75" x14ac:dyDescent="0.2">
      <c r="A265" s="25"/>
      <c r="B265" s="25"/>
      <c r="C265" s="106" t="s">
        <v>334</v>
      </c>
      <c r="D265" s="107">
        <v>45041</v>
      </c>
      <c r="E265" s="108">
        <f t="shared" si="1"/>
        <v>26</v>
      </c>
      <c r="F265" s="109"/>
      <c r="G265" s="108"/>
      <c r="H265" s="230">
        <f>G271/30</f>
        <v>2.8</v>
      </c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</row>
    <row r="266" spans="1:42" ht="18.75" x14ac:dyDescent="0.2">
      <c r="A266" s="25"/>
      <c r="B266" s="25"/>
      <c r="C266" s="111" t="s">
        <v>335</v>
      </c>
      <c r="D266" s="103">
        <v>45041</v>
      </c>
      <c r="E266" s="104">
        <f t="shared" si="1"/>
        <v>0</v>
      </c>
      <c r="F266" s="28"/>
      <c r="G266" s="104"/>
      <c r="H266" s="231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</row>
    <row r="267" spans="1:42" ht="18.75" x14ac:dyDescent="0.2">
      <c r="A267" s="25"/>
      <c r="B267" s="25"/>
      <c r="C267" s="111" t="s">
        <v>337</v>
      </c>
      <c r="D267" s="103">
        <v>45050</v>
      </c>
      <c r="E267" s="104">
        <f t="shared" si="1"/>
        <v>9</v>
      </c>
      <c r="F267" s="28"/>
      <c r="G267" s="104"/>
      <c r="H267" s="231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</row>
    <row r="268" spans="1:42" ht="18.75" x14ac:dyDescent="0.2">
      <c r="A268" s="25"/>
      <c r="B268" s="25"/>
      <c r="C268" s="111" t="s">
        <v>336</v>
      </c>
      <c r="D268" s="103">
        <v>45057</v>
      </c>
      <c r="E268" s="104">
        <f t="shared" si="1"/>
        <v>7</v>
      </c>
      <c r="F268" s="28"/>
      <c r="G268" s="104"/>
      <c r="H268" s="231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</row>
    <row r="269" spans="1:42" ht="18.75" x14ac:dyDescent="0.2">
      <c r="A269" s="25"/>
      <c r="B269" s="25"/>
      <c r="C269" s="119" t="s">
        <v>341</v>
      </c>
      <c r="D269" s="120">
        <v>45077</v>
      </c>
      <c r="E269" s="104">
        <f t="shared" si="1"/>
        <v>20</v>
      </c>
      <c r="F269" s="28"/>
      <c r="G269" s="105"/>
      <c r="H269" s="231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</row>
    <row r="270" spans="1:42" ht="18.75" x14ac:dyDescent="0.2">
      <c r="A270" s="25"/>
      <c r="B270" s="25"/>
      <c r="C270" s="119" t="s">
        <v>342</v>
      </c>
      <c r="D270" s="120">
        <v>45079</v>
      </c>
      <c r="E270" s="104">
        <f t="shared" si="1"/>
        <v>2</v>
      </c>
      <c r="F270" s="28"/>
      <c r="G270" s="105"/>
      <c r="H270" s="231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</row>
    <row r="271" spans="1:42" ht="19.5" thickBot="1" x14ac:dyDescent="0.25">
      <c r="A271" s="25"/>
      <c r="B271" s="25"/>
      <c r="C271" s="113" t="s">
        <v>339</v>
      </c>
      <c r="D271" s="114">
        <v>45099</v>
      </c>
      <c r="E271" s="115">
        <f>D271-D270</f>
        <v>20</v>
      </c>
      <c r="F271" s="116"/>
      <c r="G271" s="115">
        <f>D271-D264</f>
        <v>84</v>
      </c>
      <c r="H271" s="232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</row>
    <row r="272" spans="1:42" ht="18.75" x14ac:dyDescent="0.2">
      <c r="A272" s="25"/>
      <c r="B272" s="25"/>
      <c r="C272" s="27"/>
      <c r="D272" s="25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</row>
    <row r="273" spans="1:42" ht="18.75" x14ac:dyDescent="0.2">
      <c r="A273" s="25"/>
      <c r="B273" s="25"/>
      <c r="C273" s="27"/>
      <c r="D273" s="25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</row>
    <row r="274" spans="1:42" ht="18.75" x14ac:dyDescent="0.2">
      <c r="A274" s="25"/>
      <c r="B274" s="25"/>
      <c r="C274" s="27"/>
      <c r="D274" s="25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</row>
    <row r="275" spans="1:42" ht="18.75" x14ac:dyDescent="0.2">
      <c r="A275" s="25"/>
      <c r="B275" s="25"/>
      <c r="C275" s="27"/>
      <c r="D275" s="25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</row>
    <row r="276" spans="1:42" ht="18.75" x14ac:dyDescent="0.2">
      <c r="A276" s="25"/>
      <c r="B276" s="25"/>
      <c r="C276" s="27"/>
      <c r="D276" s="102"/>
      <c r="E276" s="28"/>
      <c r="F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</row>
    <row r="277" spans="1:42" ht="19.5" thickBot="1" x14ac:dyDescent="0.25">
      <c r="A277" s="25"/>
      <c r="B277" s="25"/>
      <c r="C277" s="124" t="s">
        <v>420</v>
      </c>
      <c r="D277" s="124" t="s">
        <v>344</v>
      </c>
      <c r="E277" s="105" t="s">
        <v>333</v>
      </c>
      <c r="F277" s="28"/>
      <c r="G277" s="105" t="s">
        <v>333</v>
      </c>
      <c r="H277" s="105" t="s">
        <v>340</v>
      </c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</row>
    <row r="278" spans="1:42" ht="18.75" x14ac:dyDescent="0.2">
      <c r="A278" s="25"/>
      <c r="B278" s="25"/>
      <c r="C278" s="106" t="str">
        <f>C254</f>
        <v>Conclusão dos documentos preparatórios</v>
      </c>
      <c r="D278" s="107">
        <v>45128</v>
      </c>
      <c r="E278" s="108">
        <f>E254</f>
        <v>0</v>
      </c>
      <c r="F278" s="109"/>
      <c r="G278" s="227">
        <f>D288-D278</f>
        <v>50</v>
      </c>
      <c r="H278" s="224">
        <f>G278/30</f>
        <v>1.6666666666666667</v>
      </c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</row>
    <row r="279" spans="1:42" ht="18.75" x14ac:dyDescent="0.2">
      <c r="A279" s="25"/>
      <c r="B279" s="25"/>
      <c r="C279" s="111" t="str">
        <f t="shared" ref="C279:C294" si="2">C255</f>
        <v>Encaminhamento da DIPLAN para SUPOF</v>
      </c>
      <c r="D279" s="103">
        <f>D278+E279</f>
        <v>45131</v>
      </c>
      <c r="E279" s="104">
        <f t="shared" ref="E279:E295" si="3">E255</f>
        <v>3</v>
      </c>
      <c r="F279" s="28"/>
      <c r="G279" s="228"/>
      <c r="H279" s="225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</row>
    <row r="280" spans="1:42" ht="18.75" x14ac:dyDescent="0.2">
      <c r="A280" s="25"/>
      <c r="B280" s="25"/>
      <c r="C280" s="111" t="str">
        <f t="shared" si="2"/>
        <v>Declaração de disponibilidade Orçamentária</v>
      </c>
      <c r="D280" s="103">
        <f t="shared" ref="D280:D295" si="4">D279+E280</f>
        <v>45133</v>
      </c>
      <c r="E280" s="104">
        <f t="shared" si="3"/>
        <v>2</v>
      </c>
      <c r="F280" s="28"/>
      <c r="G280" s="228"/>
      <c r="H280" s="225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</row>
    <row r="281" spans="1:42" ht="18.75" x14ac:dyDescent="0.2">
      <c r="A281" s="25"/>
      <c r="B281" s="25"/>
      <c r="C281" s="111" t="str">
        <f t="shared" si="2"/>
        <v>Encaminhamento DIPLAN para SULIC</v>
      </c>
      <c r="D281" s="103">
        <f t="shared" si="4"/>
        <v>45133</v>
      </c>
      <c r="E281" s="104">
        <f t="shared" si="3"/>
        <v>0</v>
      </c>
      <c r="F281" s="28"/>
      <c r="G281" s="228"/>
      <c r="H281" s="225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</row>
    <row r="282" spans="1:42" ht="18.75" x14ac:dyDescent="0.2">
      <c r="A282" s="25"/>
      <c r="B282" s="25"/>
      <c r="C282" s="111" t="str">
        <f t="shared" si="2"/>
        <v>Conclusão da Análise GECCO/SULIC e envio à PROJUR</v>
      </c>
      <c r="D282" s="103">
        <f t="shared" si="4"/>
        <v>45136</v>
      </c>
      <c r="E282" s="104">
        <f t="shared" si="3"/>
        <v>3</v>
      </c>
      <c r="F282" s="28"/>
      <c r="G282" s="228"/>
      <c r="H282" s="225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</row>
    <row r="283" spans="1:42" ht="18.75" x14ac:dyDescent="0.2">
      <c r="A283" s="25"/>
      <c r="B283" s="25"/>
      <c r="C283" s="111" t="str">
        <f t="shared" si="2"/>
        <v>Parecer PROJUR</v>
      </c>
      <c r="D283" s="103">
        <f t="shared" si="4"/>
        <v>45168</v>
      </c>
      <c r="E283" s="104">
        <f t="shared" si="3"/>
        <v>32</v>
      </c>
      <c r="F283" s="28"/>
      <c r="G283" s="228"/>
      <c r="H283" s="225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</row>
    <row r="284" spans="1:42" ht="18.75" x14ac:dyDescent="0.2">
      <c r="A284" s="25"/>
      <c r="B284" s="25"/>
      <c r="C284" s="111" t="str">
        <f t="shared" si="2"/>
        <v>Nota Técnica da área demandante (Atendimento à PROJUR)</v>
      </c>
      <c r="D284" s="103">
        <f t="shared" si="4"/>
        <v>45171</v>
      </c>
      <c r="E284" s="104">
        <f t="shared" si="3"/>
        <v>3</v>
      </c>
      <c r="F284" s="28"/>
      <c r="G284" s="228"/>
      <c r="H284" s="225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</row>
    <row r="285" spans="1:42" ht="18.75" x14ac:dyDescent="0.2">
      <c r="A285" s="25"/>
      <c r="B285" s="25"/>
      <c r="C285" s="111" t="str">
        <f t="shared" si="2"/>
        <v>Elaboração da minuta de contrato (GECCO)</v>
      </c>
      <c r="D285" s="103">
        <f t="shared" si="4"/>
        <v>45176</v>
      </c>
      <c r="E285" s="104">
        <f t="shared" si="3"/>
        <v>5</v>
      </c>
      <c r="F285" s="28"/>
      <c r="G285" s="228"/>
      <c r="H285" s="225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</row>
    <row r="286" spans="1:42" ht="18.75" x14ac:dyDescent="0.2">
      <c r="A286" s="25"/>
      <c r="B286" s="25"/>
      <c r="C286" s="111" t="str">
        <f t="shared" si="2"/>
        <v>Elaboração da minuta de edital (GELIC)</v>
      </c>
      <c r="D286" s="103">
        <f t="shared" si="4"/>
        <v>45176</v>
      </c>
      <c r="E286" s="104">
        <f t="shared" si="3"/>
        <v>0</v>
      </c>
      <c r="F286" s="28"/>
      <c r="G286" s="228"/>
      <c r="H286" s="225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</row>
    <row r="287" spans="1:42" ht="18.75" x14ac:dyDescent="0.2">
      <c r="A287" s="25"/>
      <c r="B287" s="25"/>
      <c r="C287" s="111" t="str">
        <f t="shared" si="2"/>
        <v>Deliberação DIREXE</v>
      </c>
      <c r="D287" s="103">
        <f t="shared" si="4"/>
        <v>45177</v>
      </c>
      <c r="E287" s="104">
        <f t="shared" si="3"/>
        <v>1</v>
      </c>
      <c r="F287" s="28"/>
      <c r="G287" s="228"/>
      <c r="H287" s="225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</row>
    <row r="288" spans="1:42" ht="19.5" thickBot="1" x14ac:dyDescent="0.25">
      <c r="A288" s="25"/>
      <c r="B288" s="25"/>
      <c r="C288" s="113" t="str">
        <f t="shared" si="2"/>
        <v>Publicação do EDITAL</v>
      </c>
      <c r="D288" s="114">
        <f t="shared" si="4"/>
        <v>45178</v>
      </c>
      <c r="E288" s="115">
        <f t="shared" si="3"/>
        <v>1</v>
      </c>
      <c r="F288" s="116"/>
      <c r="G288" s="229"/>
      <c r="H288" s="226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</row>
    <row r="289" spans="1:42" ht="18.75" x14ac:dyDescent="0.2">
      <c r="A289" s="25"/>
      <c r="B289" s="25"/>
      <c r="C289" s="106" t="str">
        <f t="shared" si="2"/>
        <v>Proposta Comercial</v>
      </c>
      <c r="D289" s="107">
        <f t="shared" si="4"/>
        <v>45204</v>
      </c>
      <c r="E289" s="108">
        <f t="shared" si="3"/>
        <v>26</v>
      </c>
      <c r="F289" s="109"/>
      <c r="G289" s="227">
        <f>D295-D288</f>
        <v>84</v>
      </c>
      <c r="H289" s="224">
        <f>G289/30</f>
        <v>2.8</v>
      </c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</row>
    <row r="290" spans="1:42" ht="18.75" x14ac:dyDescent="0.2">
      <c r="A290" s="25"/>
      <c r="B290" s="25"/>
      <c r="C290" s="111" t="str">
        <f t="shared" si="2"/>
        <v>Ata de Sessão</v>
      </c>
      <c r="D290" s="103">
        <f t="shared" si="4"/>
        <v>45204</v>
      </c>
      <c r="E290" s="104">
        <f t="shared" si="3"/>
        <v>0</v>
      </c>
      <c r="F290" s="28"/>
      <c r="G290" s="228"/>
      <c r="H290" s="225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</row>
    <row r="291" spans="1:42" ht="18.75" x14ac:dyDescent="0.2">
      <c r="A291" s="25"/>
      <c r="B291" s="25"/>
      <c r="C291" s="111" t="str">
        <f t="shared" si="2"/>
        <v>Relatório de Homologação</v>
      </c>
      <c r="D291" s="103">
        <f t="shared" si="4"/>
        <v>45213</v>
      </c>
      <c r="E291" s="104">
        <f t="shared" si="3"/>
        <v>9</v>
      </c>
      <c r="F291" s="28"/>
      <c r="G291" s="228"/>
      <c r="H291" s="225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</row>
    <row r="292" spans="1:42" ht="18.75" x14ac:dyDescent="0.2">
      <c r="A292" s="25"/>
      <c r="B292" s="25"/>
      <c r="C292" s="111" t="str">
        <f t="shared" si="2"/>
        <v>Termo de Homologação</v>
      </c>
      <c r="D292" s="103">
        <f t="shared" si="4"/>
        <v>45220</v>
      </c>
      <c r="E292" s="104">
        <f t="shared" si="3"/>
        <v>7</v>
      </c>
      <c r="F292" s="28"/>
      <c r="G292" s="228"/>
      <c r="H292" s="225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</row>
    <row r="293" spans="1:42" ht="18.75" x14ac:dyDescent="0.2">
      <c r="A293" s="25"/>
      <c r="B293" s="25"/>
      <c r="C293" s="111" t="str">
        <f t="shared" si="2"/>
        <v>Despacho SULIC para DIPLAN</v>
      </c>
      <c r="D293" s="103">
        <f t="shared" si="4"/>
        <v>45240</v>
      </c>
      <c r="E293" s="104">
        <f t="shared" si="3"/>
        <v>20</v>
      </c>
      <c r="F293" s="28"/>
      <c r="G293" s="228"/>
      <c r="H293" s="225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</row>
    <row r="294" spans="1:42" ht="18.75" x14ac:dyDescent="0.2">
      <c r="A294" s="25"/>
      <c r="B294" s="25"/>
      <c r="C294" s="111" t="str">
        <f t="shared" si="2"/>
        <v>Superintendente emite SOLICITAÇÃO DE EMPENHO</v>
      </c>
      <c r="D294" s="103">
        <f t="shared" si="4"/>
        <v>45242</v>
      </c>
      <c r="E294" s="104">
        <f t="shared" si="3"/>
        <v>2</v>
      </c>
      <c r="F294" s="28"/>
      <c r="G294" s="228"/>
      <c r="H294" s="225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</row>
    <row r="295" spans="1:42" ht="19.5" thickBot="1" x14ac:dyDescent="0.25">
      <c r="A295" s="25"/>
      <c r="B295" s="25"/>
      <c r="C295" s="113" t="s">
        <v>463</v>
      </c>
      <c r="D295" s="114">
        <f t="shared" si="4"/>
        <v>45262</v>
      </c>
      <c r="E295" s="115">
        <f t="shared" si="3"/>
        <v>20</v>
      </c>
      <c r="F295" s="116"/>
      <c r="G295" s="229"/>
      <c r="H295" s="226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</row>
    <row r="296" spans="1:42" ht="7.5" customHeight="1" x14ac:dyDescent="0.2">
      <c r="A296" s="25"/>
      <c r="B296" s="25"/>
      <c r="C296" s="27"/>
      <c r="D296" s="25"/>
      <c r="E296" s="25"/>
      <c r="F296" s="25"/>
      <c r="G296" s="25"/>
      <c r="H296" s="25"/>
      <c r="I296" s="25"/>
      <c r="J296" s="25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</row>
    <row r="297" spans="1:42" ht="18.75" x14ac:dyDescent="0.2">
      <c r="A297" s="25"/>
      <c r="B297" s="25"/>
      <c r="C297" s="122" t="s">
        <v>462</v>
      </c>
      <c r="D297" s="102"/>
      <c r="E297" s="25"/>
      <c r="F297" s="25"/>
      <c r="G297" s="25"/>
      <c r="H297" s="25"/>
      <c r="I297" s="25"/>
      <c r="J297" s="25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</row>
    <row r="298" spans="1:42" ht="18.75" x14ac:dyDescent="0.2">
      <c r="A298" s="25"/>
      <c r="B298" s="25"/>
      <c r="C298" s="122"/>
      <c r="D298" s="102"/>
      <c r="E298" s="25"/>
      <c r="F298" s="25"/>
      <c r="G298" s="25"/>
      <c r="H298" s="25"/>
      <c r="I298" s="25"/>
      <c r="J298" s="25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</row>
    <row r="299" spans="1:42" x14ac:dyDescent="0.2">
      <c r="A299" s="171"/>
      <c r="B299" s="171"/>
      <c r="C299" s="171"/>
      <c r="D299" s="171"/>
      <c r="E299" s="171"/>
      <c r="F299" s="171"/>
      <c r="G299" s="171"/>
      <c r="H299" s="171"/>
      <c r="I299" s="171"/>
      <c r="J299" s="171"/>
      <c r="K299" s="171"/>
      <c r="L299" s="171"/>
      <c r="M299" s="171"/>
      <c r="N299" s="171"/>
      <c r="O299" s="171"/>
      <c r="P299" s="171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</row>
    <row r="300" spans="1:42" ht="15.75" x14ac:dyDescent="0.2">
      <c r="A300" s="171"/>
      <c r="B300" s="171"/>
      <c r="C300" s="124" t="s">
        <v>345</v>
      </c>
      <c r="D300" s="124" t="str">
        <f>D277</f>
        <v>RIO GRANDE</v>
      </c>
      <c r="E300" s="171"/>
      <c r="F300" s="171"/>
      <c r="G300" s="171"/>
      <c r="H300" s="171"/>
      <c r="I300" s="171"/>
      <c r="J300" s="171"/>
      <c r="K300" s="171"/>
      <c r="L300" s="171"/>
      <c r="M300" s="171"/>
      <c r="N300" s="171"/>
      <c r="O300" s="171"/>
      <c r="P300" s="171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</row>
    <row r="301" spans="1:42" ht="18.75" x14ac:dyDescent="0.2">
      <c r="A301" s="171"/>
      <c r="B301" s="171"/>
      <c r="C301" s="123" t="str">
        <f t="shared" ref="C301:C318" si="5">C278</f>
        <v>Conclusão dos documentos preparatórios</v>
      </c>
      <c r="D301" s="103">
        <v>45145</v>
      </c>
      <c r="E301" s="171"/>
      <c r="F301" s="171"/>
      <c r="G301" s="171"/>
      <c r="H301" s="171"/>
      <c r="I301" s="171"/>
      <c r="J301" s="171"/>
      <c r="K301" s="171"/>
      <c r="L301" s="171"/>
      <c r="M301" s="171"/>
      <c r="N301" s="171"/>
      <c r="O301" s="171"/>
      <c r="P301" s="44" t="s">
        <v>461</v>
      </c>
      <c r="Q301" s="191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</row>
    <row r="302" spans="1:42" ht="18.75" x14ac:dyDescent="0.2">
      <c r="A302" s="171"/>
      <c r="B302" s="171"/>
      <c r="C302" s="123" t="str">
        <f t="shared" si="5"/>
        <v>Encaminhamento da DIPLAN para SUPOF</v>
      </c>
      <c r="D302" s="103">
        <f t="shared" ref="D302:D318" si="6">D301+E279</f>
        <v>45148</v>
      </c>
      <c r="E302" s="171"/>
      <c r="F302" s="171"/>
      <c r="G302" s="171"/>
      <c r="H302" s="171"/>
      <c r="I302" s="171"/>
      <c r="J302" s="171"/>
      <c r="K302" s="171"/>
      <c r="L302" s="171"/>
      <c r="M302" s="171"/>
      <c r="N302" s="171"/>
      <c r="O302" s="171"/>
      <c r="P302" s="44">
        <f>D302-D301</f>
        <v>3</v>
      </c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</row>
    <row r="303" spans="1:42" ht="18.75" x14ac:dyDescent="0.2">
      <c r="A303" s="171"/>
      <c r="B303" s="171"/>
      <c r="C303" s="123" t="str">
        <f t="shared" si="5"/>
        <v>Declaração de disponibilidade Orçamentária</v>
      </c>
      <c r="D303" s="103">
        <f t="shared" si="6"/>
        <v>45150</v>
      </c>
      <c r="E303" s="171"/>
      <c r="F303" s="171"/>
      <c r="G303" s="171"/>
      <c r="H303" s="171"/>
      <c r="I303" s="171"/>
      <c r="J303" s="171"/>
      <c r="K303" s="171"/>
      <c r="L303" s="171"/>
      <c r="M303" s="171"/>
      <c r="N303" s="171"/>
      <c r="O303" s="171"/>
      <c r="P303" s="44">
        <f t="shared" ref="P303:P318" si="7">D303-D302</f>
        <v>2</v>
      </c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</row>
    <row r="304" spans="1:42" ht="18.75" x14ac:dyDescent="0.2">
      <c r="A304" s="171"/>
      <c r="B304" s="171"/>
      <c r="C304" s="123" t="str">
        <f t="shared" si="5"/>
        <v>Encaminhamento DIPLAN para SULIC</v>
      </c>
      <c r="D304" s="103">
        <f t="shared" si="6"/>
        <v>45150</v>
      </c>
      <c r="E304" s="171"/>
      <c r="F304" s="171"/>
      <c r="G304" s="171"/>
      <c r="H304" s="171"/>
      <c r="I304" s="171"/>
      <c r="J304" s="171"/>
      <c r="K304" s="171"/>
      <c r="L304" s="171"/>
      <c r="M304" s="171"/>
      <c r="N304" s="171"/>
      <c r="O304" s="171"/>
      <c r="P304" s="44">
        <f t="shared" si="7"/>
        <v>0</v>
      </c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</row>
    <row r="305" spans="1:42" ht="18.75" x14ac:dyDescent="0.2">
      <c r="A305" s="171"/>
      <c r="B305" s="171"/>
      <c r="C305" s="123" t="str">
        <f t="shared" si="5"/>
        <v>Conclusão da Análise GECCO/SULIC e envio à PROJUR</v>
      </c>
      <c r="D305" s="103">
        <f t="shared" si="6"/>
        <v>45153</v>
      </c>
      <c r="E305" s="171"/>
      <c r="F305" s="171"/>
      <c r="G305" s="171"/>
      <c r="H305" s="171"/>
      <c r="I305" s="171"/>
      <c r="J305" s="171"/>
      <c r="K305" s="171"/>
      <c r="L305" s="171"/>
      <c r="M305" s="171"/>
      <c r="N305" s="171"/>
      <c r="O305" s="171"/>
      <c r="P305" s="44">
        <f t="shared" si="7"/>
        <v>3</v>
      </c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</row>
    <row r="306" spans="1:42" ht="18.75" x14ac:dyDescent="0.2">
      <c r="A306" s="171"/>
      <c r="B306" s="171"/>
      <c r="C306" s="123" t="str">
        <f t="shared" si="5"/>
        <v>Parecer PROJUR</v>
      </c>
      <c r="D306" s="103">
        <f t="shared" si="6"/>
        <v>45185</v>
      </c>
      <c r="E306" s="171"/>
      <c r="F306" s="171"/>
      <c r="G306" s="171"/>
      <c r="H306" s="171"/>
      <c r="I306" s="171"/>
      <c r="J306" s="171"/>
      <c r="K306" s="171"/>
      <c r="L306" s="171"/>
      <c r="M306" s="171"/>
      <c r="N306" s="171"/>
      <c r="O306" s="171"/>
      <c r="P306" s="44">
        <f t="shared" si="7"/>
        <v>32</v>
      </c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</row>
    <row r="307" spans="1:42" ht="18.75" x14ac:dyDescent="0.2">
      <c r="A307" s="171"/>
      <c r="B307" s="171"/>
      <c r="C307" s="123" t="str">
        <f t="shared" si="5"/>
        <v>Nota Técnica da área demandante (Atendimento à PROJUR)</v>
      </c>
      <c r="D307" s="103">
        <f t="shared" si="6"/>
        <v>45188</v>
      </c>
      <c r="E307" s="171"/>
      <c r="F307" s="171"/>
      <c r="G307" s="171"/>
      <c r="H307" s="171"/>
      <c r="I307" s="171"/>
      <c r="J307" s="171"/>
      <c r="K307" s="171"/>
      <c r="L307" s="171"/>
      <c r="M307" s="171"/>
      <c r="N307" s="171"/>
      <c r="O307" s="171"/>
      <c r="P307" s="44">
        <f t="shared" si="7"/>
        <v>3</v>
      </c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</row>
    <row r="308" spans="1:42" ht="18.75" x14ac:dyDescent="0.2">
      <c r="A308" s="171"/>
      <c r="B308" s="171"/>
      <c r="C308" s="123" t="str">
        <f t="shared" si="5"/>
        <v>Elaboração da minuta de contrato (GECCO)</v>
      </c>
      <c r="D308" s="103">
        <f t="shared" si="6"/>
        <v>45193</v>
      </c>
      <c r="E308" s="171"/>
      <c r="F308" s="171"/>
      <c r="G308" s="171"/>
      <c r="H308" s="171"/>
      <c r="I308" s="171"/>
      <c r="J308" s="171"/>
      <c r="K308" s="171"/>
      <c r="L308" s="171"/>
      <c r="M308" s="171"/>
      <c r="N308" s="171"/>
      <c r="O308" s="171"/>
      <c r="P308" s="44">
        <f t="shared" si="7"/>
        <v>5</v>
      </c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</row>
    <row r="309" spans="1:42" ht="18.75" x14ac:dyDescent="0.2">
      <c r="A309" s="171"/>
      <c r="B309" s="171"/>
      <c r="C309" s="123" t="str">
        <f t="shared" si="5"/>
        <v>Elaboração da minuta de edital (GELIC)</v>
      </c>
      <c r="D309" s="103">
        <f t="shared" si="6"/>
        <v>45193</v>
      </c>
      <c r="E309" s="171"/>
      <c r="F309" s="171"/>
      <c r="G309" s="171"/>
      <c r="H309" s="171"/>
      <c r="I309" s="171"/>
      <c r="J309" s="171"/>
      <c r="K309" s="171"/>
      <c r="L309" s="171"/>
      <c r="M309" s="171"/>
      <c r="N309" s="171"/>
      <c r="O309" s="171"/>
      <c r="P309" s="44">
        <f t="shared" si="7"/>
        <v>0</v>
      </c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  <c r="AO309" s="28"/>
      <c r="AP309" s="28"/>
    </row>
    <row r="310" spans="1:42" ht="18.75" x14ac:dyDescent="0.2">
      <c r="A310" s="171"/>
      <c r="B310" s="171"/>
      <c r="C310" s="123" t="str">
        <f t="shared" si="5"/>
        <v>Deliberação DIREXE</v>
      </c>
      <c r="D310" s="103">
        <f t="shared" si="6"/>
        <v>45194</v>
      </c>
      <c r="E310" s="171"/>
      <c r="F310" s="171"/>
      <c r="G310" s="171"/>
      <c r="H310" s="171"/>
      <c r="I310" s="171"/>
      <c r="J310" s="171"/>
      <c r="K310" s="171"/>
      <c r="L310" s="171"/>
      <c r="M310" s="171"/>
      <c r="N310" s="171"/>
      <c r="O310" s="171"/>
      <c r="P310" s="44">
        <f t="shared" si="7"/>
        <v>1</v>
      </c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</row>
    <row r="311" spans="1:42" ht="18.75" x14ac:dyDescent="0.2">
      <c r="A311" s="171"/>
      <c r="B311" s="171"/>
      <c r="C311" s="123" t="str">
        <f t="shared" si="5"/>
        <v>Publicação do EDITAL</v>
      </c>
      <c r="D311" s="103">
        <f t="shared" si="6"/>
        <v>45195</v>
      </c>
      <c r="E311" s="171"/>
      <c r="F311" s="171"/>
      <c r="G311" s="171"/>
      <c r="H311" s="171"/>
      <c r="I311" s="171"/>
      <c r="J311" s="171"/>
      <c r="K311" s="171"/>
      <c r="L311" s="171"/>
      <c r="M311" s="171"/>
      <c r="N311" s="171"/>
      <c r="O311" s="171"/>
      <c r="P311" s="44">
        <f t="shared" si="7"/>
        <v>1</v>
      </c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</row>
    <row r="312" spans="1:42" ht="18.75" x14ac:dyDescent="0.2">
      <c r="A312" s="171"/>
      <c r="B312" s="171"/>
      <c r="C312" s="123" t="str">
        <f t="shared" si="5"/>
        <v>Proposta Comercial</v>
      </c>
      <c r="D312" s="103">
        <f t="shared" si="6"/>
        <v>45221</v>
      </c>
      <c r="E312" s="171"/>
      <c r="F312" s="171"/>
      <c r="G312" s="171"/>
      <c r="H312" s="171"/>
      <c r="I312" s="171"/>
      <c r="J312" s="171"/>
      <c r="K312" s="171"/>
      <c r="L312" s="171"/>
      <c r="M312" s="171"/>
      <c r="N312" s="171"/>
      <c r="O312" s="171"/>
      <c r="P312" s="44">
        <f t="shared" si="7"/>
        <v>26</v>
      </c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</row>
    <row r="313" spans="1:42" ht="18.75" x14ac:dyDescent="0.2">
      <c r="A313" s="171"/>
      <c r="B313" s="171"/>
      <c r="C313" s="123" t="str">
        <f t="shared" si="5"/>
        <v>Ata de Sessão</v>
      </c>
      <c r="D313" s="103">
        <f t="shared" si="6"/>
        <v>45221</v>
      </c>
      <c r="E313" s="171"/>
      <c r="F313" s="171"/>
      <c r="G313" s="171"/>
      <c r="H313" s="171"/>
      <c r="I313" s="171"/>
      <c r="J313" s="171"/>
      <c r="K313" s="171"/>
      <c r="L313" s="171"/>
      <c r="M313" s="171"/>
      <c r="N313" s="171"/>
      <c r="O313" s="171"/>
      <c r="P313" s="44">
        <f t="shared" si="7"/>
        <v>0</v>
      </c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  <c r="AN313" s="28"/>
      <c r="AO313" s="28"/>
      <c r="AP313" s="28"/>
    </row>
    <row r="314" spans="1:42" ht="18.75" x14ac:dyDescent="0.2">
      <c r="A314" s="171"/>
      <c r="B314" s="171"/>
      <c r="C314" s="123" t="str">
        <f t="shared" si="5"/>
        <v>Relatório de Homologação</v>
      </c>
      <c r="D314" s="103">
        <f t="shared" si="6"/>
        <v>45230</v>
      </c>
      <c r="E314" s="171"/>
      <c r="F314" s="171"/>
      <c r="G314" s="171"/>
      <c r="H314" s="171"/>
      <c r="I314" s="171"/>
      <c r="J314" s="171"/>
      <c r="K314" s="171"/>
      <c r="L314" s="171"/>
      <c r="M314" s="171"/>
      <c r="N314" s="171"/>
      <c r="O314" s="171"/>
      <c r="P314" s="44">
        <f t="shared" si="7"/>
        <v>9</v>
      </c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</row>
    <row r="315" spans="1:42" ht="18.75" x14ac:dyDescent="0.2">
      <c r="A315" s="171"/>
      <c r="B315" s="171"/>
      <c r="C315" s="123" t="str">
        <f t="shared" si="5"/>
        <v>Termo de Homologação</v>
      </c>
      <c r="D315" s="103">
        <f t="shared" si="6"/>
        <v>45237</v>
      </c>
      <c r="E315" s="171"/>
      <c r="F315" s="171"/>
      <c r="G315" s="171"/>
      <c r="H315" s="171"/>
      <c r="I315" s="171"/>
      <c r="J315" s="171"/>
      <c r="K315" s="171"/>
      <c r="L315" s="171"/>
      <c r="M315" s="171"/>
      <c r="N315" s="171"/>
      <c r="O315" s="171"/>
      <c r="P315" s="44">
        <f t="shared" si="7"/>
        <v>7</v>
      </c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</row>
    <row r="316" spans="1:42" ht="18.75" x14ac:dyDescent="0.2">
      <c r="A316" s="171"/>
      <c r="B316" s="171"/>
      <c r="C316" s="123" t="str">
        <f t="shared" si="5"/>
        <v>Despacho SULIC para DIPLAN</v>
      </c>
      <c r="D316" s="103">
        <f t="shared" si="6"/>
        <v>45257</v>
      </c>
      <c r="E316" s="171"/>
      <c r="F316" s="171"/>
      <c r="G316" s="171"/>
      <c r="H316" s="171"/>
      <c r="I316" s="171"/>
      <c r="J316" s="171"/>
      <c r="K316" s="171"/>
      <c r="L316" s="171"/>
      <c r="M316" s="171"/>
      <c r="N316" s="171"/>
      <c r="O316" s="171"/>
      <c r="P316" s="44">
        <f t="shared" si="7"/>
        <v>20</v>
      </c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</row>
    <row r="317" spans="1:42" ht="18.75" x14ac:dyDescent="0.2">
      <c r="A317" s="171"/>
      <c r="B317" s="171"/>
      <c r="C317" s="123" t="str">
        <f t="shared" si="5"/>
        <v>Superintendente emite SOLICITAÇÃO DE EMPENHO</v>
      </c>
      <c r="D317" s="103">
        <f t="shared" si="6"/>
        <v>45259</v>
      </c>
      <c r="E317" s="171"/>
      <c r="F317" s="171"/>
      <c r="G317" s="171"/>
      <c r="H317" s="171"/>
      <c r="I317" s="171"/>
      <c r="J317" s="171"/>
      <c r="K317" s="171"/>
      <c r="L317" s="171"/>
      <c r="M317" s="171"/>
      <c r="N317" s="171"/>
      <c r="O317" s="171"/>
      <c r="P317" s="44">
        <f t="shared" si="7"/>
        <v>2</v>
      </c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</row>
    <row r="318" spans="1:42" ht="18.75" x14ac:dyDescent="0.2">
      <c r="A318" s="171"/>
      <c r="B318" s="171"/>
      <c r="C318" s="123" t="str">
        <f t="shared" si="5"/>
        <v>Assinatura do CONTRATO</v>
      </c>
      <c r="D318" s="103">
        <f t="shared" si="6"/>
        <v>45279</v>
      </c>
      <c r="E318" s="171"/>
      <c r="F318" s="171"/>
      <c r="G318" s="171"/>
      <c r="H318" s="171"/>
      <c r="I318" s="171"/>
      <c r="J318" s="171"/>
      <c r="K318" s="171"/>
      <c r="L318" s="171"/>
      <c r="M318" s="171"/>
      <c r="N318" s="171"/>
      <c r="O318" s="171"/>
      <c r="P318" s="44">
        <f t="shared" si="7"/>
        <v>20</v>
      </c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</row>
    <row r="319" spans="1:42" x14ac:dyDescent="0.2">
      <c r="A319" s="171"/>
      <c r="B319" s="171"/>
      <c r="C319" s="171"/>
      <c r="D319" s="171"/>
      <c r="E319" s="171"/>
      <c r="F319" s="171"/>
      <c r="G319" s="171"/>
      <c r="H319" s="171"/>
      <c r="I319" s="171"/>
      <c r="J319" s="171"/>
      <c r="K319" s="171"/>
      <c r="L319" s="171"/>
      <c r="M319" s="171"/>
      <c r="N319" s="171"/>
      <c r="O319" s="171"/>
      <c r="P319" s="171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</row>
    <row r="320" spans="1:42" x14ac:dyDescent="0.2">
      <c r="A320" s="171"/>
      <c r="B320" s="171"/>
      <c r="C320" s="171"/>
      <c r="D320" s="171"/>
      <c r="E320" s="171"/>
      <c r="F320" s="171"/>
      <c r="G320" s="171"/>
      <c r="H320" s="171"/>
      <c r="I320" s="171"/>
      <c r="J320" s="171"/>
      <c r="K320" s="171"/>
      <c r="L320" s="171"/>
      <c r="M320" s="171"/>
      <c r="N320" s="171"/>
      <c r="O320" s="171"/>
      <c r="P320" s="171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</row>
    <row r="323" spans="3:16" ht="15.75" x14ac:dyDescent="0.2">
      <c r="C323" s="124" t="s">
        <v>460</v>
      </c>
      <c r="D323" s="124" t="str">
        <f>D300</f>
        <v>RIO GRANDE</v>
      </c>
    </row>
    <row r="324" spans="3:16" ht="18.75" x14ac:dyDescent="0.2">
      <c r="C324" s="123" t="str">
        <f t="shared" ref="C324:C341" si="8">C301</f>
        <v>Conclusão dos documentos preparatórios</v>
      </c>
      <c r="D324" s="103">
        <v>45145</v>
      </c>
      <c r="P324" s="192" t="s">
        <v>461</v>
      </c>
    </row>
    <row r="325" spans="3:16" ht="18.75" x14ac:dyDescent="0.2">
      <c r="C325" s="123" t="str">
        <f t="shared" si="8"/>
        <v>Encaminhamento da DIPLAN para SUPOF</v>
      </c>
      <c r="D325" s="103">
        <v>45149</v>
      </c>
      <c r="P325" s="193">
        <f>D325-D324</f>
        <v>4</v>
      </c>
    </row>
    <row r="326" spans="3:16" ht="18.75" x14ac:dyDescent="0.2">
      <c r="C326" s="123" t="str">
        <f t="shared" si="8"/>
        <v>Declaração de disponibilidade Orçamentária</v>
      </c>
      <c r="D326" s="103">
        <v>45161</v>
      </c>
      <c r="P326" s="193">
        <f t="shared" ref="P326:P341" si="9">D326-D325</f>
        <v>12</v>
      </c>
    </row>
    <row r="327" spans="3:16" ht="18.75" x14ac:dyDescent="0.2">
      <c r="C327" s="123" t="str">
        <f t="shared" si="8"/>
        <v>Encaminhamento DIPLAN para SULIC</v>
      </c>
      <c r="D327" s="103">
        <v>45161</v>
      </c>
      <c r="P327" s="193">
        <f t="shared" si="9"/>
        <v>0</v>
      </c>
    </row>
    <row r="328" spans="3:16" ht="18.75" x14ac:dyDescent="0.2">
      <c r="C328" s="123" t="str">
        <f t="shared" si="8"/>
        <v>Conclusão da Análise GECCO/SULIC e envio à PROJUR</v>
      </c>
      <c r="D328" s="103">
        <v>45161</v>
      </c>
      <c r="P328" s="193">
        <f t="shared" si="9"/>
        <v>0</v>
      </c>
    </row>
    <row r="329" spans="3:16" ht="18.75" x14ac:dyDescent="0.2">
      <c r="C329" s="123" t="str">
        <f t="shared" si="8"/>
        <v>Parecer PROJUR</v>
      </c>
      <c r="D329" s="103">
        <v>45175</v>
      </c>
      <c r="P329" s="193">
        <f t="shared" si="9"/>
        <v>14</v>
      </c>
    </row>
    <row r="330" spans="3:16" ht="18.75" x14ac:dyDescent="0.2">
      <c r="C330" s="123" t="str">
        <f t="shared" si="8"/>
        <v>Nota Técnica da área demandante (Atendimento à PROJUR)</v>
      </c>
      <c r="D330" s="103"/>
      <c r="P330" s="193">
        <f t="shared" si="9"/>
        <v>-45175</v>
      </c>
    </row>
    <row r="331" spans="3:16" ht="18.75" x14ac:dyDescent="0.2">
      <c r="C331" s="123" t="str">
        <f t="shared" si="8"/>
        <v>Elaboração da minuta de contrato (GECCO)</v>
      </c>
      <c r="D331" s="103"/>
      <c r="P331" s="193">
        <f t="shared" si="9"/>
        <v>0</v>
      </c>
    </row>
    <row r="332" spans="3:16" ht="18.75" x14ac:dyDescent="0.2">
      <c r="C332" s="123" t="str">
        <f t="shared" si="8"/>
        <v>Elaboração da minuta de edital (GELIC)</v>
      </c>
      <c r="D332" s="103"/>
      <c r="P332" s="193">
        <f t="shared" si="9"/>
        <v>0</v>
      </c>
    </row>
    <row r="333" spans="3:16" ht="18.75" x14ac:dyDescent="0.2">
      <c r="C333" s="123" t="str">
        <f t="shared" si="8"/>
        <v>Deliberação DIREXE</v>
      </c>
      <c r="D333" s="103"/>
      <c r="P333" s="193">
        <f t="shared" si="9"/>
        <v>0</v>
      </c>
    </row>
    <row r="334" spans="3:16" ht="18.75" x14ac:dyDescent="0.2">
      <c r="C334" s="123" t="str">
        <f t="shared" si="8"/>
        <v>Publicação do EDITAL</v>
      </c>
      <c r="D334" s="103"/>
      <c r="P334" s="193">
        <f t="shared" si="9"/>
        <v>0</v>
      </c>
    </row>
    <row r="335" spans="3:16" ht="18.75" x14ac:dyDescent="0.2">
      <c r="C335" s="123" t="str">
        <f t="shared" si="8"/>
        <v>Proposta Comercial</v>
      </c>
      <c r="D335" s="103"/>
      <c r="P335" s="193">
        <f t="shared" si="9"/>
        <v>0</v>
      </c>
    </row>
    <row r="336" spans="3:16" ht="18.75" x14ac:dyDescent="0.2">
      <c r="C336" s="123" t="str">
        <f t="shared" si="8"/>
        <v>Ata de Sessão</v>
      </c>
      <c r="D336" s="103"/>
      <c r="P336" s="193">
        <f t="shared" si="9"/>
        <v>0</v>
      </c>
    </row>
    <row r="337" spans="3:16" ht="18.75" x14ac:dyDescent="0.2">
      <c r="C337" s="123" t="str">
        <f t="shared" si="8"/>
        <v>Relatório de Homologação</v>
      </c>
      <c r="D337" s="103"/>
      <c r="P337" s="193">
        <f t="shared" si="9"/>
        <v>0</v>
      </c>
    </row>
    <row r="338" spans="3:16" ht="18.75" x14ac:dyDescent="0.2">
      <c r="C338" s="123" t="str">
        <f t="shared" si="8"/>
        <v>Termo de Homologação</v>
      </c>
      <c r="D338" s="103"/>
      <c r="P338" s="193">
        <f t="shared" si="9"/>
        <v>0</v>
      </c>
    </row>
    <row r="339" spans="3:16" ht="18.75" x14ac:dyDescent="0.2">
      <c r="C339" s="123" t="str">
        <f t="shared" si="8"/>
        <v>Despacho SULIC para DIPLAN</v>
      </c>
      <c r="D339" s="103"/>
      <c r="P339" s="193">
        <f t="shared" si="9"/>
        <v>0</v>
      </c>
    </row>
    <row r="340" spans="3:16" ht="18.75" x14ac:dyDescent="0.2">
      <c r="C340" s="123" t="str">
        <f t="shared" si="8"/>
        <v>Superintendente emite SOLICITAÇÃO DE EMPENHO</v>
      </c>
      <c r="D340" s="103"/>
      <c r="P340" s="193">
        <f t="shared" si="9"/>
        <v>0</v>
      </c>
    </row>
    <row r="341" spans="3:16" ht="18.75" x14ac:dyDescent="0.2">
      <c r="C341" s="123" t="str">
        <f t="shared" si="8"/>
        <v>Assinatura do CONTRATO</v>
      </c>
      <c r="D341" s="103"/>
      <c r="P341" s="193">
        <f t="shared" si="9"/>
        <v>0</v>
      </c>
    </row>
  </sheetData>
  <mergeCells count="24">
    <mergeCell ref="H289:H295"/>
    <mergeCell ref="G278:G288"/>
    <mergeCell ref="G289:G295"/>
    <mergeCell ref="H265:H271"/>
    <mergeCell ref="H254:H264"/>
    <mergeCell ref="H278:H288"/>
    <mergeCell ref="B77:B78"/>
    <mergeCell ref="C77:C78"/>
    <mergeCell ref="E77:P77"/>
    <mergeCell ref="Q77:AB77"/>
    <mergeCell ref="AC77:AN77"/>
    <mergeCell ref="B7:B8"/>
    <mergeCell ref="C7:C8"/>
    <mergeCell ref="E7:P7"/>
    <mergeCell ref="Q7:AB7"/>
    <mergeCell ref="AC7:AN7"/>
    <mergeCell ref="AA165:AC165"/>
    <mergeCell ref="AD165:AG165"/>
    <mergeCell ref="AH165:AK165"/>
    <mergeCell ref="AL165:AM165"/>
    <mergeCell ref="B165:B166"/>
    <mergeCell ref="C165:C166"/>
    <mergeCell ref="Q165:V165"/>
    <mergeCell ref="W165:Z165"/>
  </mergeCells>
  <phoneticPr fontId="18" type="noConversion"/>
  <pageMargins left="0.51181102362204722" right="0.51181102362204722" top="0.78740157480314965" bottom="0.78740157480314965" header="0.31496062992125984" footer="0.31496062992125984"/>
  <pageSetup paperSize="8" scale="1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5257A-0431-453B-AC6A-2CEA648A0A5B}">
  <sheetPr>
    <pageSetUpPr fitToPage="1"/>
  </sheetPr>
  <dimension ref="A1:E28"/>
  <sheetViews>
    <sheetView zoomScaleNormal="100" workbookViewId="0"/>
  </sheetViews>
  <sheetFormatPr defaultColWidth="9.140625" defaultRowHeight="15" x14ac:dyDescent="0.25"/>
  <cols>
    <col min="1" max="1" width="3.85546875" style="1" bestFit="1" customWidth="1"/>
    <col min="2" max="2" width="26" style="1" customWidth="1"/>
    <col min="3" max="3" width="46.7109375" style="3" customWidth="1"/>
    <col min="4" max="4" width="73.28515625" style="3" customWidth="1"/>
    <col min="5" max="5" width="52.42578125" style="13" customWidth="1"/>
    <col min="6" max="16384" width="9.140625" style="4"/>
  </cols>
  <sheetData>
    <row r="1" spans="1:5" ht="21" x14ac:dyDescent="0.25">
      <c r="B1" s="2" t="s">
        <v>0</v>
      </c>
    </row>
    <row r="2" spans="1:5" ht="6" customHeight="1" x14ac:dyDescent="0.25">
      <c r="B2" s="5"/>
    </row>
    <row r="3" spans="1:5" x14ac:dyDescent="0.25">
      <c r="B3" s="6" t="s">
        <v>1</v>
      </c>
    </row>
    <row r="5" spans="1:5" s="8" customFormat="1" ht="30" customHeight="1" x14ac:dyDescent="0.25">
      <c r="A5" s="7" t="s">
        <v>2</v>
      </c>
      <c r="B5" s="7" t="s">
        <v>3</v>
      </c>
      <c r="C5" s="7" t="s">
        <v>4</v>
      </c>
      <c r="D5" s="7" t="s">
        <v>5</v>
      </c>
      <c r="E5" s="18" t="s">
        <v>64</v>
      </c>
    </row>
    <row r="6" spans="1:5" s="12" customFormat="1" ht="45" x14ac:dyDescent="0.25">
      <c r="A6" s="9">
        <v>1</v>
      </c>
      <c r="B6" s="9" t="s">
        <v>6</v>
      </c>
      <c r="C6" s="10" t="s">
        <v>7</v>
      </c>
      <c r="D6" s="11" t="s">
        <v>8</v>
      </c>
      <c r="E6" s="11" t="s">
        <v>66</v>
      </c>
    </row>
    <row r="7" spans="1:5" s="12" customFormat="1" ht="45" x14ac:dyDescent="0.25">
      <c r="A7" s="9">
        <v>2</v>
      </c>
      <c r="B7" s="9" t="s">
        <v>6</v>
      </c>
      <c r="C7" s="10" t="s">
        <v>9</v>
      </c>
      <c r="D7" s="11" t="s">
        <v>10</v>
      </c>
      <c r="E7" s="11" t="str">
        <f>E6</f>
        <v>Atendido por 2 contratos: 
- Contrato Emergencial 1252/2023 (Empresa Superfície)
- Contrato 1206/2022 (Empresa Spectrah)</v>
      </c>
    </row>
    <row r="8" spans="1:5" s="12" customFormat="1" ht="60" x14ac:dyDescent="0.25">
      <c r="A8" s="9">
        <v>3</v>
      </c>
      <c r="B8" s="9" t="s">
        <v>6</v>
      </c>
      <c r="C8" s="10" t="s">
        <v>11</v>
      </c>
      <c r="D8" s="11" t="s">
        <v>12</v>
      </c>
      <c r="E8" s="11"/>
    </row>
    <row r="9" spans="1:5" s="12" customFormat="1" ht="60" x14ac:dyDescent="0.25">
      <c r="A9" s="9">
        <v>4</v>
      </c>
      <c r="B9" s="9" t="s">
        <v>6</v>
      </c>
      <c r="C9" s="11" t="s">
        <v>13</v>
      </c>
      <c r="D9" s="11" t="s">
        <v>14</v>
      </c>
      <c r="E9" s="11"/>
    </row>
    <row r="10" spans="1:5" s="12" customFormat="1" ht="60" x14ac:dyDescent="0.25">
      <c r="A10" s="9">
        <v>5</v>
      </c>
      <c r="B10" s="9" t="s">
        <v>6</v>
      </c>
      <c r="C10" s="11" t="s">
        <v>15</v>
      </c>
      <c r="D10" s="11" t="s">
        <v>14</v>
      </c>
      <c r="E10" s="11"/>
    </row>
    <row r="11" spans="1:5" s="12" customFormat="1" ht="30" x14ac:dyDescent="0.25">
      <c r="A11" s="9">
        <v>6</v>
      </c>
      <c r="B11" s="9" t="s">
        <v>6</v>
      </c>
      <c r="C11" s="11" t="s">
        <v>16</v>
      </c>
      <c r="D11" s="11" t="s">
        <v>17</v>
      </c>
      <c r="E11" s="11"/>
    </row>
    <row r="12" spans="1:5" s="12" customFormat="1" ht="90" x14ac:dyDescent="0.25">
      <c r="A12" s="9">
        <v>7</v>
      </c>
      <c r="B12" s="9" t="s">
        <v>18</v>
      </c>
      <c r="C12" s="11" t="s">
        <v>19</v>
      </c>
      <c r="D12" s="11" t="s">
        <v>20</v>
      </c>
      <c r="E12" s="11"/>
    </row>
    <row r="13" spans="1:5" s="12" customFormat="1" ht="75" x14ac:dyDescent="0.25">
      <c r="A13" s="9">
        <v>8</v>
      </c>
      <c r="B13" s="9" t="s">
        <v>18</v>
      </c>
      <c r="C13" s="11" t="s">
        <v>21</v>
      </c>
      <c r="D13" s="11" t="s">
        <v>22</v>
      </c>
      <c r="E13" s="11" t="str">
        <f>NOTAS!B7</f>
        <v>Relatório do Contrato 940 Apresentação de alternativas locacionais para o descarte de sedimentos oriundos das dragagens contrato 940</v>
      </c>
    </row>
    <row r="14" spans="1:5" s="12" customFormat="1" ht="75" x14ac:dyDescent="0.25">
      <c r="A14" s="9">
        <v>9</v>
      </c>
      <c r="B14" s="9" t="s">
        <v>18</v>
      </c>
      <c r="C14" s="11" t="s">
        <v>23</v>
      </c>
      <c r="D14" s="11" t="s">
        <v>24</v>
      </c>
      <c r="E14" s="11"/>
    </row>
    <row r="15" spans="1:5" s="12" customFormat="1" ht="90" x14ac:dyDescent="0.25">
      <c r="A15" s="9">
        <v>10</v>
      </c>
      <c r="B15" s="9" t="s">
        <v>18</v>
      </c>
      <c r="C15" s="11" t="s">
        <v>25</v>
      </c>
      <c r="D15" s="11" t="s">
        <v>26</v>
      </c>
      <c r="E15" s="11"/>
    </row>
    <row r="16" spans="1:5" s="12" customFormat="1" ht="75" x14ac:dyDescent="0.25">
      <c r="A16" s="9">
        <v>11</v>
      </c>
      <c r="B16" s="9" t="s">
        <v>18</v>
      </c>
      <c r="C16" s="11" t="s">
        <v>27</v>
      </c>
      <c r="D16" s="11" t="s">
        <v>28</v>
      </c>
      <c r="E16" s="11"/>
    </row>
    <row r="17" spans="1:5" s="12" customFormat="1" ht="75" x14ac:dyDescent="0.25">
      <c r="A17" s="9">
        <v>12</v>
      </c>
      <c r="B17" s="9" t="s">
        <v>29</v>
      </c>
      <c r="C17" s="11" t="s">
        <v>30</v>
      </c>
      <c r="D17" s="11" t="s">
        <v>31</v>
      </c>
      <c r="E17" s="11"/>
    </row>
    <row r="18" spans="1:5" s="12" customFormat="1" ht="90" x14ac:dyDescent="0.25">
      <c r="A18" s="9">
        <v>13</v>
      </c>
      <c r="B18" s="9" t="s">
        <v>29</v>
      </c>
      <c r="C18" s="11" t="s">
        <v>32</v>
      </c>
      <c r="D18" s="11" t="s">
        <v>33</v>
      </c>
      <c r="E18" s="11"/>
    </row>
    <row r="19" spans="1:5" s="12" customFormat="1" ht="60" x14ac:dyDescent="0.25">
      <c r="A19" s="9">
        <v>14</v>
      </c>
      <c r="B19" s="9" t="s">
        <v>34</v>
      </c>
      <c r="C19" s="11" t="s">
        <v>35</v>
      </c>
      <c r="D19" s="11" t="s">
        <v>36</v>
      </c>
      <c r="E19" s="11"/>
    </row>
    <row r="20" spans="1:5" s="12" customFormat="1" ht="75" x14ac:dyDescent="0.25">
      <c r="A20" s="9">
        <v>15</v>
      </c>
      <c r="B20" s="9" t="s">
        <v>34</v>
      </c>
      <c r="C20" s="10" t="s">
        <v>37</v>
      </c>
      <c r="D20" s="11" t="s">
        <v>38</v>
      </c>
      <c r="E20" s="11"/>
    </row>
    <row r="21" spans="1:5" s="12" customFormat="1" ht="30" x14ac:dyDescent="0.25">
      <c r="A21" s="9">
        <v>16</v>
      </c>
      <c r="B21" s="9" t="s">
        <v>34</v>
      </c>
      <c r="C21" s="11" t="s">
        <v>39</v>
      </c>
      <c r="D21" s="11" t="s">
        <v>40</v>
      </c>
      <c r="E21" s="11"/>
    </row>
    <row r="22" spans="1:5" s="12" customFormat="1" ht="30" x14ac:dyDescent="0.25">
      <c r="A22" s="9">
        <v>17</v>
      </c>
      <c r="B22" s="9" t="s">
        <v>34</v>
      </c>
      <c r="C22" s="11" t="s">
        <v>41</v>
      </c>
      <c r="D22" s="11" t="s">
        <v>42</v>
      </c>
      <c r="E22" s="11"/>
    </row>
    <row r="23" spans="1:5" s="12" customFormat="1" ht="30" x14ac:dyDescent="0.25">
      <c r="A23" s="9">
        <v>18</v>
      </c>
      <c r="B23" s="9" t="s">
        <v>18</v>
      </c>
      <c r="C23" s="11" t="s">
        <v>43</v>
      </c>
      <c r="D23" s="11" t="s">
        <v>44</v>
      </c>
      <c r="E23" s="11" t="s">
        <v>65</v>
      </c>
    </row>
    <row r="24" spans="1:5" s="12" customFormat="1" ht="105" x14ac:dyDescent="0.25">
      <c r="A24" s="9">
        <v>19</v>
      </c>
      <c r="B24" s="9" t="s">
        <v>18</v>
      </c>
      <c r="C24" s="11" t="s">
        <v>45</v>
      </c>
      <c r="D24" s="11" t="s">
        <v>47</v>
      </c>
      <c r="E24" s="11" t="str">
        <f>NOTAS!B6</f>
        <v>Disponibilizar Contrato 949/2018, aditivos, termo de referência e protudos (Objeto: Levantamento geodésicos, topográficos e batimétricos para monitoramento ambiental e acompanhamento de alterações
morfológicas na orla adjacente ao Porto Organizado do Rio Grande Contrato 949/2018 Preço: 96.800)</v>
      </c>
    </row>
    <row r="25" spans="1:5" s="12" customFormat="1" ht="30" x14ac:dyDescent="0.25">
      <c r="A25" s="9">
        <v>20</v>
      </c>
      <c r="B25" s="9" t="s">
        <v>18</v>
      </c>
      <c r="C25" s="11" t="s">
        <v>46</v>
      </c>
      <c r="D25" s="11" t="s">
        <v>47</v>
      </c>
      <c r="E25" s="11"/>
    </row>
    <row r="26" spans="1:5" s="12" customFormat="1" ht="60" x14ac:dyDescent="0.25">
      <c r="A26" s="9">
        <v>21</v>
      </c>
      <c r="B26" s="9" t="s">
        <v>18</v>
      </c>
      <c r="C26" s="11" t="s">
        <v>49</v>
      </c>
      <c r="D26" s="11" t="s">
        <v>48</v>
      </c>
      <c r="E26" s="11"/>
    </row>
    <row r="27" spans="1:5" s="12" customFormat="1" x14ac:dyDescent="0.25">
      <c r="A27" s="1"/>
      <c r="B27" s="1" t="s">
        <v>18</v>
      </c>
      <c r="C27" s="13"/>
      <c r="D27" s="13"/>
      <c r="E27" s="13"/>
    </row>
    <row r="28" spans="1:5" s="12" customFormat="1" x14ac:dyDescent="0.25">
      <c r="A28" s="1"/>
      <c r="B28" s="1"/>
      <c r="C28" s="13"/>
      <c r="D28" s="13"/>
      <c r="E28" s="13"/>
    </row>
  </sheetData>
  <autoFilter ref="A5:E27" xr:uid="{7335257A-0431-453B-AC6A-2CEA648A0A5B}"/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74DA0-447E-43B8-9790-050D5D4A4709}">
  <dimension ref="A1:C22"/>
  <sheetViews>
    <sheetView workbookViewId="0">
      <selection activeCell="B6" sqref="B6"/>
    </sheetView>
  </sheetViews>
  <sheetFormatPr defaultRowHeight="15" x14ac:dyDescent="0.25"/>
  <cols>
    <col min="1" max="1" width="25.28515625" style="16" customWidth="1"/>
    <col min="2" max="2" width="75.5703125" style="16" customWidth="1"/>
    <col min="3" max="3" width="67.28515625" style="15" customWidth="1"/>
  </cols>
  <sheetData>
    <row r="1" spans="1:3" ht="21" x14ac:dyDescent="0.25">
      <c r="A1" s="176" t="s">
        <v>434</v>
      </c>
    </row>
    <row r="3" spans="1:3" x14ac:dyDescent="0.25">
      <c r="A3" s="17" t="s">
        <v>56</v>
      </c>
      <c r="B3" s="17" t="s">
        <v>55</v>
      </c>
    </row>
    <row r="4" spans="1:3" ht="45" x14ac:dyDescent="0.25">
      <c r="A4" s="16" t="s">
        <v>57</v>
      </c>
      <c r="B4" s="16" t="s">
        <v>59</v>
      </c>
    </row>
    <row r="5" spans="1:3" ht="30" x14ac:dyDescent="0.25">
      <c r="A5" s="16" t="s">
        <v>57</v>
      </c>
      <c r="B5" s="16" t="s">
        <v>58</v>
      </c>
    </row>
    <row r="6" spans="1:3" ht="75" x14ac:dyDescent="0.25">
      <c r="A6" s="16" t="s">
        <v>60</v>
      </c>
      <c r="B6" s="16" t="s">
        <v>61</v>
      </c>
    </row>
    <row r="7" spans="1:3" ht="30" x14ac:dyDescent="0.25">
      <c r="A7" s="16" t="s">
        <v>63</v>
      </c>
      <c r="B7" s="16" t="s">
        <v>62</v>
      </c>
    </row>
    <row r="8" spans="1:3" ht="105" x14ac:dyDescent="0.25">
      <c r="A8" s="16" t="s">
        <v>179</v>
      </c>
      <c r="B8" s="16" t="s">
        <v>184</v>
      </c>
      <c r="C8" s="16" t="s">
        <v>185</v>
      </c>
    </row>
    <row r="9" spans="1:3" ht="45" x14ac:dyDescent="0.25">
      <c r="A9" s="16" t="s">
        <v>180</v>
      </c>
      <c r="B9" s="16" t="s">
        <v>183</v>
      </c>
    </row>
    <row r="10" spans="1:3" ht="30" x14ac:dyDescent="0.25">
      <c r="A10" s="16" t="s">
        <v>181</v>
      </c>
      <c r="B10" s="16" t="s">
        <v>182</v>
      </c>
    </row>
    <row r="11" spans="1:3" x14ac:dyDescent="0.25">
      <c r="A11" s="16" t="s">
        <v>179</v>
      </c>
      <c r="B11" s="16" t="s">
        <v>186</v>
      </c>
    </row>
    <row r="12" spans="1:3" x14ac:dyDescent="0.25">
      <c r="A12" s="16" t="s">
        <v>433</v>
      </c>
      <c r="B12" s="16" t="s">
        <v>187</v>
      </c>
    </row>
    <row r="13" spans="1:3" x14ac:dyDescent="0.25">
      <c r="A13" s="16" t="s">
        <v>433</v>
      </c>
      <c r="B13" s="16" t="s">
        <v>188</v>
      </c>
    </row>
    <row r="14" spans="1:3" x14ac:dyDescent="0.25">
      <c r="A14" s="16" t="s">
        <v>179</v>
      </c>
      <c r="B14" s="16" t="s">
        <v>189</v>
      </c>
    </row>
    <row r="22" spans="2:2" ht="30" x14ac:dyDescent="0.25">
      <c r="B22" s="16" t="s">
        <v>190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9B4A5-5E01-44D9-9ED2-5EC9C82C464A}">
  <dimension ref="A1:F23"/>
  <sheetViews>
    <sheetView workbookViewId="0">
      <selection activeCell="F11" sqref="F11:F23"/>
    </sheetView>
  </sheetViews>
  <sheetFormatPr defaultRowHeight="15" x14ac:dyDescent="0.25"/>
  <cols>
    <col min="1" max="1" width="30.5703125" customWidth="1"/>
    <col min="2" max="3" width="12.42578125" bestFit="1" customWidth="1"/>
    <col min="4" max="4" width="12.28515625" bestFit="1" customWidth="1"/>
    <col min="5" max="5" width="11.140625" bestFit="1" customWidth="1"/>
  </cols>
  <sheetData>
    <row r="1" spans="1:6" ht="21" x14ac:dyDescent="0.35">
      <c r="A1" s="177" t="s">
        <v>435</v>
      </c>
    </row>
    <row r="3" spans="1:6" x14ac:dyDescent="0.25">
      <c r="A3" s="66" t="s">
        <v>200</v>
      </c>
    </row>
    <row r="4" spans="1:6" s="16" customFormat="1" ht="30" customHeight="1" x14ac:dyDescent="0.25">
      <c r="B4" s="16" t="s">
        <v>283</v>
      </c>
      <c r="C4" s="16" t="s">
        <v>191</v>
      </c>
      <c r="D4" s="16" t="s">
        <v>192</v>
      </c>
      <c r="E4" s="16" t="s">
        <v>193</v>
      </c>
    </row>
    <row r="5" spans="1:6" x14ac:dyDescent="0.25">
      <c r="A5" t="s">
        <v>194</v>
      </c>
      <c r="B5">
        <v>2</v>
      </c>
      <c r="C5">
        <v>2</v>
      </c>
      <c r="D5">
        <v>2</v>
      </c>
      <c r="E5">
        <v>3</v>
      </c>
    </row>
    <row r="6" spans="1:6" x14ac:dyDescent="0.25">
      <c r="A6" t="s">
        <v>195</v>
      </c>
      <c r="B6">
        <v>0</v>
      </c>
      <c r="C6">
        <v>1</v>
      </c>
      <c r="D6">
        <v>2</v>
      </c>
      <c r="E6">
        <v>3</v>
      </c>
    </row>
    <row r="7" spans="1:6" x14ac:dyDescent="0.25">
      <c r="A7" t="s">
        <v>198</v>
      </c>
      <c r="B7">
        <v>2</v>
      </c>
      <c r="C7">
        <v>2</v>
      </c>
      <c r="D7">
        <v>2</v>
      </c>
      <c r="E7">
        <v>3</v>
      </c>
    </row>
    <row r="8" spans="1:6" x14ac:dyDescent="0.25">
      <c r="A8" t="s">
        <v>196</v>
      </c>
      <c r="B8">
        <v>0</v>
      </c>
      <c r="C8">
        <v>1</v>
      </c>
      <c r="D8">
        <v>2</v>
      </c>
      <c r="E8">
        <v>3</v>
      </c>
    </row>
    <row r="9" spans="1:6" x14ac:dyDescent="0.25">
      <c r="A9" t="s">
        <v>197</v>
      </c>
      <c r="B9">
        <v>2</v>
      </c>
      <c r="C9">
        <v>2</v>
      </c>
      <c r="D9">
        <v>2</v>
      </c>
      <c r="E9">
        <v>3</v>
      </c>
    </row>
    <row r="10" spans="1:6" ht="4.9000000000000004" customHeight="1" x14ac:dyDescent="0.25"/>
    <row r="11" spans="1:6" s="66" customFormat="1" x14ac:dyDescent="0.25">
      <c r="A11" s="66" t="s">
        <v>199</v>
      </c>
      <c r="B11" s="66">
        <f>SUM(B5:B10)</f>
        <v>6</v>
      </c>
      <c r="C11" s="66">
        <f t="shared" ref="C11:E11" si="0">SUM(C5:C10)</f>
        <v>8</v>
      </c>
      <c r="D11" s="66">
        <f t="shared" si="0"/>
        <v>10</v>
      </c>
      <c r="E11" s="66">
        <f t="shared" si="0"/>
        <v>15</v>
      </c>
      <c r="F11" s="66">
        <f>SUM(B11:E11)</f>
        <v>39</v>
      </c>
    </row>
    <row r="15" spans="1:6" x14ac:dyDescent="0.25">
      <c r="A15" s="66" t="s">
        <v>201</v>
      </c>
    </row>
    <row r="16" spans="1:6" s="16" customFormat="1" ht="30" customHeight="1" x14ac:dyDescent="0.25">
      <c r="B16" s="16" t="str">
        <f>B4</f>
        <v>Arranjos de Rebocadores</v>
      </c>
      <c r="C16" s="16" t="str">
        <f t="shared" ref="C16:E16" si="1">C4</f>
        <v>Embarcações</v>
      </c>
      <c r="D16" s="16" t="str">
        <f t="shared" si="1"/>
        <v>Condição de Carga</v>
      </c>
      <c r="E16" s="16" t="str">
        <f t="shared" si="1"/>
        <v>Condições Ambientais</v>
      </c>
    </row>
    <row r="17" spans="1:6" x14ac:dyDescent="0.25">
      <c r="A17" t="str">
        <f>A5</f>
        <v>Acesso Aquaviário a Rio Grande</v>
      </c>
      <c r="B17">
        <v>2</v>
      </c>
      <c r="C17">
        <v>2</v>
      </c>
      <c r="D17">
        <v>2</v>
      </c>
      <c r="E17">
        <v>3</v>
      </c>
    </row>
    <row r="18" spans="1:6" x14ac:dyDescent="0.25">
      <c r="A18" t="str">
        <f t="shared" ref="A18:A20" si="2">A6</f>
        <v>Canal da Feitoria</v>
      </c>
      <c r="B18">
        <v>0</v>
      </c>
      <c r="C18">
        <v>0</v>
      </c>
      <c r="D18">
        <v>0</v>
      </c>
      <c r="E18">
        <v>1</v>
      </c>
    </row>
    <row r="19" spans="1:6" x14ac:dyDescent="0.25">
      <c r="A19" t="str">
        <f t="shared" si="2"/>
        <v>Porto de Pelotas</v>
      </c>
      <c r="B19">
        <v>0</v>
      </c>
      <c r="C19">
        <v>0</v>
      </c>
      <c r="D19">
        <v>0</v>
      </c>
      <c r="E19">
        <v>1</v>
      </c>
    </row>
    <row r="20" spans="1:6" x14ac:dyDescent="0.25">
      <c r="A20" t="str">
        <f t="shared" si="2"/>
        <v>Itapoã a Porto Alegre</v>
      </c>
      <c r="B20">
        <v>0</v>
      </c>
      <c r="C20">
        <v>0</v>
      </c>
      <c r="D20">
        <v>0</v>
      </c>
      <c r="E20">
        <v>1</v>
      </c>
    </row>
    <row r="21" spans="1:6" x14ac:dyDescent="0.25">
      <c r="A21" t="str">
        <f>A9</f>
        <v>TECON Rio Grande</v>
      </c>
      <c r="B21">
        <v>2</v>
      </c>
      <c r="C21">
        <v>2</v>
      </c>
      <c r="D21">
        <v>2</v>
      </c>
      <c r="E21">
        <v>2</v>
      </c>
    </row>
    <row r="22" spans="1:6" ht="6.6" customHeight="1" x14ac:dyDescent="0.25"/>
    <row r="23" spans="1:6" s="66" customFormat="1" x14ac:dyDescent="0.25">
      <c r="A23" s="66" t="s">
        <v>199</v>
      </c>
      <c r="B23" s="66">
        <f>SUM(B17:B22)</f>
        <v>4</v>
      </c>
      <c r="C23" s="66">
        <f t="shared" ref="C23:E23" si="3">SUM(C17:C22)</f>
        <v>4</v>
      </c>
      <c r="D23" s="66">
        <f t="shared" si="3"/>
        <v>4</v>
      </c>
      <c r="E23" s="66">
        <f t="shared" si="3"/>
        <v>8</v>
      </c>
      <c r="F23" s="66">
        <f>SUM(B23:E23)</f>
        <v>20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BBA3F-B2F6-4122-B300-96D2F1C7D9EC}">
  <dimension ref="A2:D14"/>
  <sheetViews>
    <sheetView workbookViewId="0"/>
  </sheetViews>
  <sheetFormatPr defaultRowHeight="15" x14ac:dyDescent="0.25"/>
  <cols>
    <col min="1" max="1" width="22.28515625" bestFit="1" customWidth="1"/>
    <col min="2" max="2" width="16.28515625" bestFit="1" customWidth="1"/>
    <col min="3" max="3" width="11.140625" bestFit="1" customWidth="1"/>
  </cols>
  <sheetData>
    <row r="2" spans="1:4" x14ac:dyDescent="0.25">
      <c r="B2" t="s">
        <v>208</v>
      </c>
      <c r="C2" t="s">
        <v>209</v>
      </c>
      <c r="D2" t="s">
        <v>210</v>
      </c>
    </row>
    <row r="3" spans="1:4" x14ac:dyDescent="0.25">
      <c r="A3" t="s">
        <v>207</v>
      </c>
      <c r="B3" s="69">
        <v>1.5</v>
      </c>
      <c r="C3" s="69">
        <v>1</v>
      </c>
      <c r="D3" s="69">
        <f>B3*C3</f>
        <v>1.5</v>
      </c>
    </row>
    <row r="4" spans="1:4" x14ac:dyDescent="0.25">
      <c r="A4" t="s">
        <v>211</v>
      </c>
      <c r="B4" s="69">
        <v>1.23</v>
      </c>
      <c r="C4" s="69">
        <f>0.19</f>
        <v>0.19</v>
      </c>
      <c r="D4" s="69">
        <f t="shared" ref="D4:D13" si="0">B4*C4</f>
        <v>0.23369999999999999</v>
      </c>
    </row>
    <row r="5" spans="1:4" x14ac:dyDescent="0.25">
      <c r="A5" t="s">
        <v>212</v>
      </c>
      <c r="B5" s="69">
        <v>1.23</v>
      </c>
      <c r="C5" s="69">
        <v>0.19</v>
      </c>
      <c r="D5" s="69">
        <f t="shared" si="0"/>
        <v>0.23369999999999999</v>
      </c>
    </row>
    <row r="6" spans="1:4" x14ac:dyDescent="0.25">
      <c r="A6" t="s">
        <v>213</v>
      </c>
      <c r="B6" s="69">
        <v>0.38</v>
      </c>
      <c r="C6" s="69">
        <v>0.19</v>
      </c>
      <c r="D6" s="69">
        <f t="shared" si="0"/>
        <v>7.22E-2</v>
      </c>
    </row>
    <row r="7" spans="1:4" x14ac:dyDescent="0.25">
      <c r="A7" t="s">
        <v>214</v>
      </c>
      <c r="B7" s="69">
        <v>0.34</v>
      </c>
      <c r="C7" s="69">
        <v>0.13</v>
      </c>
      <c r="D7" s="69">
        <f t="shared" si="0"/>
        <v>4.4200000000000003E-2</v>
      </c>
    </row>
    <row r="8" spans="1:4" x14ac:dyDescent="0.25">
      <c r="A8" t="s">
        <v>215</v>
      </c>
      <c r="B8" s="69">
        <v>0.34</v>
      </c>
      <c r="C8" s="69">
        <v>0.13</v>
      </c>
      <c r="D8" s="69">
        <f t="shared" si="0"/>
        <v>4.4200000000000003E-2</v>
      </c>
    </row>
    <row r="9" spans="1:4" x14ac:dyDescent="0.25">
      <c r="A9" t="s">
        <v>216</v>
      </c>
      <c r="B9" s="69">
        <v>7.5</v>
      </c>
      <c r="C9" s="69">
        <v>0.2</v>
      </c>
      <c r="D9" s="69">
        <f t="shared" si="0"/>
        <v>1.5</v>
      </c>
    </row>
    <row r="10" spans="1:4" x14ac:dyDescent="0.25">
      <c r="A10" t="s">
        <v>217</v>
      </c>
      <c r="B10" s="69">
        <v>11.2</v>
      </c>
      <c r="C10" s="69">
        <v>0.8</v>
      </c>
      <c r="D10" s="69">
        <f t="shared" si="0"/>
        <v>8.9599999999999991</v>
      </c>
    </row>
    <row r="11" spans="1:4" x14ac:dyDescent="0.25">
      <c r="A11" t="s">
        <v>218</v>
      </c>
      <c r="B11" s="69">
        <v>4</v>
      </c>
      <c r="C11" s="69">
        <v>0.48</v>
      </c>
      <c r="D11" s="69">
        <f t="shared" si="0"/>
        <v>1.92</v>
      </c>
    </row>
    <row r="12" spans="1:4" x14ac:dyDescent="0.25">
      <c r="A12" t="s">
        <v>195</v>
      </c>
      <c r="B12" s="69">
        <v>17</v>
      </c>
      <c r="C12" s="69">
        <v>0.8</v>
      </c>
      <c r="D12" s="69">
        <f t="shared" si="0"/>
        <v>13.600000000000001</v>
      </c>
    </row>
    <row r="13" spans="1:4" x14ac:dyDescent="0.25">
      <c r="A13" t="s">
        <v>219</v>
      </c>
      <c r="B13" s="69">
        <v>4.5</v>
      </c>
      <c r="C13" s="69">
        <v>0.11</v>
      </c>
      <c r="D13" s="69">
        <f t="shared" si="0"/>
        <v>0.495</v>
      </c>
    </row>
    <row r="14" spans="1:4" x14ac:dyDescent="0.25">
      <c r="D14" s="72">
        <f>SUM(D3:D13)</f>
        <v>28.603000000000002</v>
      </c>
    </row>
  </sheetData>
  <phoneticPr fontId="18" type="noConversion"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A8F5E-B5DA-45FF-9CE6-918ABC304DB5}">
  <dimension ref="B1:L36"/>
  <sheetViews>
    <sheetView workbookViewId="0">
      <pane ySplit="4" topLeftCell="A24" activePane="bottomLeft" state="frozen"/>
      <selection pane="bottomLeft" activeCell="K32" sqref="K32"/>
    </sheetView>
  </sheetViews>
  <sheetFormatPr defaultColWidth="9.140625" defaultRowHeight="15" x14ac:dyDescent="0.25"/>
  <cols>
    <col min="1" max="1" width="2.7109375" style="20" customWidth="1"/>
    <col min="2" max="2" width="12.42578125" style="20" customWidth="1"/>
    <col min="3" max="3" width="23.140625" style="20" customWidth="1"/>
    <col min="4" max="4" width="26.7109375" style="20" customWidth="1"/>
    <col min="5" max="5" width="85.140625" style="88" customWidth="1"/>
    <col min="6" max="6" width="23.28515625" style="20" customWidth="1"/>
    <col min="7" max="7" width="14.28515625" style="21" bestFit="1" customWidth="1"/>
    <col min="8" max="8" width="15.7109375" style="21" customWidth="1"/>
    <col min="9" max="9" width="14.7109375" style="20" bestFit="1" customWidth="1"/>
    <col min="10" max="10" width="17.5703125" style="20" customWidth="1"/>
    <col min="11" max="11" width="14.42578125" style="20" customWidth="1"/>
    <col min="12" max="16384" width="9.140625" style="20"/>
  </cols>
  <sheetData>
    <row r="1" spans="2:12" ht="21" x14ac:dyDescent="0.35">
      <c r="B1" s="19" t="s">
        <v>67</v>
      </c>
      <c r="C1" s="19"/>
    </row>
    <row r="4" spans="2:12" s="24" customFormat="1" ht="30" x14ac:dyDescent="0.25">
      <c r="B4" s="89" t="s">
        <v>68</v>
      </c>
      <c r="C4" s="89" t="s">
        <v>229</v>
      </c>
      <c r="D4" s="89" t="s">
        <v>69</v>
      </c>
      <c r="E4" s="89" t="s">
        <v>70</v>
      </c>
      <c r="F4" s="89" t="s">
        <v>3</v>
      </c>
      <c r="G4" s="89" t="s">
        <v>71</v>
      </c>
      <c r="H4" s="89" t="s">
        <v>72</v>
      </c>
      <c r="I4" s="89" t="s">
        <v>236</v>
      </c>
      <c r="J4" s="89" t="s">
        <v>225</v>
      </c>
      <c r="K4" s="89" t="s">
        <v>73</v>
      </c>
      <c r="L4" s="89" t="s">
        <v>74</v>
      </c>
    </row>
    <row r="5" spans="2:12" s="23" customFormat="1" ht="75" x14ac:dyDescent="0.25">
      <c r="B5" s="90" t="s">
        <v>75</v>
      </c>
      <c r="C5" s="90" t="s">
        <v>230</v>
      </c>
      <c r="D5" s="90" t="s">
        <v>76</v>
      </c>
      <c r="E5" s="90" t="s">
        <v>77</v>
      </c>
      <c r="F5" s="90" t="s">
        <v>312</v>
      </c>
      <c r="G5" s="91">
        <v>7665624.2699999996</v>
      </c>
      <c r="H5" s="92">
        <v>43831</v>
      </c>
      <c r="I5" s="93">
        <v>9377534.4800000004</v>
      </c>
      <c r="J5" s="94">
        <v>9</v>
      </c>
      <c r="K5" s="93">
        <f>I5/J5</f>
        <v>1041948.2755555556</v>
      </c>
      <c r="L5" s="94"/>
    </row>
    <row r="6" spans="2:12" s="23" customFormat="1" ht="75" x14ac:dyDescent="0.25">
      <c r="B6" s="90" t="s">
        <v>75</v>
      </c>
      <c r="C6" s="90" t="s">
        <v>231</v>
      </c>
      <c r="D6" s="90" t="s">
        <v>78</v>
      </c>
      <c r="E6" s="90" t="s">
        <v>77</v>
      </c>
      <c r="F6" s="90" t="s">
        <v>312</v>
      </c>
      <c r="G6" s="91">
        <v>5388605.3600000003</v>
      </c>
      <c r="H6" s="92">
        <v>43831</v>
      </c>
      <c r="I6" s="95">
        <v>6592004.8700000001</v>
      </c>
      <c r="J6" s="94">
        <v>9</v>
      </c>
      <c r="K6" s="93">
        <f t="shared" ref="K6:K27" si="0">I6/J6</f>
        <v>732444.98555555556</v>
      </c>
      <c r="L6" s="94"/>
    </row>
    <row r="7" spans="2:12" s="23" customFormat="1" ht="45" x14ac:dyDescent="0.25">
      <c r="B7" s="90" t="s">
        <v>79</v>
      </c>
      <c r="C7" s="90" t="s">
        <v>232</v>
      </c>
      <c r="D7" s="90" t="s">
        <v>80</v>
      </c>
      <c r="E7" s="90" t="s">
        <v>81</v>
      </c>
      <c r="F7" s="90" t="s">
        <v>313</v>
      </c>
      <c r="G7" s="91">
        <f>3154328.86+2562891.59</f>
        <v>5717220.4499999993</v>
      </c>
      <c r="H7" s="92">
        <v>42095</v>
      </c>
      <c r="I7" s="95">
        <v>8827431.25</v>
      </c>
      <c r="J7" s="94">
        <v>5</v>
      </c>
      <c r="K7" s="93">
        <f t="shared" si="0"/>
        <v>1765486.25</v>
      </c>
      <c r="L7" s="94"/>
    </row>
    <row r="8" spans="2:12" s="23" customFormat="1" ht="45" x14ac:dyDescent="0.25">
      <c r="B8" s="90" t="s">
        <v>79</v>
      </c>
      <c r="C8" s="90" t="s">
        <v>233</v>
      </c>
      <c r="D8" s="90" t="s">
        <v>82</v>
      </c>
      <c r="E8" s="90" t="s">
        <v>83</v>
      </c>
      <c r="F8" s="90" t="s">
        <v>313</v>
      </c>
      <c r="G8" s="91">
        <f>3317649.3+4607846.9</f>
        <v>7925496.2000000002</v>
      </c>
      <c r="H8" s="92">
        <v>42036</v>
      </c>
      <c r="I8" s="95">
        <v>12549817.17</v>
      </c>
      <c r="J8" s="94">
        <v>5</v>
      </c>
      <c r="K8" s="93">
        <f t="shared" si="0"/>
        <v>2509963.4339999999</v>
      </c>
      <c r="L8" s="94"/>
    </row>
    <row r="9" spans="2:12" s="23" customFormat="1" ht="45" x14ac:dyDescent="0.25">
      <c r="B9" s="90" t="s">
        <v>84</v>
      </c>
      <c r="C9" s="90" t="s">
        <v>230</v>
      </c>
      <c r="D9" s="90" t="s">
        <v>85</v>
      </c>
      <c r="E9" s="90" t="s">
        <v>224</v>
      </c>
      <c r="F9" s="90" t="s">
        <v>313</v>
      </c>
      <c r="G9" s="91">
        <f>202805.54+144537.95+114418.74</f>
        <v>461762.23</v>
      </c>
      <c r="H9" s="92">
        <v>44805</v>
      </c>
      <c r="I9" s="95">
        <v>470401.71</v>
      </c>
      <c r="J9" s="94">
        <f>12-8</f>
        <v>4</v>
      </c>
      <c r="K9" s="93">
        <f t="shared" si="0"/>
        <v>117600.42750000001</v>
      </c>
      <c r="L9" s="94"/>
    </row>
    <row r="10" spans="2:12" s="23" customFormat="1" ht="60" x14ac:dyDescent="0.25">
      <c r="B10" s="90" t="s">
        <v>86</v>
      </c>
      <c r="C10" s="90" t="s">
        <v>234</v>
      </c>
      <c r="D10" s="90" t="s">
        <v>87</v>
      </c>
      <c r="E10" s="90" t="s">
        <v>89</v>
      </c>
      <c r="F10" s="90" t="s">
        <v>18</v>
      </c>
      <c r="G10" s="91">
        <v>1236650.27</v>
      </c>
      <c r="H10" s="92">
        <v>44075</v>
      </c>
      <c r="I10" s="93">
        <v>1502315.52</v>
      </c>
      <c r="J10" s="94">
        <v>5</v>
      </c>
      <c r="K10" s="93">
        <f t="shared" si="0"/>
        <v>300463.10399999999</v>
      </c>
      <c r="L10" s="94"/>
    </row>
    <row r="11" spans="2:12" s="23" customFormat="1" ht="45" x14ac:dyDescent="0.25">
      <c r="B11" s="90" t="s">
        <v>84</v>
      </c>
      <c r="C11" s="90" t="s">
        <v>230</v>
      </c>
      <c r="D11" s="90" t="s">
        <v>88</v>
      </c>
      <c r="E11" s="90" t="s">
        <v>304</v>
      </c>
      <c r="F11" s="90" t="s">
        <v>308</v>
      </c>
      <c r="G11" s="91">
        <v>3696617.2299999995</v>
      </c>
      <c r="H11" s="92">
        <f>H9</f>
        <v>44805</v>
      </c>
      <c r="I11" s="95">
        <v>3765780.2</v>
      </c>
      <c r="J11" s="94">
        <v>12</v>
      </c>
      <c r="K11" s="93">
        <f t="shared" si="0"/>
        <v>313815.01666666666</v>
      </c>
      <c r="L11" s="94"/>
    </row>
    <row r="12" spans="2:12" s="23" customFormat="1" x14ac:dyDescent="0.25">
      <c r="B12" s="90" t="s">
        <v>84</v>
      </c>
      <c r="C12" s="90" t="s">
        <v>230</v>
      </c>
      <c r="D12" s="90" t="s">
        <v>88</v>
      </c>
      <c r="E12" s="90" t="s">
        <v>90</v>
      </c>
      <c r="F12" s="90" t="s">
        <v>273</v>
      </c>
      <c r="G12" s="91">
        <v>2385880.04</v>
      </c>
      <c r="H12" s="92">
        <f>H9</f>
        <v>44805</v>
      </c>
      <c r="I12" s="95">
        <v>2430519.38</v>
      </c>
      <c r="J12" s="94">
        <v>12</v>
      </c>
      <c r="K12" s="93">
        <f t="shared" si="0"/>
        <v>202543.28166666665</v>
      </c>
      <c r="L12" s="94"/>
    </row>
    <row r="13" spans="2:12" s="23" customFormat="1" ht="30" x14ac:dyDescent="0.25">
      <c r="B13" s="90" t="s">
        <v>226</v>
      </c>
      <c r="C13" s="90" t="s">
        <v>235</v>
      </c>
      <c r="D13" s="90" t="s">
        <v>228</v>
      </c>
      <c r="E13" s="90" t="s">
        <v>227</v>
      </c>
      <c r="F13" s="90" t="s">
        <v>309</v>
      </c>
      <c r="G13" s="91">
        <v>52000</v>
      </c>
      <c r="H13" s="92">
        <v>43678</v>
      </c>
      <c r="I13" s="95">
        <v>64782.46</v>
      </c>
      <c r="J13" s="94">
        <v>4</v>
      </c>
      <c r="K13" s="93">
        <f t="shared" si="0"/>
        <v>16195.615</v>
      </c>
      <c r="L13" s="94"/>
    </row>
    <row r="14" spans="2:12" s="22" customFormat="1" ht="90" x14ac:dyDescent="0.25">
      <c r="B14" s="90" t="s">
        <v>226</v>
      </c>
      <c r="C14" s="90" t="s">
        <v>243</v>
      </c>
      <c r="D14" s="90" t="s">
        <v>241</v>
      </c>
      <c r="E14" s="90" t="s">
        <v>242</v>
      </c>
      <c r="F14" s="90" t="s">
        <v>29</v>
      </c>
      <c r="G14" s="91">
        <v>227635.52</v>
      </c>
      <c r="H14" s="92">
        <v>44531</v>
      </c>
      <c r="I14" s="95">
        <v>243847.31</v>
      </c>
      <c r="J14" s="94">
        <v>3</v>
      </c>
      <c r="K14" s="93">
        <f t="shared" si="0"/>
        <v>81282.436666666661</v>
      </c>
      <c r="L14" s="94"/>
    </row>
    <row r="15" spans="2:12" s="22" customFormat="1" ht="30" x14ac:dyDescent="0.25">
      <c r="B15" s="90" t="s">
        <v>240</v>
      </c>
      <c r="C15" s="90" t="s">
        <v>238</v>
      </c>
      <c r="D15" s="90" t="s">
        <v>239</v>
      </c>
      <c r="E15" s="90" t="s">
        <v>237</v>
      </c>
      <c r="F15" s="90" t="s">
        <v>274</v>
      </c>
      <c r="G15" s="91">
        <v>63500</v>
      </c>
      <c r="H15" s="92">
        <v>44440</v>
      </c>
      <c r="I15" s="93">
        <v>70333.440000000002</v>
      </c>
      <c r="J15" s="94">
        <v>6</v>
      </c>
      <c r="K15" s="93">
        <f t="shared" si="0"/>
        <v>11722.24</v>
      </c>
      <c r="L15" s="94"/>
    </row>
    <row r="16" spans="2:12" s="22" customFormat="1" ht="30" x14ac:dyDescent="0.25">
      <c r="B16" s="90" t="s">
        <v>226</v>
      </c>
      <c r="C16" s="90" t="s">
        <v>247</v>
      </c>
      <c r="D16" s="90" t="s">
        <v>248</v>
      </c>
      <c r="E16" s="90" t="s">
        <v>244</v>
      </c>
      <c r="F16" s="90" t="s">
        <v>310</v>
      </c>
      <c r="G16" s="91">
        <v>164282.94</v>
      </c>
      <c r="H16" s="92">
        <v>43617</v>
      </c>
      <c r="I16" s="95">
        <v>205075.77</v>
      </c>
      <c r="J16" s="94">
        <v>12</v>
      </c>
      <c r="K16" s="93">
        <f t="shared" si="0"/>
        <v>17089.647499999999</v>
      </c>
      <c r="L16" s="94"/>
    </row>
    <row r="17" spans="2:12" s="22" customFormat="1" x14ac:dyDescent="0.25">
      <c r="B17" s="90" t="s">
        <v>226</v>
      </c>
      <c r="C17" s="90" t="s">
        <v>247</v>
      </c>
      <c r="D17" s="90" t="s">
        <v>245</v>
      </c>
      <c r="E17" s="90" t="s">
        <v>246</v>
      </c>
      <c r="F17" s="90" t="s">
        <v>310</v>
      </c>
      <c r="G17" s="91">
        <v>94400.29</v>
      </c>
      <c r="H17" s="92">
        <v>43497</v>
      </c>
      <c r="I17" s="95">
        <v>120070.52</v>
      </c>
      <c r="J17" s="94">
        <v>2.5</v>
      </c>
      <c r="K17" s="93">
        <f t="shared" si="0"/>
        <v>48028.207999999999</v>
      </c>
      <c r="L17" s="94"/>
    </row>
    <row r="18" spans="2:12" s="22" customFormat="1" ht="60" x14ac:dyDescent="0.25">
      <c r="B18" s="90" t="s">
        <v>226</v>
      </c>
      <c r="C18" s="90" t="s">
        <v>250</v>
      </c>
      <c r="D18" s="90" t="s">
        <v>251</v>
      </c>
      <c r="E18" s="90" t="s">
        <v>249</v>
      </c>
      <c r="F18" s="90" t="s">
        <v>275</v>
      </c>
      <c r="G18" s="91">
        <v>51000</v>
      </c>
      <c r="H18" s="92">
        <v>44044</v>
      </c>
      <c r="I18" s="95">
        <v>62104.85</v>
      </c>
      <c r="J18" s="94">
        <v>3</v>
      </c>
      <c r="K18" s="93">
        <f t="shared" si="0"/>
        <v>20701.616666666665</v>
      </c>
      <c r="L18" s="94"/>
    </row>
    <row r="19" spans="2:12" s="22" customFormat="1" ht="75" x14ac:dyDescent="0.25">
      <c r="B19" s="90" t="s">
        <v>226</v>
      </c>
      <c r="C19" s="90" t="s">
        <v>254</v>
      </c>
      <c r="D19" s="90" t="s">
        <v>253</v>
      </c>
      <c r="E19" s="90" t="s">
        <v>252</v>
      </c>
      <c r="F19" s="90" t="s">
        <v>276</v>
      </c>
      <c r="G19" s="91">
        <v>64750.46</v>
      </c>
      <c r="H19" s="92">
        <v>44044</v>
      </c>
      <c r="I19" s="95">
        <v>78849.36</v>
      </c>
      <c r="J19" s="94">
        <v>1</v>
      </c>
      <c r="K19" s="93">
        <f t="shared" si="0"/>
        <v>78849.36</v>
      </c>
      <c r="L19" s="94"/>
    </row>
    <row r="20" spans="2:12" s="22" customFormat="1" ht="60" x14ac:dyDescent="0.25">
      <c r="B20" s="90" t="s">
        <v>255</v>
      </c>
      <c r="C20" s="90" t="s">
        <v>256</v>
      </c>
      <c r="D20" s="90" t="s">
        <v>258</v>
      </c>
      <c r="E20" s="90" t="s">
        <v>257</v>
      </c>
      <c r="F20" s="90" t="s">
        <v>311</v>
      </c>
      <c r="G20" s="91">
        <v>8084839.4299999997</v>
      </c>
      <c r="H20" s="92">
        <v>43101</v>
      </c>
      <c r="I20" s="95">
        <v>10702646.57</v>
      </c>
      <c r="J20" s="94">
        <v>60</v>
      </c>
      <c r="K20" s="93">
        <f t="shared" si="0"/>
        <v>178377.44283333333</v>
      </c>
      <c r="L20" s="94"/>
    </row>
    <row r="21" spans="2:12" s="22" customFormat="1" ht="45" x14ac:dyDescent="0.25">
      <c r="B21" s="90" t="s">
        <v>261</v>
      </c>
      <c r="C21" s="90" t="s">
        <v>262</v>
      </c>
      <c r="D21" s="90" t="s">
        <v>260</v>
      </c>
      <c r="E21" s="90" t="s">
        <v>259</v>
      </c>
      <c r="F21" s="90" t="s">
        <v>18</v>
      </c>
      <c r="G21" s="91">
        <v>306201.71999999997</v>
      </c>
      <c r="H21" s="92">
        <v>42644</v>
      </c>
      <c r="I21" s="95">
        <v>420389.88</v>
      </c>
      <c r="J21" s="94">
        <v>7.5</v>
      </c>
      <c r="K21" s="93">
        <f t="shared" si="0"/>
        <v>56051.984000000004</v>
      </c>
      <c r="L21" s="94"/>
    </row>
    <row r="22" spans="2:12" s="22" customFormat="1" ht="60" x14ac:dyDescent="0.25">
      <c r="B22" s="90" t="s">
        <v>264</v>
      </c>
      <c r="C22" s="90" t="s">
        <v>265</v>
      </c>
      <c r="D22" s="90" t="s">
        <v>266</v>
      </c>
      <c r="E22" s="90" t="s">
        <v>263</v>
      </c>
      <c r="F22" s="90" t="s">
        <v>314</v>
      </c>
      <c r="G22" s="91">
        <v>26000</v>
      </c>
      <c r="H22" s="92">
        <v>41334</v>
      </c>
      <c r="I22" s="95">
        <v>46294.83</v>
      </c>
      <c r="J22" s="94">
        <v>1</v>
      </c>
      <c r="K22" s="93">
        <f t="shared" si="0"/>
        <v>46294.83</v>
      </c>
      <c r="L22" s="94"/>
    </row>
    <row r="23" spans="2:12" s="22" customFormat="1" ht="60" x14ac:dyDescent="0.25">
      <c r="B23" s="90" t="s">
        <v>264</v>
      </c>
      <c r="C23" s="90" t="s">
        <v>267</v>
      </c>
      <c r="D23" s="90" t="s">
        <v>268</v>
      </c>
      <c r="E23" s="90" t="s">
        <v>277</v>
      </c>
      <c r="F23" s="90" t="s">
        <v>29</v>
      </c>
      <c r="G23" s="91">
        <v>880000</v>
      </c>
      <c r="H23" s="92">
        <v>41395</v>
      </c>
      <c r="I23" s="95">
        <v>1551041.27</v>
      </c>
      <c r="J23" s="94">
        <v>6</v>
      </c>
      <c r="K23" s="93">
        <f t="shared" si="0"/>
        <v>258506.87833333333</v>
      </c>
      <c r="L23" s="94"/>
    </row>
    <row r="24" spans="2:12" s="22" customFormat="1" ht="45" x14ac:dyDescent="0.25">
      <c r="B24" s="90" t="s">
        <v>270</v>
      </c>
      <c r="C24" s="90" t="s">
        <v>271</v>
      </c>
      <c r="D24" s="90" t="s">
        <v>272</v>
      </c>
      <c r="E24" s="90" t="s">
        <v>269</v>
      </c>
      <c r="F24" s="90" t="s">
        <v>314</v>
      </c>
      <c r="G24" s="91">
        <v>17603.650000000001</v>
      </c>
      <c r="H24" s="92">
        <v>44348</v>
      </c>
      <c r="I24" s="95">
        <v>19961.72</v>
      </c>
      <c r="J24" s="94">
        <v>2</v>
      </c>
      <c r="K24" s="93">
        <f t="shared" si="0"/>
        <v>9980.86</v>
      </c>
      <c r="L24" s="94"/>
    </row>
    <row r="25" spans="2:12" s="22" customFormat="1" ht="60" x14ac:dyDescent="0.25">
      <c r="B25" s="90" t="s">
        <v>281</v>
      </c>
      <c r="C25" s="90" t="s">
        <v>230</v>
      </c>
      <c r="D25" s="90" t="s">
        <v>282</v>
      </c>
      <c r="E25" s="90" t="s">
        <v>280</v>
      </c>
      <c r="F25" s="90" t="s">
        <v>274</v>
      </c>
      <c r="G25" s="91">
        <v>141104.25</v>
      </c>
      <c r="H25" s="92">
        <v>44927</v>
      </c>
      <c r="I25" s="95">
        <f>G25</f>
        <v>141104.25</v>
      </c>
      <c r="J25" s="94">
        <v>3</v>
      </c>
      <c r="K25" s="93">
        <f t="shared" si="0"/>
        <v>47034.75</v>
      </c>
      <c r="L25" s="94"/>
    </row>
    <row r="26" spans="2:12" ht="60" x14ac:dyDescent="0.25">
      <c r="B26" s="90" t="s">
        <v>305</v>
      </c>
      <c r="C26" s="90" t="s">
        <v>306</v>
      </c>
      <c r="D26" s="90" t="s">
        <v>317</v>
      </c>
      <c r="E26" s="90" t="s">
        <v>307</v>
      </c>
      <c r="F26" s="90" t="s">
        <v>315</v>
      </c>
      <c r="G26" s="91">
        <v>680000</v>
      </c>
      <c r="H26" s="92">
        <v>44774</v>
      </c>
      <c r="I26" s="95">
        <v>662978.04</v>
      </c>
      <c r="J26" s="94">
        <v>4</v>
      </c>
      <c r="K26" s="93">
        <f t="shared" si="0"/>
        <v>165744.51</v>
      </c>
      <c r="L26" s="94"/>
    </row>
    <row r="27" spans="2:12" ht="45" x14ac:dyDescent="0.25">
      <c r="B27" s="90" t="s">
        <v>305</v>
      </c>
      <c r="C27" s="90" t="s">
        <v>316</v>
      </c>
      <c r="D27" s="90" t="s">
        <v>318</v>
      </c>
      <c r="E27" s="90" t="s">
        <v>319</v>
      </c>
      <c r="F27" s="90" t="s">
        <v>29</v>
      </c>
      <c r="G27" s="91">
        <v>199900</v>
      </c>
      <c r="H27" s="92">
        <v>44470</v>
      </c>
      <c r="I27" s="95">
        <v>214492.38</v>
      </c>
      <c r="J27" s="94">
        <v>4</v>
      </c>
      <c r="K27" s="93">
        <f t="shared" si="0"/>
        <v>53623.095000000001</v>
      </c>
      <c r="L27" s="94"/>
    </row>
    <row r="28" spans="2:12" s="23" customFormat="1" ht="45" x14ac:dyDescent="0.25">
      <c r="B28" s="94" t="s">
        <v>347</v>
      </c>
      <c r="C28" s="90" t="s">
        <v>348</v>
      </c>
      <c r="D28" s="94" t="s">
        <v>346</v>
      </c>
      <c r="E28" s="90" t="s">
        <v>353</v>
      </c>
      <c r="F28" s="94" t="s">
        <v>18</v>
      </c>
      <c r="G28" s="91">
        <v>9086500</v>
      </c>
      <c r="H28" s="92">
        <v>45108</v>
      </c>
      <c r="I28" s="93">
        <f>G28</f>
        <v>9086500</v>
      </c>
      <c r="J28" s="94">
        <v>6</v>
      </c>
      <c r="K28" s="93">
        <f>I28/J28</f>
        <v>1514416.6666666667</v>
      </c>
      <c r="L28" s="94"/>
    </row>
    <row r="29" spans="2:12" s="23" customFormat="1" ht="45" x14ac:dyDescent="0.25">
      <c r="B29" s="94" t="s">
        <v>347</v>
      </c>
      <c r="C29" s="90" t="s">
        <v>349</v>
      </c>
      <c r="D29" s="94" t="s">
        <v>346</v>
      </c>
      <c r="E29" s="90" t="s">
        <v>353</v>
      </c>
      <c r="F29" s="94" t="s">
        <v>18</v>
      </c>
      <c r="G29" s="91">
        <v>3759637.42</v>
      </c>
      <c r="H29" s="92">
        <v>45108</v>
      </c>
      <c r="I29" s="93">
        <f t="shared" ref="I29:I32" si="1">G29</f>
        <v>3759637.42</v>
      </c>
      <c r="J29" s="94">
        <v>6</v>
      </c>
      <c r="K29" s="93">
        <f t="shared" ref="K29:K32" si="2">I29/J29</f>
        <v>626606.23666666669</v>
      </c>
      <c r="L29" s="94"/>
    </row>
    <row r="30" spans="2:12" s="23" customFormat="1" ht="45" x14ac:dyDescent="0.25">
      <c r="B30" s="94" t="s">
        <v>347</v>
      </c>
      <c r="C30" s="90" t="s">
        <v>306</v>
      </c>
      <c r="D30" s="94" t="s">
        <v>346</v>
      </c>
      <c r="E30" s="90" t="s">
        <v>353</v>
      </c>
      <c r="F30" s="94" t="s">
        <v>18</v>
      </c>
      <c r="G30" s="91">
        <v>3321680.06</v>
      </c>
      <c r="H30" s="92">
        <v>45108</v>
      </c>
      <c r="I30" s="93">
        <f t="shared" si="1"/>
        <v>3321680.06</v>
      </c>
      <c r="J30" s="94">
        <v>6</v>
      </c>
      <c r="K30" s="93">
        <f t="shared" si="2"/>
        <v>553613.34333333338</v>
      </c>
      <c r="L30" s="94"/>
    </row>
    <row r="31" spans="2:12" s="23" customFormat="1" ht="45" x14ac:dyDescent="0.25">
      <c r="B31" s="94" t="s">
        <v>347</v>
      </c>
      <c r="C31" s="90" t="s">
        <v>350</v>
      </c>
      <c r="D31" s="94" t="s">
        <v>346</v>
      </c>
      <c r="E31" s="90" t="s">
        <v>353</v>
      </c>
      <c r="F31" s="94" t="s">
        <v>18</v>
      </c>
      <c r="G31" s="91">
        <v>2317600</v>
      </c>
      <c r="H31" s="92">
        <v>45108</v>
      </c>
      <c r="I31" s="93">
        <f t="shared" si="1"/>
        <v>2317600</v>
      </c>
      <c r="J31" s="94">
        <v>6</v>
      </c>
      <c r="K31" s="93">
        <f t="shared" si="2"/>
        <v>386266.66666666669</v>
      </c>
      <c r="L31" s="94"/>
    </row>
    <row r="32" spans="2:12" s="23" customFormat="1" ht="45" x14ac:dyDescent="0.25">
      <c r="B32" s="94" t="s">
        <v>347</v>
      </c>
      <c r="C32" s="90" t="s">
        <v>365</v>
      </c>
      <c r="D32" s="94" t="s">
        <v>346</v>
      </c>
      <c r="E32" s="90" t="s">
        <v>353</v>
      </c>
      <c r="F32" s="94" t="s">
        <v>18</v>
      </c>
      <c r="G32" s="91">
        <f>'Pesquisa de Mercado'!O37</f>
        <v>1565000</v>
      </c>
      <c r="H32" s="92">
        <v>45108</v>
      </c>
      <c r="I32" s="93">
        <f t="shared" si="1"/>
        <v>1565000</v>
      </c>
      <c r="J32" s="94">
        <v>6</v>
      </c>
      <c r="K32" s="93">
        <f t="shared" si="2"/>
        <v>260833.33333333334</v>
      </c>
      <c r="L32" s="94"/>
    </row>
    <row r="33" spans="3:11" s="23" customFormat="1" x14ac:dyDescent="0.25">
      <c r="C33" s="178"/>
      <c r="E33" s="178"/>
      <c r="G33" s="179"/>
      <c r="H33" s="180"/>
      <c r="I33" s="181"/>
      <c r="K33" s="181"/>
    </row>
    <row r="34" spans="3:11" x14ac:dyDescent="0.25">
      <c r="H34" s="21" t="s">
        <v>351</v>
      </c>
      <c r="I34" s="125">
        <f>AVERAGE(I28:I32)</f>
        <v>4010083.4960000003</v>
      </c>
      <c r="K34" s="125">
        <f>AVERAGE(K28:K32)</f>
        <v>668347.24933333334</v>
      </c>
    </row>
    <row r="35" spans="3:11" x14ac:dyDescent="0.25">
      <c r="H35" s="21" t="s">
        <v>352</v>
      </c>
      <c r="I35" s="125">
        <f>MEDIAN(I28:I32)</f>
        <v>3321680.06</v>
      </c>
      <c r="K35" s="125">
        <f>MEDIAN(K28:K32)</f>
        <v>553613.34333333338</v>
      </c>
    </row>
    <row r="36" spans="3:11" x14ac:dyDescent="0.25">
      <c r="K36" s="125"/>
    </row>
  </sheetData>
  <autoFilter ref="B4:L27" xr:uid="{6FBA8F5E-B5DA-45FF-9CE6-918ABC304DB5}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D1D09-8997-4E37-8822-44BF74B3AE22}">
  <dimension ref="A2:R3"/>
  <sheetViews>
    <sheetView workbookViewId="0"/>
  </sheetViews>
  <sheetFormatPr defaultRowHeight="15" x14ac:dyDescent="0.25"/>
  <cols>
    <col min="1" max="1" width="11.140625" bestFit="1" customWidth="1"/>
  </cols>
  <sheetData>
    <row r="2" spans="1:18" x14ac:dyDescent="0.25">
      <c r="B2" s="71">
        <v>43831</v>
      </c>
      <c r="C2" s="71">
        <v>43862</v>
      </c>
      <c r="D2" s="71">
        <v>43891</v>
      </c>
      <c r="E2" s="71">
        <v>43922</v>
      </c>
      <c r="F2" s="71">
        <v>43952</v>
      </c>
      <c r="G2" s="71">
        <v>43983</v>
      </c>
      <c r="H2" s="71">
        <v>44013</v>
      </c>
      <c r="I2" s="71">
        <v>44044</v>
      </c>
      <c r="J2" s="71">
        <v>44075</v>
      </c>
      <c r="K2" s="71">
        <v>44105</v>
      </c>
      <c r="L2" s="71">
        <v>44136</v>
      </c>
      <c r="M2" s="71">
        <v>44166</v>
      </c>
      <c r="N2" s="71">
        <v>44927</v>
      </c>
      <c r="O2" s="71">
        <v>44958</v>
      </c>
      <c r="P2" s="71">
        <v>44986</v>
      </c>
      <c r="Q2" s="71">
        <v>45017</v>
      </c>
      <c r="R2" s="71">
        <v>45047</v>
      </c>
    </row>
    <row r="3" spans="1:18" x14ac:dyDescent="0.25">
      <c r="A3" t="s">
        <v>174</v>
      </c>
      <c r="B3">
        <v>488.18099999999998</v>
      </c>
      <c r="C3">
        <v>489.41399999999999</v>
      </c>
      <c r="D3">
        <v>489.25700000000001</v>
      </c>
      <c r="E3">
        <v>488.11799999999999</v>
      </c>
      <c r="F3">
        <v>488.81200000000001</v>
      </c>
      <c r="G3">
        <v>490.053</v>
      </c>
      <c r="H3">
        <v>491.94299999999998</v>
      </c>
      <c r="I3">
        <v>494.34100000000001</v>
      </c>
      <c r="J3">
        <v>497.63799999999998</v>
      </c>
      <c r="K3">
        <v>498.99200000000002</v>
      </c>
      <c r="L3">
        <v>499.92500000000001</v>
      </c>
      <c r="M3">
        <v>500.851</v>
      </c>
      <c r="N3">
        <v>563.82500000000005</v>
      </c>
      <c r="O3">
        <v>566.48800000000006</v>
      </c>
      <c r="P3">
        <v>565.78499999999997</v>
      </c>
      <c r="Q3">
        <v>567.58000000000004</v>
      </c>
      <c r="R3">
        <v>566.48699999999997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Planilha Orçamentária</vt:lpstr>
      <vt:lpstr>Pesquisa de Mercado</vt:lpstr>
      <vt:lpstr>CRONOGRAMA</vt:lpstr>
      <vt:lpstr>Estrutura Dados</vt:lpstr>
      <vt:lpstr>NOTAS</vt:lpstr>
      <vt:lpstr>Simulacoes</vt:lpstr>
      <vt:lpstr>Geofísica</vt:lpstr>
      <vt:lpstr>Circularizacao</vt:lpstr>
      <vt:lpstr>Fontes</vt:lpstr>
    </vt:vector>
  </TitlesOfParts>
  <Company>EPL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Takei Kawata</dc:creator>
  <cp:lastModifiedBy>Leonardo Takei Kawata</cp:lastModifiedBy>
  <cp:lastPrinted>2023-08-01T19:34:25Z</cp:lastPrinted>
  <dcterms:created xsi:type="dcterms:W3CDTF">2023-06-16T18:40:21Z</dcterms:created>
  <dcterms:modified xsi:type="dcterms:W3CDTF">2023-11-24T17:33:19Z</dcterms:modified>
</cp:coreProperties>
</file>