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valeccontrucoes-my.sharepoint.com/personal/paulo_mendonca_infrasa_gov_br/Documents/Área de Trabalho/"/>
    </mc:Choice>
  </mc:AlternateContent>
  <xr:revisionPtr revIDLastSave="0" documentId="8_{9CDD6F2C-5618-4336-A887-99806FE31887}" xr6:coauthVersionLast="47" xr6:coauthVersionMax="47" xr10:uidLastSave="{00000000-0000-0000-0000-000000000000}"/>
  <bookViews>
    <workbookView xWindow="28680" yWindow="-120" windowWidth="29040" windowHeight="15840" firstSheet="6" activeTab="6" xr2:uid="{58BCB359-6D08-4C44-888D-B423B9A8B5C8}"/>
  </bookViews>
  <sheets>
    <sheet name="SUPEA Quantidade" sheetId="4" state="hidden" r:id="rId1"/>
    <sheet name="SUPEA Descritivo" sheetId="5" state="hidden" r:id="rId2"/>
    <sheet name="SUPAQ Descritivo" sheetId="6" state="hidden" r:id="rId3"/>
    <sheet name="SUPET Descritivo" sheetId="7" state="hidden" r:id="rId4"/>
    <sheet name="SUROD Descritivo" sheetId="8" state="hidden" r:id="rId5"/>
    <sheet name="SUFER Descritivo" sheetId="9" state="hidden" r:id="rId6"/>
    <sheet name="PERFIS COM PESO" sheetId="13" r:id="rId7"/>
    <sheet name="supet1" sheetId="21" state="hidden" r:id="rId8"/>
    <sheet name="supea1" sheetId="22" state="hidden" r:id="rId9"/>
    <sheet name="PERFIS SUPEA" sheetId="10" state="hidden" r:id="rId10"/>
    <sheet name="TPU" sheetId="23" r:id="rId11"/>
    <sheet name="BDI" sheetId="15" r:id="rId12"/>
  </sheets>
  <definedNames>
    <definedName name="_xlnm._FilterDatabase" localSheetId="6" hidden="1">'PERFIS COM PESO'!$B$7:$Q$41</definedName>
    <definedName name="_xlnm._FilterDatabase" localSheetId="8" hidden="1">supea1!$B$2:$N$41</definedName>
    <definedName name="_xlnm._FilterDatabase" localSheetId="7" hidden="1">supet1!$B$3:$N$49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6" i="13" l="1"/>
  <c r="N47" i="13"/>
  <c r="N48" i="13"/>
  <c r="N49" i="13"/>
  <c r="M64" i="22"/>
  <c r="M63" i="22"/>
  <c r="M62" i="22"/>
  <c r="M59" i="22"/>
  <c r="M60" i="22"/>
  <c r="M61" i="22"/>
  <c r="M58" i="22"/>
  <c r="D192" i="23"/>
  <c r="D191" i="23"/>
  <c r="P48" i="13" s="1"/>
  <c r="D190" i="23"/>
  <c r="D189" i="23"/>
  <c r="D188" i="23"/>
  <c r="P49" i="13"/>
  <c r="Q49" i="13" s="1"/>
  <c r="P47" i="13"/>
  <c r="P46" i="13"/>
  <c r="P45" i="13"/>
  <c r="L49" i="13"/>
  <c r="L46" i="13"/>
  <c r="L47" i="13"/>
  <c r="L48" i="13"/>
  <c r="L45" i="13"/>
  <c r="P39" i="13"/>
  <c r="K10" i="13"/>
  <c r="K11" i="13"/>
  <c r="K12" i="13"/>
  <c r="K13" i="13"/>
  <c r="K14" i="13"/>
  <c r="K15" i="13"/>
  <c r="K16" i="13"/>
  <c r="K17" i="13"/>
  <c r="K18" i="13"/>
  <c r="K19" i="13"/>
  <c r="K20" i="13"/>
  <c r="K9" i="13"/>
  <c r="K56" i="21"/>
  <c r="K55" i="21"/>
  <c r="K54" i="21"/>
  <c r="D3" i="23"/>
  <c r="Q39" i="13" l="1"/>
  <c r="M43" i="21"/>
  <c r="M35" i="22"/>
  <c r="M36" i="22"/>
  <c r="M34" i="22"/>
  <c r="D11" i="23" l="1"/>
  <c r="I3" i="23"/>
  <c r="D9" i="23"/>
  <c r="D10" i="23"/>
  <c r="D12" i="23"/>
  <c r="D15" i="23"/>
  <c r="D16" i="23"/>
  <c r="D17" i="23"/>
  <c r="D18" i="23"/>
  <c r="D19" i="23"/>
  <c r="D20" i="23"/>
  <c r="D21" i="23"/>
  <c r="D22" i="23"/>
  <c r="D23" i="23"/>
  <c r="D24" i="23"/>
  <c r="D25" i="23"/>
  <c r="D26" i="23"/>
  <c r="D27" i="23"/>
  <c r="D28" i="23"/>
  <c r="D29" i="23"/>
  <c r="D30" i="23"/>
  <c r="D31" i="23"/>
  <c r="D32" i="23"/>
  <c r="D33" i="23"/>
  <c r="D34" i="23"/>
  <c r="D35" i="23"/>
  <c r="P25" i="13" s="1"/>
  <c r="Q25" i="13" s="1"/>
  <c r="D36" i="23"/>
  <c r="D37" i="23"/>
  <c r="D38" i="23"/>
  <c r="D39" i="23"/>
  <c r="D40" i="23"/>
  <c r="D41" i="23"/>
  <c r="D42" i="23"/>
  <c r="D43" i="23"/>
  <c r="D44" i="23"/>
  <c r="D45" i="23"/>
  <c r="D46" i="23"/>
  <c r="D47" i="23"/>
  <c r="D48" i="23"/>
  <c r="D49" i="23"/>
  <c r="M22" i="22" s="1"/>
  <c r="N22" i="22" s="1"/>
  <c r="D50" i="23"/>
  <c r="D51" i="23"/>
  <c r="D52" i="23"/>
  <c r="D53" i="23"/>
  <c r="D54" i="23"/>
  <c r="D55" i="23"/>
  <c r="D56" i="23"/>
  <c r="D57" i="23"/>
  <c r="D58" i="23"/>
  <c r="D59" i="23"/>
  <c r="D60" i="23"/>
  <c r="D61" i="23"/>
  <c r="D62" i="23"/>
  <c r="D63" i="23"/>
  <c r="D64" i="23"/>
  <c r="D65" i="23"/>
  <c r="D66" i="23"/>
  <c r="D67" i="23"/>
  <c r="D68" i="23"/>
  <c r="D69" i="23"/>
  <c r="D70" i="23"/>
  <c r="D71" i="23"/>
  <c r="D72" i="23"/>
  <c r="D73" i="23"/>
  <c r="D74" i="23"/>
  <c r="D75" i="23"/>
  <c r="D76" i="23"/>
  <c r="D77" i="23"/>
  <c r="D78" i="23"/>
  <c r="M17" i="21" s="1"/>
  <c r="D79" i="23"/>
  <c r="D80" i="23"/>
  <c r="D81" i="23"/>
  <c r="D82" i="23"/>
  <c r="D83" i="23"/>
  <c r="D84" i="23"/>
  <c r="D85" i="23"/>
  <c r="D86" i="23"/>
  <c r="D87" i="23"/>
  <c r="D88" i="23"/>
  <c r="D89" i="23"/>
  <c r="D90" i="23"/>
  <c r="D91" i="23"/>
  <c r="D92" i="23"/>
  <c r="D93" i="23"/>
  <c r="D94" i="23"/>
  <c r="D95" i="23"/>
  <c r="D96" i="23"/>
  <c r="D97" i="23"/>
  <c r="D98" i="23"/>
  <c r="D99" i="23"/>
  <c r="D100" i="23"/>
  <c r="D101" i="23"/>
  <c r="D102" i="23"/>
  <c r="D103" i="23"/>
  <c r="D104" i="23"/>
  <c r="D105" i="23"/>
  <c r="D106" i="23"/>
  <c r="G110" i="23"/>
  <c r="D110" i="23" s="1"/>
  <c r="G111" i="23"/>
  <c r="D111" i="23" s="1"/>
  <c r="G112" i="23"/>
  <c r="D112" i="23" s="1"/>
  <c r="D116" i="23"/>
  <c r="M48" i="22" s="1"/>
  <c r="D117" i="23"/>
  <c r="D118" i="23"/>
  <c r="M49" i="22" s="1"/>
  <c r="D119" i="23"/>
  <c r="D120" i="23"/>
  <c r="D121" i="23"/>
  <c r="D122" i="23"/>
  <c r="D123" i="23"/>
  <c r="D124" i="23"/>
  <c r="M50" i="22" s="1"/>
  <c r="D125" i="23"/>
  <c r="D156" i="23"/>
  <c r="N7" i="22"/>
  <c r="N12" i="22"/>
  <c r="N16" i="22"/>
  <c r="M26" i="22"/>
  <c r="N26" i="22" s="1"/>
  <c r="M27" i="22"/>
  <c r="N27" i="22" s="1"/>
  <c r="M28" i="22"/>
  <c r="N28" i="22" s="1"/>
  <c r="N34" i="22"/>
  <c r="N35" i="22"/>
  <c r="N36" i="22"/>
  <c r="N38" i="22"/>
  <c r="N39" i="22"/>
  <c r="N40" i="22"/>
  <c r="K45" i="22"/>
  <c r="K46" i="22"/>
  <c r="K58" i="22" s="1"/>
  <c r="K47" i="22"/>
  <c r="K48" i="22"/>
  <c r="K49" i="22"/>
  <c r="K50" i="22"/>
  <c r="K51" i="22"/>
  <c r="K52" i="22"/>
  <c r="K53" i="22"/>
  <c r="I58" i="22"/>
  <c r="I59" i="22"/>
  <c r="N59" i="22"/>
  <c r="I60" i="22"/>
  <c r="N60" i="22"/>
  <c r="I61" i="22"/>
  <c r="N61" i="22"/>
  <c r="I62" i="22"/>
  <c r="N62" i="22"/>
  <c r="I63" i="22"/>
  <c r="N63" i="22"/>
  <c r="I64" i="22"/>
  <c r="N64" i="22"/>
  <c r="N48" i="22" l="1"/>
  <c r="N58" i="22"/>
  <c r="N45" i="13"/>
  <c r="N50" i="22"/>
  <c r="M20" i="22"/>
  <c r="N20" i="22" s="1"/>
  <c r="M29" i="22"/>
  <c r="N29" i="22" s="1"/>
  <c r="P33" i="13"/>
  <c r="Q33" i="13" s="1"/>
  <c r="P32" i="13"/>
  <c r="Q32" i="13" s="1"/>
  <c r="P30" i="13"/>
  <c r="Q30" i="13" s="1"/>
  <c r="P29" i="13"/>
  <c r="Q29" i="13" s="1"/>
  <c r="P27" i="13"/>
  <c r="Q27" i="13" s="1"/>
  <c r="M11" i="21"/>
  <c r="P34" i="13"/>
  <c r="Q34" i="13" s="1"/>
  <c r="P11" i="13"/>
  <c r="M21" i="21"/>
  <c r="P20" i="13"/>
  <c r="M18" i="21"/>
  <c r="P17" i="13"/>
  <c r="M20" i="21"/>
  <c r="P19" i="13"/>
  <c r="M10" i="21"/>
  <c r="P10" i="13"/>
  <c r="M15" i="21"/>
  <c r="P15" i="13"/>
  <c r="M21" i="22"/>
  <c r="N21" i="22" s="1"/>
  <c r="P26" i="13"/>
  <c r="Q26" i="13" s="1"/>
  <c r="M12" i="21"/>
  <c r="P12" i="13"/>
  <c r="M54" i="21"/>
  <c r="P31" i="13"/>
  <c r="Q31" i="13" s="1"/>
  <c r="M16" i="21"/>
  <c r="P16" i="13"/>
  <c r="M19" i="22"/>
  <c r="N19" i="22" s="1"/>
  <c r="Q5" i="13"/>
  <c r="P9" i="13"/>
  <c r="Q9" i="13" s="1"/>
  <c r="M56" i="21"/>
  <c r="M19" i="21"/>
  <c r="P18" i="13"/>
  <c r="M45" i="22"/>
  <c r="N45" i="22" s="1"/>
  <c r="M53" i="22"/>
  <c r="N53" i="22" s="1"/>
  <c r="M9" i="21"/>
  <c r="M47" i="22"/>
  <c r="N47" i="22" s="1"/>
  <c r="M25" i="22"/>
  <c r="N25" i="22" s="1"/>
  <c r="M46" i="22"/>
  <c r="N46" i="22" s="1"/>
  <c r="M55" i="21"/>
  <c r="M51" i="22"/>
  <c r="N51" i="22" s="1"/>
  <c r="M24" i="22"/>
  <c r="N24" i="22" s="1"/>
  <c r="M52" i="22"/>
  <c r="N52" i="22" s="1"/>
  <c r="N49" i="22"/>
  <c r="D14" i="23"/>
  <c r="D13" i="23"/>
  <c r="N65" i="22"/>
  <c r="N41" i="22"/>
  <c r="M14" i="21" l="1"/>
  <c r="P14" i="13"/>
  <c r="P28" i="13"/>
  <c r="Q28" i="13" s="1"/>
  <c r="M13" i="21"/>
  <c r="N13" i="21" s="1"/>
  <c r="P13" i="13"/>
  <c r="Q13" i="13" s="1"/>
  <c r="N54" i="22"/>
  <c r="M23" i="22"/>
  <c r="N23" i="22" s="1"/>
  <c r="N30" i="22" s="1"/>
  <c r="N28" i="21"/>
  <c r="N32" i="21"/>
  <c r="N43" i="21"/>
  <c r="N44" i="21"/>
  <c r="Q17" i="13"/>
  <c r="N15" i="21"/>
  <c r="Q15" i="13"/>
  <c r="N10" i="21"/>
  <c r="Q20" i="13"/>
  <c r="Q10" i="13"/>
  <c r="N12" i="21"/>
  <c r="Q11" i="13"/>
  <c r="N17" i="21"/>
  <c r="N19" i="21"/>
  <c r="Q18" i="13"/>
  <c r="N20" i="21"/>
  <c r="N16" i="21"/>
  <c r="Q19" i="13"/>
  <c r="Q16" i="13"/>
  <c r="N46" i="21" l="1"/>
  <c r="N56" i="21"/>
  <c r="N54" i="21"/>
  <c r="N55" i="21"/>
  <c r="N67" i="22"/>
  <c r="Q12" i="13"/>
  <c r="N9" i="21"/>
  <c r="N11" i="21"/>
  <c r="N21" i="21"/>
  <c r="N14" i="21"/>
  <c r="N57" i="21" l="1"/>
  <c r="N18" i="21"/>
  <c r="Q14" i="13"/>
  <c r="Q21" i="13" s="1"/>
  <c r="O54" i="22" l="1"/>
  <c r="N22" i="21"/>
  <c r="N38" i="21"/>
  <c r="N64" i="21" l="1"/>
  <c r="F52" i="10"/>
  <c r="F51" i="10"/>
  <c r="F50" i="10"/>
  <c r="F49" i="10"/>
  <c r="F48" i="10"/>
  <c r="F47" i="10"/>
  <c r="F46" i="10"/>
  <c r="F45" i="10"/>
  <c r="F44" i="10"/>
  <c r="F43" i="10"/>
  <c r="F42" i="10"/>
  <c r="E50" i="10"/>
  <c r="E47" i="10"/>
  <c r="E43" i="10"/>
  <c r="E42" i="10"/>
  <c r="D50" i="10"/>
  <c r="D47" i="10"/>
  <c r="D43" i="10"/>
  <c r="D42" i="10"/>
  <c r="C50" i="10"/>
  <c r="C47" i="10"/>
  <c r="C43" i="10"/>
  <c r="C42" i="10"/>
  <c r="B50" i="10"/>
  <c r="B47" i="10"/>
  <c r="B42" i="10"/>
  <c r="I52" i="10"/>
  <c r="H52" i="10"/>
  <c r="I51" i="10"/>
  <c r="H51" i="10"/>
  <c r="I50" i="10"/>
  <c r="H50" i="10"/>
  <c r="I49" i="10"/>
  <c r="H49" i="10"/>
  <c r="I48" i="10"/>
  <c r="H48" i="10"/>
  <c r="I47" i="10"/>
  <c r="H47" i="10"/>
  <c r="I46" i="10"/>
  <c r="H46" i="10"/>
  <c r="I45" i="10"/>
  <c r="H45" i="10"/>
  <c r="I44" i="10"/>
  <c r="H44" i="10"/>
  <c r="I43" i="10"/>
  <c r="H43" i="10"/>
  <c r="I42" i="10"/>
  <c r="H42" i="10"/>
  <c r="Q48" i="13"/>
  <c r="Q47" i="13"/>
  <c r="Q46" i="13"/>
  <c r="Q45" i="13" l="1"/>
  <c r="Q40" i="13"/>
  <c r="Q41" i="13" l="1"/>
  <c r="Q50" i="13"/>
  <c r="B13" i="4" l="1"/>
  <c r="B12" i="4"/>
  <c r="E12" i="4"/>
  <c r="J42" i="10" l="1"/>
  <c r="K43" i="10"/>
  <c r="J43" i="10"/>
  <c r="K49" i="10"/>
  <c r="J49" i="10"/>
  <c r="K46" i="10"/>
  <c r="J46" i="10"/>
  <c r="K44" i="10"/>
  <c r="J44" i="10"/>
  <c r="K42" i="10"/>
  <c r="K47" i="10" l="1"/>
  <c r="J47" i="10"/>
  <c r="K52" i="10"/>
  <c r="J52" i="10"/>
  <c r="K45" i="10"/>
  <c r="J45" i="10"/>
  <c r="K51" i="10"/>
  <c r="J51" i="10"/>
  <c r="K48" i="10"/>
  <c r="J48" i="10"/>
  <c r="K50" i="10"/>
  <c r="J50" i="10"/>
  <c r="Q35" i="13"/>
  <c r="Q5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tc={94DDB047-ABDC-4801-94FF-2393FBF0BDE4}</author>
  </authors>
  <commentList>
    <comment ref="J18" authorId="0" shapeId="0" xr:uid="{94DDB047-ABDC-4801-94FF-2393FBF0BDE4}">
      <text>
        <t>[Comentário encadeado]
Sua versão do Excel permite que você leia este comentário encadeado, no entanto, as edições serão removidas se o arquivo for aberto em uma versão mais recente do Excel. Saiba mais: https://go.microsoft.com/fwlink/?linkid=870924
Comentário:
    Essa coluna não existia na SUPEA, mas existia na SUPET, então, para fins de padronização, faz sentido tê-la aqui também.</t>
      </text>
    </comment>
  </commentList>
</comments>
</file>

<file path=xl/sharedStrings.xml><?xml version="1.0" encoding="utf-8"?>
<sst xmlns="http://schemas.openxmlformats.org/spreadsheetml/2006/main" count="1799" uniqueCount="732">
  <si>
    <t>Perfil</t>
  </si>
  <si>
    <t>Principais Demandas Atuais</t>
  </si>
  <si>
    <t>Projetos em Discussão</t>
  </si>
  <si>
    <t>Suporte administrativo a gestão contratual</t>
  </si>
  <si>
    <t>Monitoração de Rodovias</t>
  </si>
  <si>
    <t>Estruturação de PPPs de Aeroportos</t>
  </si>
  <si>
    <t>Estruturação de PPPs/Blocos Aeroportos Regionais</t>
  </si>
  <si>
    <t>Estudos de Custos Logísticos</t>
  </si>
  <si>
    <t xml:space="preserve">Estudo de Corredores Binacionais </t>
  </si>
  <si>
    <t>Eng. Especialista em Transporte</t>
  </si>
  <si>
    <t>Eng. Civil Aeronáutico (ou esp. em infra. Aerop.)</t>
  </si>
  <si>
    <t>Arquiteto (esp. Em BIM)</t>
  </si>
  <si>
    <t>Eng. Ambiental (ou esp. em meio ambiente)</t>
  </si>
  <si>
    <t>Especialista em Dados</t>
  </si>
  <si>
    <t>Advogado</t>
  </si>
  <si>
    <t>Economista</t>
  </si>
  <si>
    <t>Técnico em geoprocessamento ou Geógrafo</t>
  </si>
  <si>
    <t>Técnico em administração ou Administrador</t>
  </si>
  <si>
    <t>TOTAL</t>
  </si>
  <si>
    <t>TOTAL GERAL</t>
  </si>
  <si>
    <t>AÇÃO</t>
  </si>
  <si>
    <t>PRODUTO</t>
  </si>
  <si>
    <t>Atividade</t>
  </si>
  <si>
    <t>especificação</t>
  </si>
  <si>
    <t>Perfil do profissional</t>
  </si>
  <si>
    <t>Horas alocadas por produto</t>
  </si>
  <si>
    <t>Suporte Técnico-Administrativo Especializado em Estudos e Projetos</t>
  </si>
  <si>
    <t>Relatório de pavimentos;
Relatório de sinalização;
Relatório de meio ambiente;
Relatório de OAE e OAC
Relatório de iluminação, inst operacionais e outros</t>
  </si>
  <si>
    <t>Receber e avaliar relatórios de parâmetros rodoviários elaborados por consultorias especializadas contratadas;
Receber e analisar relatórios  de parâmetros rodoviários de verfiicador independente;
Acompanhar a aprovação dos relatórios junto a ANTT e demais órgãos interessados;
Realizar ações específicas de monitoração de rodovias necessárias a subsidiar os produtos requeridos.</t>
  </si>
  <si>
    <t>Relatório de Caracterização do aeroporto
Relatório de Estudo de mercado
Relatório de Estudo de engenharia</t>
  </si>
  <si>
    <t>Receber e avaliar relatórios de estudos de infraestrutura aeroportuária elaborados por consultorias especializadas contratadas;
Desenvolver atividades de campo, tais como levantamentos, inspeções e pesquisa, para subsidiar elaboração de relatórios;
Acompanhar atividades de campo realizadas por consultorias contratadas;
Acompanhar atividades de ensaios de geotecnia e pavimentação;
Desenvolver relatórios de estudos de infraestrutura aeroportuária.</t>
  </si>
  <si>
    <t>Relatório de diagnóstico do corredor logístico
Relatório de análise estratégica de corredor logístico</t>
  </si>
  <si>
    <t>Receber e avaliar relatórios elaborados por consultorias especializadas em transporte e logística, inclusive entidades internacionais;
Desenvolver atividades de levantamento de campo tais como Due Dilligence comerciais, inspeções de obras em andamento e caracterização de infraestrutura;
Acompanhar atividades de campo realizadas por consultorias especializadas contratadas;
Elaborar relatórios especificos de análise de características de transportes em estudos de corredores logísticos.</t>
  </si>
  <si>
    <t>Receber e avaliar relatórios de infraestrutura aeroportuária elaborados por consultorias especializadas contratadas;
Desenvolver relatórios de infraestrutura aeroportuária conforme escopo específico para compor o estudo de viabilidade técnica e econômica;
Desenvolver atividades de levantamento de campo tais como inspeções e caracterização de infraestrutura;
Acompanhar atividades de campo realizadas por consultorias especializadas contratadas;
Acompanhar a realização de ensaios geotécnicos e de pavimentos em campo.</t>
  </si>
  <si>
    <t>Relatório de Diagnóstico e caracterização dos empreendimentos;
Relatório de Avaliação ambiental, de mercado e técnica preliminar
Relatório de Análise de demanda e socioeconômica preliminar
Relatório de Indicativo de estrutura, financiamento e análise estratégica
Relatório consolidado e proposições</t>
  </si>
  <si>
    <t>Realizar o mapeamento e verificação da documentação da infraestrutura aeroviária;
Desenvolver estudos de construção e projeção de cenários, avaliação de investimentos, avaliação de custos operacionais, avaliação de receitas potenciais;
Desenvolver análise de risco;
Realizar análises do tipo Value For Money;
Receber e avaliar relatórios elaborados por consultorias especializadas.</t>
  </si>
  <si>
    <t>Relatório de Diagnóstico e caracterização dos empreendimentos;
Relatório de Avaliação técnica 
Relatório de análise estratégica</t>
  </si>
  <si>
    <t>Mapeamento e verificação da documentação da infraestrutura aeroviária
Desenvolvimento de estudo técnico de fluxos e capacidade da infraesetrutura;
Análise de Planos diretores e relação da infraestrutura com seu entorno;
Suporte ao planejamento, construção e projeção de cenários
Desenvolvimento de modelos digitais em BIM para subsidiar a elaboração de cenários, relatórios e planejamento.
Receber e analisar documentação de anteprojeto elaborada por consultorias especializadas;
Desenvolver documentação de anteprojeto e projeto básico para infraestraturas aeroportuárias a fim de subsidiar os estudos.
Receber e analisar propostas de investimento e estimativas de custos de investimentos em infraestrutura aeroportuária;
Desenvolver estimativas de investimentos em infraestrutura aeroportuária.</t>
  </si>
  <si>
    <t>Relatório de Estudo ambiental
Relatório de Estudo jurídico-regulatório</t>
  </si>
  <si>
    <t>Receber e avaliar relatórios de análise ambiental elaborados por consultorias especializadas contratadas;
Desenvolver relatórios conforme escopo específico para compor o estudo de viabilidade ambiental;
Desenvolver atividades de levantamento de campo tais como Due Dilligence ambiental;
Acompanhar atividades de campo realizadas por terceiros;
Receber e avaliar estimativas de custos operacionais ambientais e investimentos ambientais.
Desenvolver estimativas de custos ambientais.</t>
  </si>
  <si>
    <t>Relatório de diagnóstico ambiental de corredor logístico
Relatório de análise estratégica de corredor logístico</t>
  </si>
  <si>
    <t>Receber e avaliar relatórios de análise ambiental elaborados por consultorias especializadas contratadas, inclusive entidades internacionais;
Desenvolver relatórios conforme escopo específico para compor o estudo de viabilidade ambiental;
Desenvolver atividades de levantamento de campo tais como Due Dilligence ambiental;
Acompanhar atividades de campo realizadas por terceiros;
Receber e avaliar estimativas de custos operacionais ambientais e investimentos ambientais.
Desenvolver estimativas de custos ambientais.</t>
  </si>
  <si>
    <t xml:space="preserve">Relatório de análise Índices setoriais específicos;
Relatório de análise de séries históricas e projeções.
</t>
  </si>
  <si>
    <t>Receber e analisar dados relativos e índicadores setoriais específicos aplicando técnicas estatísticas e de análise de dados para subsidiar estudos econômicos e e técnicos.</t>
  </si>
  <si>
    <t>Assessoria Técnico-Administrativa</t>
  </si>
  <si>
    <t>Relatório de Caracterização do aeroporto
Relatório de Estudo de mercado
Relatório de Estudo econômico-financeiro
Relatório de Estudo jurídico-regulatório</t>
  </si>
  <si>
    <t>Receber e avaliar relatórios econômico-financeiros elaborados por consultorias especializadas contratadas;
Desenvolver relatórios de análise econômico-financeira para compor o estudo de viabilidade econômico-financeira;
Desenvolver atividades de levantamento de campo tais como Due Dilligence comercial;
Acompanhar atividades de campo realizadas por terceiros;
Aplicar métodos econômicos para análise e projeção de demanda.</t>
  </si>
  <si>
    <t>Relatório de Diagnóstico e caracterização dos empreendimentos;
Relatório de Avaliação ambiental, de mercado e técnica 
Relatório de Análise de demanda e socioeconômica 
Relatório de Indicativo de estrutura, financiamento e análise estratégica</t>
  </si>
  <si>
    <t xml:space="preserve">Desenvolver análise dos setores econômicos, da oferta e da movimentação em uma região;
Desenvolver estudo de mercado;
Desenvolver projeção de demanda: perspectivas de crescimento populacional, industrial, agrícola e de serviços;
Construir e analisar a projeção de cenários
Elaborar avaliação sob o aspecto econômico-financeiro, incluindo: Avaliação de receitas potenciais; Custos operacionais preliminares; Análise socioeconômica; Análise custo-benefício; Análise de risco; Benefícios socioeconômicos e de desenvolvimento regional; Estimativa de geração de emprego, renda e incremento no PIB do Estado.
Elaborar análises do tipo 	Value For Money e Análise estratégica;
Desenvolver indicativo de estrutura do negócio
</t>
  </si>
  <si>
    <t>Mapeamento e verificação da documentação da infraestrutura aeroviária
Desenvolver mapeamentos para subsidiar a análise dos setores econômicos, da oferta e da movimentação
Desenvolver mapeamentos para subsidiar a análise ambiental;
Desenvolver mapeamentos para subsidiar o Estudo técnico.</t>
  </si>
  <si>
    <t>Mapeamento e verificação da documentação relacionada a infraestrutura de corredor logístico
Desenvolver mapeamentos para subsidiar a análise dos setores econômicos, da oferta e da movimentação
Desenvolver mapeamentos para subsidiar a análise ambiental;
Desenvolver mapeamentos para subsidiar o Estudo técnico;</t>
  </si>
  <si>
    <t>Estudos de Concessões</t>
  </si>
  <si>
    <t>Relatório de diagnóstico e caracterização do empreendimento;</t>
  </si>
  <si>
    <t>Subsidiar a elaboração ou adequação de estudos de viabilidade técnica, econômica e ambiental do objeto das concessões de serviços públicos no âmbito da administração pública, incluindo parcerias público-privadas (PPPs) na modalidade de concessão patrocinada, voltados a exploração indireta de portos organizados ou a exploração de infraestrutura de transporte aquaviários.</t>
  </si>
  <si>
    <t>Eng. de Hidrovias (ou esp. em transporte Hidroviário)</t>
  </si>
  <si>
    <t>Relatório de análise estratégica do empreendimento;</t>
  </si>
  <si>
    <t>Relatório de avaliação ambiental, de mercado e técnica preliminar</t>
  </si>
  <si>
    <t>Engenheiro Orçamentista</t>
  </si>
  <si>
    <t>Relatório de avaliação jurídico-regulatória preliminar</t>
  </si>
  <si>
    <t xml:space="preserve">Economista </t>
  </si>
  <si>
    <t>Relatório de análise Índices setoriais específicos;</t>
  </si>
  <si>
    <t>Oceanógrafo (ou esp. em oceanografia)</t>
  </si>
  <si>
    <t>Relatórios de Arrendamentos</t>
  </si>
  <si>
    <t>Relatório de análise de séries históricas e projeções.</t>
  </si>
  <si>
    <t>Subsidiar a elaboração ou adequação de estudos de viabilidade técnica, econômica e ambiental do objeto dos arrendamentos de instalações portuárias.</t>
  </si>
  <si>
    <t>Eng. Portuário (ou esp. em engenharia/gestão Portuária)</t>
  </si>
  <si>
    <t>Relatório de estudo de engenharia;</t>
  </si>
  <si>
    <t>Relatório de estudo operacional.</t>
  </si>
  <si>
    <t>Relatório de estudo de mercado;</t>
  </si>
  <si>
    <t>Relatório de estudo financeiro.</t>
  </si>
  <si>
    <t>Área de atuação</t>
  </si>
  <si>
    <t>Produtos</t>
  </si>
  <si>
    <t>Atividades</t>
  </si>
  <si>
    <t>Suporte Técnico-Administrativo Especializado em Estudos, Projetos e Planos</t>
  </si>
  <si>
    <t>Planos de sistemas de transportes (PNL, Planos Setoriais e PELTs)</t>
  </si>
  <si>
    <t>Relatório referente ao desenvolvimento de Plano de Logística e Transportes, considerando etapas de pré-modelagem, simulação de cenários, modelagem de transportes e análises especializadas por meio de indicadores de resultados</t>
  </si>
  <si>
    <t>desenvolver estudos e modelos de transportes; desenvolver ferramentas de simulação e modelagem; analisar resultados de simulações e modelagens de transportes; realizar pesquisas específicas sobre indicadores; realizar consultas e operações em bancos de dados sistemas de simulação em transportes; e redigir relatórios</t>
  </si>
  <si>
    <t>Subsidiar a elaboração de Plans de Logística e Transporte.</t>
  </si>
  <si>
    <t>Eng. Civil (Esp. Ou Me Transportes)</t>
  </si>
  <si>
    <t>Planos Mestres Portuários</t>
  </si>
  <si>
    <t>Relatório referente ao desenvolvimento de Planos Mestres Portuários, considerando a análise de infraestrutura, demanda, capacidade, relação do Porto com a cidade, impactos ambientais e gestão</t>
  </si>
  <si>
    <t>desenvolver estudos e modelos de transportes; desenvolver ferramentas de simulação e modelagem; realizar levantamentos de campo e aplicar entrevistas; realizar análises documentais; traçar planos de ações; avaliar resultados de indicadores e processos; e redigir relatórios</t>
  </si>
  <si>
    <t>Planos de sistemas de transportes (PNL, Planos Setoriais e PELTs) ou Planos Mestres Portuários</t>
  </si>
  <si>
    <t>Relatório consolidado de atividades de geoprocessamento, georreferenciamento e cartografia</t>
  </si>
  <si>
    <t>realizar consultas e operações em bancos de dados sistemas de simulação em transportes; realizar atividades de geoprocessmento e georreferenciamento; realizar levantamentos de campo e aplicar entrevistas; geoespacializar dados; construir mapas e imagens cartográficas para o planejamento de transportes; e redigir relatórios</t>
  </si>
  <si>
    <t>Geógrafo</t>
  </si>
  <si>
    <t>desenvolver estudos e modelos de transportes; desenvolver ferramentas de simulação e modelagem; desenvolver scripts de tratamento e geração de informações ou indicadores de transporte a partir de bancos de dados; gerir e alterar bancos de dados; realizar pesquisas específicas sobre indicadores; realizar consultas e operações em bancos de dados sistemas de simulação em transportes; e redigir relatórios</t>
  </si>
  <si>
    <t>Graduado (qualquer form.) Cientista de dados (Esp. Ou Me)</t>
  </si>
  <si>
    <t>Arquiteto/Urbanista</t>
  </si>
  <si>
    <t>desenvolver estudos e modelos de transportes; desenvolver ferramentas de simulação e modelagem; desenvolver scripts de tratamento e geração de informações ou indicadores de transporte a partir de bancos de dados; realizar pesquisas específicas sobre indicadores; realizar consultas e operações em bancos de dados sistemas de simulação em transportes; e redigir relatórios</t>
  </si>
  <si>
    <t>COROD 1</t>
  </si>
  <si>
    <t>Relatórios de EVTEAS;</t>
  </si>
  <si>
    <r>
      <t xml:space="preserve">Subsidiar a elaboração ou adequação de estudos de viabilidade técnica, econômica e ambiental do objeto das concessões de serviços públicos no âmbito da administração pública, incluindo parcerias público-privadas (PPPs) na modalidade de concessão patrocinada, voltados a exploração indireta ou a exploração de infraestrutura de transporte rodoviário, </t>
    </r>
    <r>
      <rPr>
        <sz val="11"/>
        <color rgb="FF00B050"/>
        <rFont val="Calibri"/>
        <family val="2"/>
        <scheme val="minor"/>
      </rPr>
      <t>com ênfase nos estudos de engenharia e operação rodoviária.</t>
    </r>
  </si>
  <si>
    <t>Subsidiar a elaboração ou adequação de estudos de viabilidade técnica, econômica e ambiental  e de desenvolvimento de Plano de Logística e Transporte.</t>
  </si>
  <si>
    <t>COROD 2</t>
  </si>
  <si>
    <r>
      <t xml:space="preserve">Subsidiar a elaboração ou adequação de estudos de viabilidade técnica, econômica e ambiental do objeto das concessões de serviços públicos no âmbito da administração pública, incluindo parcerias público-privadas (PPPs) na modalidade de concessão patrocinada, voltados a exploração indireta ou a exploração de infraestrutura de transporte rodoviário, </t>
    </r>
    <r>
      <rPr>
        <sz val="11"/>
        <color rgb="FF00B050"/>
        <rFont val="Calibri"/>
        <family val="2"/>
        <scheme val="minor"/>
      </rPr>
      <t xml:space="preserve">com ênfase em projeções de tráfego, capacidade e nível de serviço. </t>
    </r>
  </si>
  <si>
    <r>
      <t xml:space="preserve">Subsidiar a elaboração ou adequação de estudos de viabilidade técnica, econômica e ambiental do objeto das concessões de serviços públicos no âmbito da administração pública, incluindo parcerias público-privadas (PPPs) na modalidade de concessão patrocinada, voltados a exploração indireta ou a exploração de infraestrutura de transporte rodoviário, </t>
    </r>
    <r>
      <rPr>
        <sz val="11"/>
        <color rgb="FF00B050"/>
        <rFont val="Calibri"/>
        <family val="2"/>
        <scheme val="minor"/>
      </rPr>
      <t>com ênfase em modelagem econômico-financeira e regulação dodoviária.</t>
    </r>
  </si>
  <si>
    <t>Monitoração de Ferrovias</t>
  </si>
  <si>
    <t>Subsidiar na preparação das modelagens jurídicas de terminais e eventual apoio nas discussões jurídicas envolvendo as concessões de ferrovias, além de suporte geral em outros assuntos; recepção dos estudos de viabilidade, ferrovias e validação, via estrutura própria, das propostas técnicas apresentadas; manutenção da capacidade de gerar estudos técnicos com a equipe interna, especialmente terminais; manutenção da função matricial para atendimento das matérias específicas.</t>
  </si>
  <si>
    <t>Modelagem de terminais</t>
  </si>
  <si>
    <t>Engenheiro Cadista</t>
  </si>
  <si>
    <t>Estruturação de Projetos</t>
  </si>
  <si>
    <t>Estudos economicos</t>
  </si>
  <si>
    <t>Receber e avaliar relatórios econômico-financeiros;
Desenvolver relatórios de análise econômico-financeira;
Desenvolver atividades de levantamento de campo tais como Due Dilligence comercial;
Acompanhar atividades de campo realizadas por terceiros;
Aplicar métodos econômicos para análise e projeção de demanda.</t>
  </si>
  <si>
    <t>ATIVIDADE</t>
  </si>
  <si>
    <t xml:space="preserve">NÍVEL DE COMPLEXIDADE </t>
  </si>
  <si>
    <t>NÍVEL DE RELEVÂNCIA</t>
  </si>
  <si>
    <t>PESO</t>
  </si>
  <si>
    <t>ESPECIFICAÇÃO</t>
  </si>
  <si>
    <t>FREQUENCIA</t>
  </si>
  <si>
    <t>UNIDADE</t>
  </si>
  <si>
    <t>CÓDIGO TABELA DNIT</t>
  </si>
  <si>
    <t>REQUISITOS E EXPERIÊNCIA</t>
  </si>
  <si>
    <t>QUANTIDADE</t>
  </si>
  <si>
    <t>MESES</t>
  </si>
  <si>
    <t>VALOR UNITÁRIO
(R$/Profissional X Mês)</t>
  </si>
  <si>
    <t>VALOR TOTAL</t>
  </si>
  <si>
    <t>Sob demanda</t>
  </si>
  <si>
    <t>mês</t>
  </si>
  <si>
    <t>P8061</t>
  </si>
  <si>
    <t>SUPET</t>
  </si>
  <si>
    <t>Ação 2 - SUPET - Planos de Logística e Transportes</t>
  </si>
  <si>
    <t>A - Definição de Objetivos, Indicadores, Premissas e preparação metodológica 5</t>
  </si>
  <si>
    <t>Assesoramento em:
a) Avaliação dos indicadores
b) Avaliação de Obras/Empreendimentos
c) Avaliação dos resultados de Diagnóstico
d) Validação de Premissas
e) Lista Carteira Inicial de Ações
f) Proposição Cenário Otimizado
g) Validação Carteira de Ações Final
h) Atualização do Plano de Gestão e Governança
i) Avaliação dos dados geográficos do banco cadastral
j) Atualização das fichas de ações (empreendimentos e iniciativas)
k) Avaliação Caderno de Cenários</t>
  </si>
  <si>
    <t>sob demanda</t>
  </si>
  <si>
    <t xml:space="preserve">P8061 - Engenheiro Coordenador
</t>
  </si>
  <si>
    <t>Experiência de 08 anos com coordenação de projetos em transportes</t>
  </si>
  <si>
    <t>B - Estimativas de Demanda 4</t>
  </si>
  <si>
    <t>P8060 - Engenheiro Consultor Especial</t>
  </si>
  <si>
    <t>Profissional com 12 anos de experiência ou especialização ou Mestrado em desenvolvimento e avaliação de planos de logística e transportes</t>
  </si>
  <si>
    <t>C - Carterira de Ações 4</t>
  </si>
  <si>
    <t>P8067 - Engenheiro de Projetos Sênior</t>
  </si>
  <si>
    <t>Engenheiro com 08 anos de experiência ou especialização ou Mestrado em desenvolvimento e avaliação de planos de logística e transportes</t>
  </si>
  <si>
    <t>P8065 - Engenheiro de Projetos Júnior</t>
  </si>
  <si>
    <t>Engenheiro com 03 anos de experiência em desenvolvimento e avaliação de planos de logística e transportes</t>
  </si>
  <si>
    <t>P8009 - Analista de desenvolvimento de sistemas sênior</t>
  </si>
  <si>
    <t>Profissional Senior com 08 anos de experiência ou especialização ou Mestrado em análise de dados</t>
  </si>
  <si>
    <t>P8008 - Analista de desenvolvimento de sistemas pleno</t>
  </si>
  <si>
    <t>Profissional Pleno com 05 anos de experiência ou especialização ou Mestrado em análise de dados</t>
  </si>
  <si>
    <t>P8046 - Economista pleno</t>
  </si>
  <si>
    <t>Economista Pleno com 05 anos de experiência ou especialização ou Mestrado em desenvolvimento e avaliação de planos de logística e transportes</t>
  </si>
  <si>
    <t>P8185 - Geógrafo sênior</t>
  </si>
  <si>
    <t>Geógrafo com 08 anos de experiência ou especialização em geoprocessamento voltado à infraestrutura de transportes</t>
  </si>
  <si>
    <t>A - Análise das interações porto-cidade no contexto da elaboração/atualização de Planos Mestres Portuários
B - Análise técnica da compilação e formatação dos cadernos temáticos que compõem os Planos Mestres Portuários
C - Análise geográfica dos capítulos que compõem o Plano Mestre inerentes à demanda, infraestrutura, operações portuárias, acessos aquaviários e terrestres, exploração do espaço portuário e aspectos ambientais, além da elaboração de mapas
D - Análise dos aspectos ambientais no contexto da elaboração/atualização de Planos Mestres Portuários</t>
  </si>
  <si>
    <t>Assessoramento em:
a) realizar levantamento dos normativos e instrumentos de planejamento municipal e programas de investimentos, de desenvolvimento econômico e de intervenção urbana, com potenciais sinergias ou conflitos nas relações porto-cidade; 
b) realizar análises de todo o material coletado; 
c) realizar análise estratégica do Complexo Portuário a par das interações porto-cidade; 
d) elaborar planos de ações contemplando as interações porto-cidade; 
e) apoio técnico na avaliação do caderno porto-cidade contemplado no Plano Mestre; 
f) realizar levantamento dos principais players que atuam nas operações portuárias dos Complexos Portuários; 
g) prestar apoio técnico na análise de consolidação dos cadernos temáticos dos Planos Mestres; 
h) auxiliar na análise estratégica do Complexo Portuário; 
i) aulixiar na elaboração do plano de ações e investimentos dos Planos Mestres; 
j) realizar análise dos aspectos ambientais do Porto Organizado, das arrendatárias e das instalações portuárias privadas que compõem o Complexo Portuário; 
k) realizar análise da gestão ambiental do Porto Organizado, das arrendatárias e das instalações portuárias privadas que compõem o Complexo Portuário;
l) realizar análise do licenciamento ambiental do Porto Organizado, das arrendatárias e das instalações portuárias privadas que compõem o Complexo Portuário;
m) geração, organização e tratamento de dados geográficos;
n) georreferenciamento e geoespacialização de dados;
o) geração de produtos cartográficos, assim como a geração de arquivos shapefile e kml necessários para confeccioná-los.</t>
  </si>
  <si>
    <t>P8015 - Arquiteto sênior</t>
  </si>
  <si>
    <t>Arquiteto/Urbanista Sênior com 08 anos de experiência, especialização ou Mestrado nas interações das relações porto-cidade</t>
  </si>
  <si>
    <t>P8175 - Administrador sênior</t>
  </si>
  <si>
    <t>Administrador/Bacharel em Direito com 08 anos de experiência, especialização ou Mestrado em Planejamento Portuário</t>
  </si>
  <si>
    <t>P8184 - Geógrafo pleno</t>
  </si>
  <si>
    <t>Geógrafo com 05 anos de experiência ou especialização em geoprocessamento voltado à infraestrutura portuária</t>
  </si>
  <si>
    <t>P8059 - Engenheiro ambiental sênior</t>
  </si>
  <si>
    <t>Engenheiro ambiental, Engenheiro florestal ou Profissional Sênior com especialização na área ambiental com 08 anos de experiência</t>
  </si>
  <si>
    <t>SUBTOTAL EQUIPE SUPET</t>
  </si>
  <si>
    <t>SUPEA</t>
  </si>
  <si>
    <t>PERFIL DO PROFISSIONAL</t>
  </si>
  <si>
    <t>AÇÃO 4 - SUPEA - Assessoramento técnico, econômico e regulatório de logística e transportes</t>
  </si>
  <si>
    <t>SUPEA 4 - Assessoramento em estruturação de negócios e estudos de logística e transportes</t>
  </si>
  <si>
    <t>Assessorar a estruturação de negócios, o desenvolvimento de estudos de logística e transportes e a análise de temas estratégicos.</t>
  </si>
  <si>
    <t>Assessorar a estruturação de negócios, o desenvolvimento de estudos de logística e transportes e a análise de temas estratégicos 5</t>
  </si>
  <si>
    <t>Assessorar a estruturação de negócios, o desenvolvimento de estudos de logística e transportes e a análise de temas estratégicos 2</t>
  </si>
  <si>
    <t>P8047</t>
  </si>
  <si>
    <t>Economista sênior</t>
  </si>
  <si>
    <t>Graduação em Economia com Mestrado ou Especialização na área de  Economia, Logística ou Transportes e 5 anos de experiência no desenvolvimento de estudos e/ou análises de empreendimentos de logística e  transportes. 
Conhecimentos desejáveis: concessões e PPPs; EVTEA; MEF; Análise de sensibilidade; Análise de cenários e projeções demanda; Modelagens econômicas; Software ARENA ou similares.</t>
  </si>
  <si>
    <t>P8003</t>
  </si>
  <si>
    <t>Advogado sênior</t>
  </si>
  <si>
    <t>Graduação em Direito com 2 anos de experiência em análise de empreendimentos de infraestrutura logística e de transportes. 
Conhecimentos desejáveis: "Due dilligence" contratual; modelagem jurídica - contrato, edital, minutas para leilão; análise de cenário jurídico regulatório.</t>
  </si>
  <si>
    <t>P8067</t>
  </si>
  <si>
    <t>Especialista em transportes</t>
  </si>
  <si>
    <t>Graduação em Engenharia, Economia ou Administração com Mestrado ou Especialização em Logística e Transportes e 5 anos de experiência no desenvolvimento de estudos e/ou análises de logística e transportes. 
Conhecimentos desejáveis: organização e operação de sistemas de transporte; Roteirização; Simulação; Caracterização de cenários logísticos e sistemas logísticos; Modelo 4 etapas ou similares; Softwares VISUM, VISSIM ou similares.</t>
  </si>
  <si>
    <t>P8009</t>
  </si>
  <si>
    <t>Especialista em análise de dados</t>
  </si>
  <si>
    <t>Graduação em Estatística, Matemática, Ciência de Dados ou Ciência da Computação com Especialização em Análise de Dado e 2 anos de experiência em análise de dados e estatística. 
Conhecimentos de: sistemas e métodos específicos para análises estatísticas; estatística de amostragens e pesquisas populacionais; análise de resultados de pesquisas e coletas de dados; análise de bancos de dados; apresentação de dados em painéis BI; Programa R, Programa Python, SPSS, SAS ou similares.</t>
  </si>
  <si>
    <t>AÇÃO 5 - SUPEA - Assessoramento técnico especializado de engenharia de transportes</t>
  </si>
  <si>
    <t>SUPEA 5 - Assessoramento em engenharia de transportes</t>
  </si>
  <si>
    <t>Assessorar o desenvolvimento de estudos e análises técnicas de engenharia de transportes.</t>
  </si>
  <si>
    <t>Assessorar o desenvolvimento de estudos e análises técnicas de engenharia de transportes 5</t>
  </si>
  <si>
    <t>Assessorar o desenvolvimento de estudos e análises técnicas de engenharia de transportes 2</t>
  </si>
  <si>
    <t>Eng. Civil (esp. em orçamentos e propostas)</t>
  </si>
  <si>
    <t>Graduação em Engenharia Civil e  5 anos de experiência em planejamento e orçamento de infraestrutura logística e de transportes. 
Conhecimentos desejáveis: cotação e orçamentação; Elaboração de Propostas; Cálculo de CAPEX e OPEX; Normas e referências do Governo Federal no tema; Softwares de orçamento COMPOR90 ou similares.</t>
  </si>
  <si>
    <t>Eng. Civil (esp. em  infraestrutura de transportes)</t>
  </si>
  <si>
    <t>Graduação em Engenharia Civil com Mestrado ou Especialização em Logística e Transportes e  5 anos de experiência em planejamento e projetos de infraestrutura logística e de transportes. 
Conhecimentos: dimensionamento de sistemas de transporte; análise de capacidade; dimensionamento de infraestrutura; planejamento de obras e intervenções; conhecimento de métodos, máquinas e equipamentos de construção civil, ensaios técnicos e levantamentos de campo; conhecimento de normas técnicas especificas do setor (ABNT; DNIT; e outras); conhecimento de normas técnicas internacionais de referencia; orçamento e planejamento.</t>
  </si>
  <si>
    <t>P8185</t>
  </si>
  <si>
    <t>Especialista em geoprocessamento</t>
  </si>
  <si>
    <t>Graduação em Geografia, Geociencias ou Engenharia com Especialização em Geoprocessamento e 2 anos de experiência em mapeamento georreferenciado.
Conhecimentos desejáveis: Software QGIS, ARC GIS, Google Earth e similares; mapeamento, geração de cenários; análise, definição e mapeamento de rotas e roteiros; mapas de calor; mapas temáticos; consultas a dados GIS do governo federal; banco de dados geográficos; integração de dados.</t>
  </si>
  <si>
    <t>AÇÃO 6 - SUPEA - Assessoramento técnico especializado de engenharia aeroportuária</t>
  </si>
  <si>
    <t>SUPEA 6 - Assessoramento em engenharia aeroportuária</t>
  </si>
  <si>
    <t>Assessorar o desenvolvimento de estudos e análises técnicas de engenharia aeroportuária.</t>
  </si>
  <si>
    <t>Assessorar o desenvolvimento de estudos e análises técnicas de engenharia aeroportuária 5</t>
  </si>
  <si>
    <t>Assessorar o desenvolvimento de estudos e análises técnicas de engenharia aeroportuária 2</t>
  </si>
  <si>
    <t>Especialista em operações aeroportuárias</t>
  </si>
  <si>
    <t>Graduação em Ciências Aeronáuticas ou Engenharia com Mestrado ou Especialização em Aeroportos e 5 anos de experiência em planejamento, desenvolvimento e operação de infraestrutura aeroportuária.
Conhecimentos desejáveis: Concessões e PPPs; EVTEA; MEF; Simulações de operação aeroportuária; Softwares de simulação tais como ARENA, CAST, Transoft AVIPLAN ou similares; modelagem de concessões e parcerias; operação, receitas e custos operacionais aeroportuários; características de aeronaves; normas de operação em rampa, pátio e pista; normas DECEA; normas ANAC; normas nacionais e internacionais; equipes de gestão e operação aeroportuária; terminais de passageiros, terminais de carga e demais componentes do sítio aeroportuário tais como abastecimento, SESCINC e outros.</t>
  </si>
  <si>
    <t>Especialista em infraestrutura aeroportuária</t>
  </si>
  <si>
    <t>Graduação em Engenharia Civil com Mestrado ou Especialização em Infraestrutura Aeroportuária e 5 anos de experiência em planejamento e projeto de infraestrutura aeroportuária. 
Conhecimentos desejáveis: Análise de capacidade e dimensionamento de infraestrutura aeronática; dimensionamento de pavimento aeroportuário; manutenção de pavimentos e sistemas aeroportuários; sistemas de navegação e auxílios, sinalização visual, sinalização luminosa, instalações elétricas aeroportuárias, drenagem, obstáculos, superfícies de proteção, intalações de dados e eletrônica; planos e programas aeroportuários; projetos, especificações, normas ANAC, DECEA, FAA, ICAO, ACI, e outras; Software FAARFIELD; PAVEAIR e Transoft AVIPLAN.</t>
  </si>
  <si>
    <t>Especialista em BIM</t>
  </si>
  <si>
    <t>Graduação em Engenharia Civil ou Arquitetura com Especialização em BIM e 2 anos de experiência em desenvolvimento de projetos em BIM.
Conhecimentos desejáveis: Desenvolvimento de projetos em BIM; especificações técnicas para serviços em BIM; banco de dados e modelo federado de armazenamento e gestão das informações; software NAVISWORKS, Autocad, Revit, Bentley ou similar; modelo em BIM para orçamentação e planejamento integrados; modelagem BIM de projetos e anteprojetos aeroportuários.</t>
  </si>
  <si>
    <t>SUBTOTAL EQUIPE SUPEA</t>
  </si>
  <si>
    <t>TRANSVERSAL (Diárias e Passagens)</t>
  </si>
  <si>
    <t>VALOR UNITÁRIO
(R$/diária)</t>
  </si>
  <si>
    <t>GERAL</t>
  </si>
  <si>
    <t>DIÁRIAS</t>
  </si>
  <si>
    <t>DESLOCAMENTOS NACIONAIS</t>
  </si>
  <si>
    <t>Fornecimento das diárias correspondentes às despesas com alimentação, hospedagem e deslocamento local, realizadas em deslocamentos nacionais necessários para o desenvolvimento deatividades específicas pelos profissionais mobilizados em cada um dos Produtos.</t>
  </si>
  <si>
    <t>Diárias</t>
  </si>
  <si>
    <t>COLABORADOR EVENTUAL</t>
  </si>
  <si>
    <t>PASSAGENS</t>
  </si>
  <si>
    <t>fornecimento dos meios de deslocamentos, aéreos e terrestres (equivalente ao adicional de embarque e desembarque (pagos pela INFRA S/A aos empregados) nacionais necessários para o desenvolvimento de atividades específicas pelos profissionais mobilizados em cada um dos Produtos.</t>
  </si>
  <si>
    <t>Passagens nacionais</t>
  </si>
  <si>
    <t>SUBTOTAL DIÁRIAS E PASSAGENS</t>
  </si>
  <si>
    <t>SOFTWARE</t>
  </si>
  <si>
    <t xml:space="preserve">CÓDIGO </t>
  </si>
  <si>
    <t>ITEM</t>
  </si>
  <si>
    <t>VALOR UNITÁRIO
(R$/unidade X mês)</t>
  </si>
  <si>
    <t>AUTODESK COLECTION</t>
  </si>
  <si>
    <t>Softwares requeridos para as atividades previstas no conjunto de ações do projeto.</t>
  </si>
  <si>
    <t>SOFTW-1</t>
  </si>
  <si>
    <t>VISUM</t>
  </si>
  <si>
    <t>SOFTW-2</t>
  </si>
  <si>
    <t>Power BI</t>
  </si>
  <si>
    <t>SOFTW-3</t>
  </si>
  <si>
    <t>IBM SPSS</t>
  </si>
  <si>
    <t>SOFTW-4</t>
  </si>
  <si>
    <t>Transoft - AVIPLAN</t>
  </si>
  <si>
    <t>SOFTW-5</t>
  </si>
  <si>
    <t>SUBTOTAL SOFTWARE</t>
  </si>
  <si>
    <t>SUFER</t>
  </si>
  <si>
    <t xml:space="preserve">PROFISSIONAIS/PERFIS POR PRODUTO </t>
  </si>
  <si>
    <t>QUANTIDADE DE PROF</t>
  </si>
  <si>
    <t>VALOR UNITÁRIO</t>
  </si>
  <si>
    <t>NOME DA AÇÃO: ex.: SUFER 1</t>
  </si>
  <si>
    <t>Assessoria ABC, Apoio XYZ, Análise DEF....</t>
  </si>
  <si>
    <t>SUBPRODUTOS. Subsidiar, Apoiar, Colaborar, Assessorar, ....</t>
  </si>
  <si>
    <t>DESCRIÇÃO DAS ATIVIDADES DE CADA PRODUTO (rotinas para consecução das atividades)</t>
  </si>
  <si>
    <t xml:space="preserve">SOB DEMANDA </t>
  </si>
  <si>
    <t>MÊS</t>
  </si>
  <si>
    <t xml:space="preserve">. Listas os profissionais que compoem o produto.
.
.
.
.
</t>
  </si>
  <si>
    <t>X</t>
  </si>
  <si>
    <t>Planos de Logística e Transportes</t>
  </si>
  <si>
    <t>Assessoramento na elaboração de Planos de Logística e Transportes de abrangência Nacional e Estadual e nos níveis Tático e Estratégico</t>
  </si>
  <si>
    <r>
      <t xml:space="preserve">A - Definição de Objetivos, Indicadores, Premissas e preparação metodológica
B - Estimativas de Demanda
C - Carterira de Ações
D - Diagnóstico logístico
E - Prognóstico
F - Avaliação e Otimização
G - Proposta do Modelo de Governança
</t>
    </r>
    <r>
      <rPr>
        <sz val="11"/>
        <rFont val="Calibri"/>
        <family val="2"/>
      </rPr>
      <t>H - Participação Social</t>
    </r>
  </si>
  <si>
    <t>Mensal</t>
  </si>
  <si>
    <t>Mês</t>
  </si>
  <si>
    <t>P8060</t>
  </si>
  <si>
    <t>P8065</t>
  </si>
  <si>
    <t>P8008</t>
  </si>
  <si>
    <t>P8046</t>
  </si>
  <si>
    <t>P8159</t>
  </si>
  <si>
    <t>P8159 - Técnico em informática - programador</t>
  </si>
  <si>
    <t>Com experiência de 03 anos em Modelagem e Ciência de Dados</t>
  </si>
  <si>
    <t>Assessoramento em Planos Mestres Portuários</t>
  </si>
  <si>
    <t>P8015</t>
  </si>
  <si>
    <t>P8175</t>
  </si>
  <si>
    <t>P8184</t>
  </si>
  <si>
    <t>P8059</t>
  </si>
  <si>
    <t>SUPAQ</t>
  </si>
  <si>
    <t>VALORES FINAIS UNITÁRIOS E TOTAIS DOS PRODUTOS  (24 MESES)</t>
  </si>
  <si>
    <t xml:space="preserve">QUANTITATIVO PREVISTO DE PRODUTOS </t>
  </si>
  <si>
    <t>VALOR</t>
  </si>
  <si>
    <t>fornecimento das diárias correspondentes às despesas com alimentação, hospedagem e deslocamento local, realizadas em deslocamentos nacionais necessários para o desenvolvimento deatividades específicas pelos profissionais mobilizados em cada um dos Produtos</t>
  </si>
  <si>
    <t>ASSESSOR</t>
  </si>
  <si>
    <t>UNITÁRIO</t>
  </si>
  <si>
    <t>INSTALAÇÕES</t>
  </si>
  <si>
    <t>ESCRITÓRIO</t>
  </si>
  <si>
    <t>MOBILIÁRIO</t>
  </si>
  <si>
    <t>m² x mês</t>
  </si>
  <si>
    <t>B8951</t>
  </si>
  <si>
    <t>ESCRITÓRIO - COMERCIAL</t>
  </si>
  <si>
    <t>ocupante x mês</t>
  </si>
  <si>
    <t>B8953</t>
  </si>
  <si>
    <t>B8959</t>
  </si>
  <si>
    <t>ESCRITÓRIO - Custos Diversos</t>
  </si>
  <si>
    <t>SUROD</t>
  </si>
  <si>
    <r>
      <t>SUPEA 1 - Assessoramento técnico, econômico e regulatório de logística e tran</t>
    </r>
    <r>
      <rPr>
        <sz val="10"/>
        <color rgb="FFFF0000"/>
        <rFont val="Calibri"/>
        <family val="2"/>
        <scheme val="minor"/>
      </rPr>
      <t>s</t>
    </r>
    <r>
      <rPr>
        <sz val="10"/>
        <color theme="1"/>
        <rFont val="Calibri"/>
        <family val="2"/>
        <scheme val="minor"/>
      </rPr>
      <t>portes</t>
    </r>
  </si>
  <si>
    <t xml:space="preserve">SUPEA 1.1 - Coordenação geral </t>
  </si>
  <si>
    <t>Coordenar as equipes e atividades do contrato</t>
  </si>
  <si>
    <t>Representar a equipe do contrato;
Coordenar a execução;
Organizar as informações e comunicação dos projetos (Project Management Office - PMO)</t>
  </si>
  <si>
    <t>Coordenador</t>
  </si>
  <si>
    <t>Graduação em Engenharia, Economia ou Administração com Especialização em gerenciamento de projetos e 5 anos de experiência em planejamento e gerenciamento de equipes multidisciplinares.
Conhecimentos: Concessões e PPPs; EVTEA; estudos econômicos; transportes; gerenciamento de projetos; ferramentas de gerenciamento de  projetos.</t>
  </si>
  <si>
    <r>
      <t>SUPEA 1.2 - Assessoramento em estruturação de negócios</t>
    </r>
    <r>
      <rPr>
        <sz val="10"/>
        <color rgb="FFFF0000"/>
        <rFont val="Calibri"/>
        <family val="2"/>
        <scheme val="minor"/>
      </rPr>
      <t xml:space="preserve"> e estudos de logística e transportes</t>
    </r>
  </si>
  <si>
    <r>
      <t xml:space="preserve">Assessorar a </t>
    </r>
    <r>
      <rPr>
        <sz val="10"/>
        <color rgb="FFFF0000"/>
        <rFont val="Calibri"/>
        <family val="2"/>
      </rPr>
      <t>estruturação de negócios, o desenvolvimento de estudos de</t>
    </r>
    <r>
      <rPr>
        <sz val="10"/>
        <color rgb="FF000000"/>
        <rFont val="Calibri"/>
        <family val="2"/>
      </rPr>
      <t xml:space="preserve"> logística e transportes e a análise de temas estratégicos.</t>
    </r>
  </si>
  <si>
    <r>
      <t>Realizar o diagnóstico e</t>
    </r>
    <r>
      <rPr>
        <sz val="10"/>
        <color rgb="FFFF0000"/>
        <rFont val="Calibri"/>
        <family val="2"/>
      </rPr>
      <t xml:space="preserve"> a </t>
    </r>
    <r>
      <rPr>
        <sz val="10"/>
        <color rgb="FF000000"/>
        <rFont val="Calibri"/>
        <family val="2"/>
      </rPr>
      <t>caracterização de empreendimentos;
Elaborar análises de mercado;
Dimensionar</t>
    </r>
    <r>
      <rPr>
        <sz val="10"/>
        <color rgb="FFFF0000"/>
        <rFont val="Calibri"/>
        <family val="2"/>
      </rPr>
      <t xml:space="preserve"> e</t>
    </r>
    <r>
      <rPr>
        <sz val="10"/>
        <color rgb="FF000000"/>
        <rFont val="Calibri"/>
        <family val="2"/>
      </rPr>
      <t xml:space="preserve"> elaborar projeções e cenários de demanda;
Elaborar análise jurídico regulatória de empreendimentos;
Elaborar indicativo de estrutura, financiamento, visão estratégica e modelagem de negócio;
Desenvolver estudos econômicos e logísticos estratégicos;
Elaborar simulações e modelagens </t>
    </r>
    <r>
      <rPr>
        <sz val="10"/>
        <color rgb="FFFF0000"/>
        <rFont val="Calibri"/>
        <family val="2"/>
      </rPr>
      <t>econômico-financeiras e</t>
    </r>
    <r>
      <rPr>
        <sz val="10"/>
        <color rgb="FF000000"/>
        <rFont val="Calibri"/>
        <family val="2"/>
      </rPr>
      <t xml:space="preserve"> de transporte e logística;
</t>
    </r>
    <r>
      <rPr>
        <sz val="10"/>
        <color rgb="FFFF0000"/>
        <rFont val="Calibri"/>
        <family val="2"/>
      </rPr>
      <t>Realizar e acompanhar levantamentos de campo para subsidiar a elaboração de relatórios;</t>
    </r>
    <r>
      <rPr>
        <sz val="10"/>
        <color rgb="FF000000"/>
        <rFont val="Calibri"/>
        <family val="2"/>
      </rPr>
      <t xml:space="preserve">
Analisar dados de levantamentos de campo, relatórios e pareceres;
Analisar dados, indicadores e informações técnicas especializadas.</t>
    </r>
  </si>
  <si>
    <t>Graduação em Economia com Mestrado ou Especialização na área de  Economia, Logística ou Transportes e 5 anos de experiência no desenvolvimento de estudos e/ou análises de empreendimentos de logística e  transportes. 
Conhecimentos: concessões e PPPs; EVTEA; MEF; Análise de sensibilidade; Análise de cenários e projeções demanda; Modelagens econômicas; Software ARENA ou similares.</t>
  </si>
  <si>
    <t>Graduação em Direito com 2 anos de experiência em análise de empreendimentos de infraestrutura logística e de transportes. 
Conhecimentos de: "Due dilligence" contratual; modelagem jurídica - contrato, edital, minutas para leilão; análise de cenário jurídico regulatório.</t>
  </si>
  <si>
    <t>Graduação em Engenharia, Economia ou Administração com Mestrado ou Especialização em Logística e Transportes e 5 anos de experiência no desenvolvimento de estudos e/ou análises de logística e transportes. 
Conhecimentos de: organização e operação de sistemas de transporte; Roteirização; Simulação; Caracterização de cenários logísticos e sistemas logísticos; Modelo 4 etapas ou similares; Softwares VISUM, VISSIM ou similares.</t>
  </si>
  <si>
    <t>SUPEA 2 - Assessoramento técnico especializado de engenharia de transportes</t>
  </si>
  <si>
    <r>
      <t xml:space="preserve">SUPEA 2.1 - Assessoramento </t>
    </r>
    <r>
      <rPr>
        <sz val="10"/>
        <color rgb="FFFF0000"/>
        <rFont val="Calibri"/>
        <family val="2"/>
        <scheme val="minor"/>
      </rPr>
      <t>em engenharia de</t>
    </r>
    <r>
      <rPr>
        <sz val="10"/>
        <rFont val="Calibri"/>
        <family val="2"/>
        <scheme val="minor"/>
      </rPr>
      <t xml:space="preserve"> transportes</t>
    </r>
  </si>
  <si>
    <r>
      <t xml:space="preserve">Assessorar </t>
    </r>
    <r>
      <rPr>
        <sz val="10"/>
        <color rgb="FFFF0000"/>
        <rFont val="Calibri"/>
        <family val="2"/>
      </rPr>
      <t xml:space="preserve">o desenvolvimento de </t>
    </r>
    <r>
      <rPr>
        <sz val="10"/>
        <color theme="1"/>
        <rFont val="Calibri"/>
        <family val="2"/>
      </rPr>
      <t xml:space="preserve">estudos </t>
    </r>
    <r>
      <rPr>
        <sz val="10"/>
        <color rgb="FFFF0000"/>
        <rFont val="Calibri"/>
        <family val="2"/>
      </rPr>
      <t>e análises técnicas de engenharia de transportes.</t>
    </r>
  </si>
  <si>
    <r>
      <t xml:space="preserve">Analisar a infraestrutura, identificar não conformidades e gargalos de desenvolvimento;
Dimensionar e especificar infraestrutura;
Planejar e orçar expansões de infraestrutura e calcular o CAPEX;
Planejar a operação e calcular o OPEX;
Analisar informações georreferenciadas e elaborar mapas temáticos;
</t>
    </r>
    <r>
      <rPr>
        <sz val="10"/>
        <color rgb="FFFF0000"/>
        <rFont val="Calibri"/>
        <family val="2"/>
      </rPr>
      <t>Desenvolver</t>
    </r>
    <r>
      <rPr>
        <sz val="10"/>
        <color rgb="FF000000"/>
        <rFont val="Calibri"/>
        <family val="2"/>
      </rPr>
      <t xml:space="preserve"> estudos logísticos estratégicos;
</t>
    </r>
    <r>
      <rPr>
        <sz val="10"/>
        <rFont val="Calibri"/>
        <family val="2"/>
      </rPr>
      <t xml:space="preserve">Elaborar simulações e modelagens de transporte e logística;
</t>
    </r>
    <r>
      <rPr>
        <sz val="10"/>
        <color rgb="FFFF0000"/>
        <rFont val="Calibri"/>
        <family val="2"/>
      </rPr>
      <t>Realizar e acompanhar levantamentos de campo para subsidiar a elaboração de relatórios;
Elaborar e analisar relatórios de avaliação de parâmetros relacionados à infraestrutura de transportes.</t>
    </r>
  </si>
  <si>
    <t>Graduação em Engenharia Civil e  5 anos de experiência em planejamento e orçamento de infraestrutura logística e de transportes. 
Conhecimentos: cotação e orçamentação; Elaboração de Propostas; Cálculo de CAPEX e OPEX; Normas e referências do Governo Federal no tema; Softwares de orçamento COMPOR90 ou similares.</t>
  </si>
  <si>
    <t>Graduação em Geografia, Geociencias ou Engenharia com Especialização em Geoprocessamento e 2 anos de experiência em mapeamento georreferenciado.
Conhecimentos de: Software QGIS, ARC GIS, Google Earth e similares; mapeamento, geração de cenários; análise, definição e mapeamento de rotas e roteiros; mapas de calor; mapas temáticos; consultas a dados GIS do governo federal; banco de dados geográficos; integração de dados.</t>
  </si>
  <si>
    <t>SUPEA 3 - Assessoramento técnico especializado de engenharia aeroportuária</t>
  </si>
  <si>
    <t>SUPEA 3.1 - Assessoramento em engenharia aeroportuária</t>
  </si>
  <si>
    <r>
      <t xml:space="preserve">Assessorar </t>
    </r>
    <r>
      <rPr>
        <sz val="10"/>
        <color rgb="FFFF0000"/>
        <rFont val="Calibri"/>
        <family val="2"/>
        <scheme val="minor"/>
      </rPr>
      <t xml:space="preserve">o desenvolvimento de </t>
    </r>
    <r>
      <rPr>
        <sz val="10"/>
        <color theme="1"/>
        <rFont val="Calibri"/>
        <family val="2"/>
        <scheme val="minor"/>
      </rPr>
      <t xml:space="preserve">estudos </t>
    </r>
    <r>
      <rPr>
        <sz val="10"/>
        <color rgb="FFFF0000"/>
        <rFont val="Calibri"/>
        <family val="2"/>
        <scheme val="minor"/>
      </rPr>
      <t xml:space="preserve">e análises técnicas </t>
    </r>
    <r>
      <rPr>
        <sz val="10"/>
        <color theme="1"/>
        <rFont val="Calibri"/>
        <family val="2"/>
        <scheme val="minor"/>
      </rPr>
      <t>de engenharia aeroportuária.</t>
    </r>
  </si>
  <si>
    <r>
      <t xml:space="preserve">Analisar a infraestrutura aeroportuária, identificar não conformidades e gargalos de desenvolvimento;
Dimensionar e especificar infraestrutura aeroportuária;
Planejar e orçar expansões de infraestrutura aeroportuária e calcular o CAPEX;
Planejar a operação aeroportuária e calcular o OPEX;
Elaborar estudos aeroportuários estratégicos;
Elaborar simulações e modelagens de infraestrutura aeroportuária e transporte aéreo;
Elaborar e organizar informações em formato BIM e correspondente geração de documentos e dados de projetos;
</t>
    </r>
    <r>
      <rPr>
        <sz val="10"/>
        <color rgb="FFFF0000"/>
        <rFont val="Calibri"/>
        <family val="2"/>
      </rPr>
      <t>Realizar e acompanhar levantamentos de campo para subsidiar a elaboração de relatórios.</t>
    </r>
  </si>
  <si>
    <t>Graduação em Ciências Aeronáuticas ou Engenharia com Mestrado ou Especialização em Aeroportos e 5 anos de experiência em planejamento, desenvolvimento e operação de infraestrutura aeroportuária.
Conhecimentos de: Concessões e PPPs; EVTEA; MEF; Simulações de operação aeroportuária; Softwares de simulação tais como ARENA, CAST, Transoft AVIPLAN ou similares; modelagem de concessões e parcerias; operação, receitas e custos operacionais aeroportuários; características de aeronaves; normas de operação em rampa, pátio e pista; normas DECEA; normas ANAC; normas nacionais e internacionais; equipes de gestão e operação aeroportuária; terminais de passageiros, terminais de carga e demais componentes do sítio aeroportuário tais como abastecimento, SESCINC e outros.</t>
  </si>
  <si>
    <t>Graduação em Engenharia Civil com Mestrado ou Especialização Infraestrutura Aeroportuária e 5 anos de experiência em planejamento e projeto de infraestrutura aeroportuária. 
Conhecimentos de: Análise de capacidade e dimensionamento de infraestrutura aeronática; dimensionamento de pavimento aeroportuário; manutenção de pavimentos e sistemas aeroportuários; sistemas de navegação e auxílios, sinalização visual, sinalização luminosa, instalações elétricas aeroportuárias, drenagem, obstáculos, superfícies de proteção, intalações de dados e eletrônica; planos e programas aeroportuários; projetos, especificações, normas ANAC, DECEA, FAA, ICAO, ACI, e outras; Software FAARFIELD; PAVEAIR e Transoft AVIPLAN.</t>
  </si>
  <si>
    <t>Graduação em Engenharia Civil ou Arquitetura com Especialização em BIM e 2 anos de experiência em desenvolvimento de projetos em BIM.
Conhecimentos de: Desenvolvimento de projetos em BIM; especificações técnicas para serviços em BIM; banco de dados e modelo federado de armazenamento e gestão das informações; software NAVISWORKS, Autocad, Revit, Bentley ou similar; modelo em BIM para orçamentação e planejamento integrados; modelagem BIM de projetos e anteprojetos aeroportuários.</t>
  </si>
  <si>
    <t>SUPEA 1 - Assessoramento técnico, econômico e regulatório de logística e tranportes</t>
  </si>
  <si>
    <t>VALOR UNITÁRIO
(R$/trecho)</t>
  </si>
  <si>
    <r>
      <rPr>
        <sz val="8"/>
        <color rgb="FFFF0000"/>
        <rFont val="Calibri"/>
        <family val="2"/>
        <scheme val="minor"/>
      </rPr>
      <t>F</t>
    </r>
    <r>
      <rPr>
        <sz val="8"/>
        <color rgb="FF000000"/>
        <rFont val="Calibri"/>
        <family val="2"/>
        <scheme val="minor"/>
      </rPr>
      <t>ornecimento dos meios de deslocamentos, aéreos e terrestres (equivalente ao adicional de embarque e desembarque (pagos pela INFRA S/A aos empregados) nacionais necessários para o desenvolvimento de atividades específicas pelos profissionais mobilizados em cada um dos Produtos.</t>
    </r>
  </si>
  <si>
    <t>SUBTOTAL DIÁRIAS E PASSAGENS SUPEA</t>
  </si>
  <si>
    <t>Escritório a ser ocupado pela equipe relacionada à ação SUPEA 1 no período em que estiver mobilizada para a realização dos produtos previstos.</t>
  </si>
  <si>
    <t>Escritório a ser ocupado pela equipe relacionada à ação SUPEA 2 no período em que estiver mobilizada para a realização dos produtos previstos.</t>
  </si>
  <si>
    <t>Escritório a ser ocupado pela equipe relacionada à ação SUPEA 3 no período em que estiver mobilizada para a realização dos produtos previstos.</t>
  </si>
  <si>
    <t>SUBTOTAL INSTALAÇÕES SUPEA</t>
  </si>
  <si>
    <t>SUBTOTAL INSTALAÇÕES</t>
  </si>
  <si>
    <t>Softwares requeridos para as atividades previstas na ação SUPEA 1</t>
  </si>
  <si>
    <t>Softwares requeridos para as atividades previstas na ação SUPEA 2</t>
  </si>
  <si>
    <t>Software requerido para as atividades previstas na ação SUPEA 3</t>
  </si>
  <si>
    <t>SUBTOTAL SOFTWARE SUPEA</t>
  </si>
  <si>
    <t>TOTAL SUPEA</t>
  </si>
  <si>
    <t>Perfis</t>
  </si>
  <si>
    <t>A SER ENTREGUE AO FINAL Assessoria ABC, Apoio XYZ, Análise DEF....</t>
  </si>
  <si>
    <t>Requisitos de cada profissional da coluna anterior</t>
  </si>
  <si>
    <t>N</t>
  </si>
  <si>
    <t>R$</t>
  </si>
  <si>
    <r>
      <rPr>
        <b/>
        <sz val="10"/>
        <rFont val="Calibri"/>
        <family val="2"/>
      </rPr>
      <t>Formação:</t>
    </r>
    <r>
      <rPr>
        <sz val="10"/>
        <rFont val="Calibri"/>
        <family val="2"/>
      </rPr>
      <t xml:space="preserve"> Graduação em Engenharia, Economia ou Administração com especialização em gerenciamento de projetos.
</t>
    </r>
    <r>
      <rPr>
        <b/>
        <sz val="10"/>
        <rFont val="Calibri"/>
        <family val="2"/>
      </rPr>
      <t>Experiência:</t>
    </r>
    <r>
      <rPr>
        <sz val="10"/>
        <rFont val="Calibri"/>
        <family val="2"/>
      </rPr>
      <t xml:space="preserve"> 5 anos em planejamento e gerenciamento de equipes multidisciplinares.
</t>
    </r>
    <r>
      <rPr>
        <b/>
        <sz val="10"/>
        <rFont val="Calibri"/>
        <family val="2"/>
      </rPr>
      <t>Conhecimentos:</t>
    </r>
    <r>
      <rPr>
        <sz val="10"/>
        <rFont val="Calibri"/>
        <family val="2"/>
      </rPr>
      <t xml:space="preserve"> Concessões e PPPs; EVTEA; estudos econômicos; transportes; gerenciamento de projetos; ferramentas de gerenciamento de  projetos.</t>
    </r>
  </si>
  <si>
    <r>
      <rPr>
        <b/>
        <sz val="10"/>
        <rFont val="Calibri"/>
        <family val="2"/>
      </rPr>
      <t xml:space="preserve">Formação: </t>
    </r>
    <r>
      <rPr>
        <sz val="10"/>
        <rFont val="Calibri"/>
        <family val="2"/>
      </rPr>
      <t xml:space="preserve">Graduação em Economia e Mestrado ou especialização na área de  economia, logística ou transportes.
</t>
    </r>
    <r>
      <rPr>
        <b/>
        <sz val="10"/>
        <rFont val="Calibri"/>
        <family val="2"/>
      </rPr>
      <t>Experiência:</t>
    </r>
    <r>
      <rPr>
        <sz val="10"/>
        <rFont val="Calibri"/>
        <family val="2"/>
      </rPr>
      <t xml:space="preserve"> 5 anos em análise de empreendimentos de infraestrura logística e de transportes.
</t>
    </r>
    <r>
      <rPr>
        <b/>
        <sz val="10"/>
        <rFont val="Calibri"/>
        <family val="2"/>
      </rPr>
      <t>Conhecimentos:</t>
    </r>
    <r>
      <rPr>
        <sz val="10"/>
        <rFont val="Calibri"/>
        <family val="2"/>
      </rPr>
      <t xml:space="preserve"> Concessões e PPPs; EVTEA; MEF; Análise de sensibilidade; Análise de cenários e projeções demanda.</t>
    </r>
  </si>
  <si>
    <r>
      <rPr>
        <b/>
        <sz val="10"/>
        <rFont val="Calibri"/>
        <family val="2"/>
      </rPr>
      <t>Formação:</t>
    </r>
    <r>
      <rPr>
        <sz val="10"/>
        <rFont val="Calibri"/>
        <family val="2"/>
      </rPr>
      <t xml:space="preserve"> Graduação em Direito.
</t>
    </r>
    <r>
      <rPr>
        <b/>
        <sz val="10"/>
        <rFont val="Calibri"/>
        <family val="2"/>
      </rPr>
      <t>Experiência:</t>
    </r>
    <r>
      <rPr>
        <sz val="10"/>
        <rFont val="Calibri"/>
        <family val="2"/>
      </rPr>
      <t xml:space="preserve"> 2 anos em análise de empreendimentos de infraestrutura logística e de transportes.
</t>
    </r>
    <r>
      <rPr>
        <b/>
        <sz val="10"/>
        <rFont val="Calibri"/>
        <family val="2"/>
      </rPr>
      <t>Conhecimentos:</t>
    </r>
    <r>
      <rPr>
        <sz val="10"/>
        <rFont val="Calibri"/>
        <family val="2"/>
      </rPr>
      <t xml:space="preserve"> "</t>
    </r>
    <r>
      <rPr>
        <i/>
        <sz val="10"/>
        <rFont val="Calibri"/>
        <family val="2"/>
      </rPr>
      <t>Due dilligence"</t>
    </r>
    <r>
      <rPr>
        <sz val="10"/>
        <rFont val="Calibri"/>
        <family val="2"/>
      </rPr>
      <t xml:space="preserve"> contratual; modelagem jurídica - contrato, edital, minutas para leilão; análise de cenário jurídico regulatório.</t>
    </r>
  </si>
  <si>
    <r>
      <rPr>
        <b/>
        <sz val="10"/>
        <rFont val="Calibri"/>
        <family val="2"/>
      </rPr>
      <t>Formação:</t>
    </r>
    <r>
      <rPr>
        <sz val="10"/>
        <rFont val="Calibri"/>
        <family val="2"/>
      </rPr>
      <t xml:space="preserve"> Graduação em Engenharia, Economia ou Administração e com Mestrado ou Especialização em logística e transportes.
</t>
    </r>
    <r>
      <rPr>
        <b/>
        <sz val="10"/>
        <rFont val="Calibri"/>
        <family val="2"/>
      </rPr>
      <t>Experiência:</t>
    </r>
    <r>
      <rPr>
        <sz val="10"/>
        <rFont val="Calibri"/>
        <family val="2"/>
      </rPr>
      <t xml:space="preserve"> 5 anos em análise de infraestrutura logística e de transportes. </t>
    </r>
    <r>
      <rPr>
        <b/>
        <sz val="10"/>
        <rFont val="Calibri"/>
        <family val="2"/>
      </rPr>
      <t>Conhecimentos:</t>
    </r>
    <r>
      <rPr>
        <sz val="10"/>
        <rFont val="Calibri"/>
        <family val="2"/>
      </rPr>
      <t xml:space="preserve"> Roteirização; Simulação; Caracterização de cenários logísticos e sistemas logísticos; Modelo 4 etapas ou similares; Softwares VISUM, VISSIM ou similares.</t>
    </r>
  </si>
  <si>
    <r>
      <rPr>
        <b/>
        <sz val="10"/>
        <rFont val="Calibri"/>
        <family val="2"/>
      </rPr>
      <t>Formação:</t>
    </r>
    <r>
      <rPr>
        <sz val="10"/>
        <rFont val="Calibri"/>
        <family val="2"/>
      </rPr>
      <t xml:space="preserve"> Graduação em Estatística, Matemática, Ciência de dados ou Ciência da Computação e especialização em análise de dados.
</t>
    </r>
    <r>
      <rPr>
        <b/>
        <sz val="10"/>
        <rFont val="Calibri"/>
        <family val="2"/>
      </rPr>
      <t>Experiência:</t>
    </r>
    <r>
      <rPr>
        <sz val="10"/>
        <rFont val="Calibri"/>
        <family val="2"/>
      </rPr>
      <t xml:space="preserve"> 2 anos de experiência em análise de dados e estatística.</t>
    </r>
    <r>
      <rPr>
        <b/>
        <sz val="10"/>
        <rFont val="Calibri"/>
        <family val="2"/>
      </rPr>
      <t xml:space="preserve">
Conhecimentos:</t>
    </r>
    <r>
      <rPr>
        <sz val="10"/>
        <rFont val="Calibri"/>
        <family val="2"/>
      </rPr>
      <t xml:space="preserve"> sistemas e métodos específicos para análises estatísticas; estatística de amostragens e pesquisas populacionais; análise de resultados de pesquisas e coletas de dados; análise de bancos de dados; Apresentação de dados em painéis BI; Programa R, Programa Python, SPSS, SAS ou similares.</t>
    </r>
  </si>
  <si>
    <r>
      <rPr>
        <b/>
        <sz val="10"/>
        <rFont val="Calibri"/>
        <family val="2"/>
      </rPr>
      <t>Formação:</t>
    </r>
    <r>
      <rPr>
        <sz val="10"/>
        <rFont val="Calibri"/>
        <family val="2"/>
      </rPr>
      <t xml:space="preserve"> Graduação em egenharia civil </t>
    </r>
    <r>
      <rPr>
        <b/>
        <sz val="10"/>
        <rFont val="Calibri"/>
        <family val="2"/>
      </rPr>
      <t xml:space="preserve">
Experiência: </t>
    </r>
    <r>
      <rPr>
        <sz val="10"/>
        <rFont val="Calibri"/>
        <family val="2"/>
      </rPr>
      <t xml:space="preserve">5 anos em planejamento e orçamento de infraestrutura logística e de transportes.
</t>
    </r>
    <r>
      <rPr>
        <b/>
        <sz val="10"/>
        <rFont val="Calibri"/>
        <family val="2"/>
      </rPr>
      <t xml:space="preserve">Conhecimentos: </t>
    </r>
    <r>
      <rPr>
        <sz val="10"/>
        <rFont val="Calibri"/>
        <family val="2"/>
      </rPr>
      <t>Cotação e orçamentação; Elaboração de Propostas; Cálculo de CAPEX e OPEX; Normas e referências do Governo Federal no tema; Softwares de orçamento COMPOR90 ou similares.</t>
    </r>
  </si>
  <si>
    <r>
      <rPr>
        <b/>
        <sz val="10"/>
        <rFont val="Calibri"/>
        <family val="2"/>
      </rPr>
      <t xml:space="preserve">Formação: </t>
    </r>
    <r>
      <rPr>
        <sz val="10"/>
        <rFont val="Calibri"/>
        <family val="2"/>
      </rPr>
      <t>Graduação em engenharia civil e mestrado ou especialização em logística e transportes.</t>
    </r>
    <r>
      <rPr>
        <b/>
        <sz val="10"/>
        <rFont val="Calibri"/>
        <family val="2"/>
      </rPr>
      <t xml:space="preserve">
Experiência:</t>
    </r>
    <r>
      <rPr>
        <sz val="10"/>
        <rFont val="Calibri"/>
        <family val="2"/>
      </rPr>
      <t xml:space="preserve"> 5 anos em planejamento e projeto de infraestrutura logística e de transportes.
</t>
    </r>
    <r>
      <rPr>
        <b/>
        <sz val="10"/>
        <rFont val="Calibri"/>
        <family val="2"/>
      </rPr>
      <t>Conhecimentos:</t>
    </r>
    <r>
      <rPr>
        <sz val="10"/>
        <rFont val="Calibri"/>
        <family val="2"/>
      </rPr>
      <t xml:space="preserve"> Dimensionamento de sistemas de transporte; análise de capacidade; dimensionamento de infraestrutura; planejamento de obras e intervenções; conhecimento de métodos, máquinas e equipamentos de construção civil, ensaios técnicos e levantamentos de campo; conhecimento de normas tecnicas especificas do setor (ABNT; DNIT; e outras); conhecimento de normas técnicas internacionais de referencia; orçamento e planejamento.</t>
    </r>
  </si>
  <si>
    <r>
      <rPr>
        <b/>
        <sz val="10"/>
        <rFont val="Calibri"/>
        <family val="2"/>
      </rPr>
      <t>Formação:</t>
    </r>
    <r>
      <rPr>
        <sz val="10"/>
        <rFont val="Calibri"/>
        <family val="2"/>
      </rPr>
      <t xml:space="preserve"> Graduação em geografia, geociencias ou engenharia e especialização em geoprocessamento
</t>
    </r>
    <r>
      <rPr>
        <b/>
        <sz val="10"/>
        <rFont val="Calibri"/>
        <family val="2"/>
      </rPr>
      <t xml:space="preserve">Experiência: </t>
    </r>
    <r>
      <rPr>
        <sz val="10"/>
        <rFont val="Calibri"/>
        <family val="2"/>
      </rPr>
      <t xml:space="preserve">2 anos em mapeamento georreferenciado
</t>
    </r>
    <r>
      <rPr>
        <b/>
        <sz val="10"/>
        <rFont val="Calibri"/>
        <family val="2"/>
      </rPr>
      <t xml:space="preserve">Conhecimentos: </t>
    </r>
    <r>
      <rPr>
        <sz val="10"/>
        <rFont val="Calibri"/>
        <family val="2"/>
      </rPr>
      <t>Software QGIS, ARC GIS, Google Earth e similares; mapeamento, geração de cenários; análise, definição e mapeamento de rotas e roteiros; mapas de calor; mapas temáticos; consultas a dados GIS do governo federal; banco de dados geográficos; integração de dados.</t>
    </r>
  </si>
  <si>
    <r>
      <rPr>
        <b/>
        <sz val="10"/>
        <rFont val="Calibri"/>
        <family val="2"/>
      </rPr>
      <t>Formação:</t>
    </r>
    <r>
      <rPr>
        <sz val="10"/>
        <rFont val="Calibri"/>
        <family val="2"/>
      </rPr>
      <t xml:space="preserve"> Graduação em ciências aeronáuticas ou engenharia com especialização ou mestrado em aeroportos.
</t>
    </r>
    <r>
      <rPr>
        <b/>
        <sz val="10"/>
        <rFont val="Calibri"/>
        <family val="2"/>
      </rPr>
      <t>Experiência:</t>
    </r>
    <r>
      <rPr>
        <sz val="10"/>
        <rFont val="Calibri"/>
        <family val="2"/>
      </rPr>
      <t xml:space="preserve"> 5 anos em planejamento, desenvolvimento e operação de infraestrutura aeroportuária.
</t>
    </r>
    <r>
      <rPr>
        <b/>
        <sz val="10"/>
        <rFont val="Calibri"/>
        <family val="2"/>
      </rPr>
      <t>Conhecimentos:</t>
    </r>
    <r>
      <rPr>
        <sz val="10"/>
        <rFont val="Calibri"/>
        <family val="2"/>
      </rPr>
      <t xml:space="preserve"> Concessões e PPPs; EVTEA; MEF; Simulações de operação aeroportuária; Softwares de simulação tais como ARENA, CAST, Transoft AVIPLAN ou similares; modelagem de concessões e parcerias; operação, receitas e custos operacionais aeroportuários; características de aeronaves; normas de operação em rampa, pátio e pista; normas DECEA; normas ANAC; normas nacionais e internacionais; equipes de gestão e operação aeroportuária; terminais de passageiros, terminais de carga e demais componentes do sítio aeroportuário tais como abastecimento, SESCINC e outros.</t>
    </r>
  </si>
  <si>
    <r>
      <rPr>
        <b/>
        <sz val="10"/>
        <rFont val="Calibri"/>
        <family val="2"/>
      </rPr>
      <t>Formação:</t>
    </r>
    <r>
      <rPr>
        <sz val="10"/>
        <rFont val="Calibri"/>
        <family val="2"/>
      </rPr>
      <t xml:space="preserve"> Graduação em engenharia civil e especialização ou mestrado em infraestrutura aeroportuária.
</t>
    </r>
    <r>
      <rPr>
        <b/>
        <sz val="10"/>
        <rFont val="Calibri"/>
        <family val="2"/>
      </rPr>
      <t>Experiência:</t>
    </r>
    <r>
      <rPr>
        <sz val="10"/>
        <rFont val="Calibri"/>
        <family val="2"/>
      </rPr>
      <t xml:space="preserve"> 5 anos em planejamento e projeto de infraestrutura aeroportuária. </t>
    </r>
    <r>
      <rPr>
        <b/>
        <sz val="10"/>
        <rFont val="Calibri"/>
        <family val="2"/>
      </rPr>
      <t>Conhecimentos:</t>
    </r>
    <r>
      <rPr>
        <sz val="10"/>
        <rFont val="Calibri"/>
        <family val="2"/>
      </rPr>
      <t xml:space="preserve"> Análise de capacidade e dimensionamento de infraestrutura aeronática; dimensionamento de pavimento aeroportuário; manutenção de pavimentos e sistemas aeroportuários; sistemas de navegação e auxílios, sinalização visual, sinalização luminosa, instalações elétricas aeroportuárias, drenagem, obstáculos, superfícies de proteção, intalações de dados e eletrônica; planos e programas aeroportuários; projetos, especificações, normas ANAC, DECEA, FAA, ICAO, ACI, e outras; Software FAARFIELD; PAVEAIR e Transoft AVIPLAN.</t>
    </r>
  </si>
  <si>
    <r>
      <rPr>
        <b/>
        <sz val="10"/>
        <rFont val="Calibri"/>
        <family val="2"/>
      </rPr>
      <t xml:space="preserve">Formação: </t>
    </r>
    <r>
      <rPr>
        <sz val="10"/>
        <rFont val="Calibri"/>
        <family val="2"/>
      </rPr>
      <t xml:space="preserve">Graduação em engenharia civil e especialização em BIM
</t>
    </r>
    <r>
      <rPr>
        <b/>
        <sz val="10"/>
        <rFont val="Calibri"/>
        <family val="2"/>
      </rPr>
      <t>Experiência:</t>
    </r>
    <r>
      <rPr>
        <sz val="10"/>
        <rFont val="Calibri"/>
        <family val="2"/>
      </rPr>
      <t xml:space="preserve"> 2 anos em desenvolvimento de projetos em BIM.
</t>
    </r>
    <r>
      <rPr>
        <b/>
        <sz val="10"/>
        <rFont val="Calibri"/>
        <family val="2"/>
      </rPr>
      <t xml:space="preserve">Conhecimentos: </t>
    </r>
    <r>
      <rPr>
        <sz val="10"/>
        <rFont val="Calibri"/>
        <family val="2"/>
      </rPr>
      <t>Desenvolvimento de projetos em BIM; especificações técnicas para serviços em BIM; banco de dados e modelo federado de armazenamento e gestão das informações; software NAVISWORKS, Autocad, Revit, Bentley ou similar; modelo em BIM para orçamentação e planejamento integrados; modelagem BIM de projetos e anteprojetos aeroportuários.</t>
    </r>
  </si>
  <si>
    <t>TABELA DE PREÇOS UNITÁRIOS NÃO DESONERADOS</t>
  </si>
  <si>
    <t>BDI</t>
  </si>
  <si>
    <t>Índice de atualização - CONSULTORIA (Supervisão e Projetos) DNIT</t>
  </si>
  <si>
    <t>Data-base:</t>
  </si>
  <si>
    <t>Subitem</t>
  </si>
  <si>
    <t>Descrição</t>
  </si>
  <si>
    <t>Unidade</t>
  </si>
  <si>
    <t>Preço Unitário</t>
  </si>
  <si>
    <t>Referência</t>
  </si>
  <si>
    <t>Atualização tabela de consultoria para mesma data base DER</t>
  </si>
  <si>
    <t>Consolidação dos custos de mão de obra - Tabela de Preços de Consultoria</t>
  </si>
  <si>
    <t>Custo Unitário</t>
  </si>
  <si>
    <t>P8001</t>
  </si>
  <si>
    <t>Advogado júnior</t>
  </si>
  <si>
    <t>DNIT 10/23</t>
  </si>
  <si>
    <t>P8002</t>
  </si>
  <si>
    <t>Advogado pleno</t>
  </si>
  <si>
    <t>P8007</t>
  </si>
  <si>
    <t>Analista de desenvolvimento de sistemas júnior</t>
  </si>
  <si>
    <t>Analista de desenvolvimento de sistemas pleno</t>
  </si>
  <si>
    <t>Analista de desenvolvimento de sistemas sênior</t>
  </si>
  <si>
    <t>P8013</t>
  </si>
  <si>
    <t>Arquiteto júnior</t>
  </si>
  <si>
    <t>P8014</t>
  </si>
  <si>
    <t>Arquiteto pleno</t>
  </si>
  <si>
    <t>Arquiteto sênior</t>
  </si>
  <si>
    <t>P8019</t>
  </si>
  <si>
    <t>Assistente social júnior</t>
  </si>
  <si>
    <t>P8020</t>
  </si>
  <si>
    <t>Assistente social pleno</t>
  </si>
  <si>
    <t>P8021</t>
  </si>
  <si>
    <t>Assistente social sênior</t>
  </si>
  <si>
    <t>P8025</t>
  </si>
  <si>
    <t>Auxiliar</t>
  </si>
  <si>
    <t>P8026</t>
  </si>
  <si>
    <t>Auxiliar administrativo</t>
  </si>
  <si>
    <t>P8027</t>
  </si>
  <si>
    <t>Auxiliar de laboratório</t>
  </si>
  <si>
    <t>P8028</t>
  </si>
  <si>
    <t>Auxiliar de topografia</t>
  </si>
  <si>
    <t>P8032</t>
  </si>
  <si>
    <t>Biólogo júnior</t>
  </si>
  <si>
    <t>P8033</t>
  </si>
  <si>
    <t>Biólogo pleno</t>
  </si>
  <si>
    <t>P8034</t>
  </si>
  <si>
    <t>Biólogo sênior</t>
  </si>
  <si>
    <t>P8038</t>
  </si>
  <si>
    <t>Chefe de escritório</t>
  </si>
  <si>
    <t>P8040</t>
  </si>
  <si>
    <t>Contador júnior</t>
  </si>
  <si>
    <t>P8041</t>
  </si>
  <si>
    <t>Contador pleno</t>
  </si>
  <si>
    <t>P8042</t>
  </si>
  <si>
    <t>Contador sênior</t>
  </si>
  <si>
    <t>P8044</t>
  </si>
  <si>
    <t xml:space="preserve">Coordenador ambiental </t>
  </si>
  <si>
    <t>P8045</t>
  </si>
  <si>
    <t>Economista júnior</t>
  </si>
  <si>
    <t>Economista pleno</t>
  </si>
  <si>
    <t>P8054</t>
  </si>
  <si>
    <t>Engenheiro agrônomo júnior</t>
  </si>
  <si>
    <t>P8055</t>
  </si>
  <si>
    <t>Engenheiro agrônomo pleno</t>
  </si>
  <si>
    <t>P8056</t>
  </si>
  <si>
    <t>Engenheiro agrônomo sênior</t>
  </si>
  <si>
    <t>P8057</t>
  </si>
  <si>
    <t>Engenheiro ambiental júnior</t>
  </si>
  <si>
    <t>P8058</t>
  </si>
  <si>
    <t>Engenheiro ambiental pleno</t>
  </si>
  <si>
    <t>Engenheiro ambiental sênior</t>
  </si>
  <si>
    <t>Engenheiro consultor especial</t>
  </si>
  <si>
    <t>Engenheiro coordenador</t>
  </si>
  <si>
    <t>P8062</t>
  </si>
  <si>
    <t>Engenheiro de pesca júnior</t>
  </si>
  <si>
    <t>P8063</t>
  </si>
  <si>
    <t>Engenheiro de pesca pleno</t>
  </si>
  <si>
    <t>P8064</t>
  </si>
  <si>
    <t>Engenheiro de pesca sênior</t>
  </si>
  <si>
    <t>Engenheiro de projetos júnior</t>
  </si>
  <si>
    <t>P8066</t>
  </si>
  <si>
    <t>Engenheiro de projetos pleno</t>
  </si>
  <si>
    <t>Engenheiro de projetos sênior</t>
  </si>
  <si>
    <t>P8068</t>
  </si>
  <si>
    <t>Engenheiro florestal júnior</t>
  </si>
  <si>
    <t>P8069</t>
  </si>
  <si>
    <t>Engenheiro florestal pleno</t>
  </si>
  <si>
    <t>P8070</t>
  </si>
  <si>
    <t>Engenheiro florestal sênior</t>
  </si>
  <si>
    <t>P8080</t>
  </si>
  <si>
    <t>Geólogo júnior</t>
  </si>
  <si>
    <t>P8081</t>
  </si>
  <si>
    <t>Geólogo pleno</t>
  </si>
  <si>
    <t>P8082</t>
  </si>
  <si>
    <t>Geólogo sênior</t>
  </si>
  <si>
    <t>P8092</t>
  </si>
  <si>
    <t>Jornalista júnior</t>
  </si>
  <si>
    <t>P8093</t>
  </si>
  <si>
    <t>Jornalista pleno</t>
  </si>
  <si>
    <t>P8094</t>
  </si>
  <si>
    <t>Jornalista sênior</t>
  </si>
  <si>
    <t>P8098</t>
  </si>
  <si>
    <t>Laboratorista</t>
  </si>
  <si>
    <t>P8102</t>
  </si>
  <si>
    <t>Médico veterinário</t>
  </si>
  <si>
    <t>P8106</t>
  </si>
  <si>
    <t>Meteorologista júnior</t>
  </si>
  <si>
    <t>P8107</t>
  </si>
  <si>
    <t>Meteorologista pleno</t>
  </si>
  <si>
    <t>P8108</t>
  </si>
  <si>
    <t>Meteorologista sênior</t>
  </si>
  <si>
    <t>P8112</t>
  </si>
  <si>
    <t>Motorista de caminhão</t>
  </si>
  <si>
    <t>P8113</t>
  </si>
  <si>
    <t>Motorista de veículo leve</t>
  </si>
  <si>
    <t>P8117</t>
  </si>
  <si>
    <t>Oceanógrafo júnior</t>
  </si>
  <si>
    <t>P8118</t>
  </si>
  <si>
    <t>Oceanógrafo pleno</t>
  </si>
  <si>
    <t>P8119</t>
  </si>
  <si>
    <t>Oceanógrafo sênior</t>
  </si>
  <si>
    <t>P8129</t>
  </si>
  <si>
    <t>Pedagogo júnior</t>
  </si>
  <si>
    <t>P8130</t>
  </si>
  <si>
    <t>Pedagogo pleno</t>
  </si>
  <si>
    <t>P8131</t>
  </si>
  <si>
    <t>Pedagogo sênior</t>
  </si>
  <si>
    <t>P8135</t>
  </si>
  <si>
    <t>Secretária</t>
  </si>
  <si>
    <t>P8139</t>
  </si>
  <si>
    <t>Sondador</t>
  </si>
  <si>
    <t>P8143</t>
  </si>
  <si>
    <t>Técnico ambiental</t>
  </si>
  <si>
    <t>P8147</t>
  </si>
  <si>
    <t>Técnico de obras</t>
  </si>
  <si>
    <t>P8151</t>
  </si>
  <si>
    <t>Técnico de segurança do trabalho</t>
  </si>
  <si>
    <t>P8155</t>
  </si>
  <si>
    <t>Técnico em geoprocessamento</t>
  </si>
  <si>
    <t>Técnico em informática - programador</t>
  </si>
  <si>
    <t>P8163</t>
  </si>
  <si>
    <t>Topógrafo</t>
  </si>
  <si>
    <t>P8167</t>
  </si>
  <si>
    <t>Arquivista júnior</t>
  </si>
  <si>
    <t>P8168</t>
  </si>
  <si>
    <t>Arquivista pleno</t>
  </si>
  <si>
    <t>P8169</t>
  </si>
  <si>
    <t>Arquivista sênior</t>
  </si>
  <si>
    <t>P8173</t>
  </si>
  <si>
    <t>Administrador júnior</t>
  </si>
  <si>
    <t>P8174</t>
  </si>
  <si>
    <t>Administrador pleno</t>
  </si>
  <si>
    <t>Administrador sênior</t>
  </si>
  <si>
    <t>P8180</t>
  </si>
  <si>
    <t>Engenheiro agrimensor júnior</t>
  </si>
  <si>
    <t>P8181</t>
  </si>
  <si>
    <t>Engenheiro agrimensor pleno</t>
  </si>
  <si>
    <t>P8182</t>
  </si>
  <si>
    <t>Engenheiro agrimensor sênior</t>
  </si>
  <si>
    <t>P8183</t>
  </si>
  <si>
    <t>Geógrafo júnior</t>
  </si>
  <si>
    <t>Geógrafo pleno</t>
  </si>
  <si>
    <t>Geógrafo sênior</t>
  </si>
  <si>
    <t>P8186</t>
  </si>
  <si>
    <t>Antropólogo júnior</t>
  </si>
  <si>
    <t>P8187</t>
  </si>
  <si>
    <t>Antropólogo pleno</t>
  </si>
  <si>
    <t>P8188</t>
  </si>
  <si>
    <t>Antropólogo sênior</t>
  </si>
  <si>
    <t>P8189</t>
  </si>
  <si>
    <t>Arqueólogo júnior</t>
  </si>
  <si>
    <t>P8190</t>
  </si>
  <si>
    <t>Arqueólogo pleno</t>
  </si>
  <si>
    <t>P8191</t>
  </si>
  <si>
    <t>Arqueólogo sênior</t>
  </si>
  <si>
    <t>P8192</t>
  </si>
  <si>
    <t>Historiador júnior</t>
  </si>
  <si>
    <t>P8193</t>
  </si>
  <si>
    <t>Historiador pleno</t>
  </si>
  <si>
    <t>P8194</t>
  </si>
  <si>
    <t>Historiador sênior</t>
  </si>
  <si>
    <t>P8195</t>
  </si>
  <si>
    <t>Paleontólogo júnior</t>
  </si>
  <si>
    <t>P8196</t>
  </si>
  <si>
    <t>Paleontólogo pleno</t>
  </si>
  <si>
    <t>P8197</t>
  </si>
  <si>
    <t>Paleontólogo sênior</t>
  </si>
  <si>
    <t>P8198</t>
  </si>
  <si>
    <t>Sociólogo júnior</t>
  </si>
  <si>
    <t>P8199</t>
  </si>
  <si>
    <t>Sociólogo pleno</t>
  </si>
  <si>
    <t>P8200</t>
  </si>
  <si>
    <t>Sociólogo sênior</t>
  </si>
  <si>
    <t>P8264</t>
  </si>
  <si>
    <t>Motorista de veículo leve - horista</t>
  </si>
  <si>
    <t>h</t>
  </si>
  <si>
    <t>Custos de veículos Tabela de Preços de Consultoria</t>
  </si>
  <si>
    <t>Produtivo</t>
  </si>
  <si>
    <t>Improdutivo</t>
  </si>
  <si>
    <t>E8889</t>
  </si>
  <si>
    <t>Veículo leve - 53 kW (sem motorista)</t>
  </si>
  <si>
    <t xml:space="preserve">dia </t>
  </si>
  <si>
    <t>E8891</t>
  </si>
  <si>
    <t>Veículo leve Pick Up 4x4 - 147 kW (sem motorista)</t>
  </si>
  <si>
    <t>E8887</t>
  </si>
  <si>
    <t>Van furgão - 93 kW (com motorista)</t>
  </si>
  <si>
    <t>Custos de imóveis, mobiliário, cestas de instalações e custos diversos Tabela de Preços de Consultoria</t>
  </si>
  <si>
    <t>Comercial (2,60% do CMCC - SINAPI)</t>
  </si>
  <si>
    <t>B8952</t>
  </si>
  <si>
    <t>Residencial (1,70% do CMCC - SINAPI)</t>
  </si>
  <si>
    <t>Escritório</t>
  </si>
  <si>
    <t>B8954</t>
  </si>
  <si>
    <t>Residência</t>
  </si>
  <si>
    <t>B8955</t>
  </si>
  <si>
    <t>Laboratório de asfalto</t>
  </si>
  <si>
    <t>B8956</t>
  </si>
  <si>
    <t>Laboratório de concreto</t>
  </si>
  <si>
    <t>B8957</t>
  </si>
  <si>
    <t>Laboratório de solos</t>
  </si>
  <si>
    <t>B8958</t>
  </si>
  <si>
    <t>Topografia</t>
  </si>
  <si>
    <t>B8960</t>
  </si>
  <si>
    <t>Cotações de Mercado</t>
  </si>
  <si>
    <t xml:space="preserve">EST - DF </t>
  </si>
  <si>
    <t xml:space="preserve">Estadia - DF </t>
  </si>
  <si>
    <t>Decreto</t>
  </si>
  <si>
    <t xml:space="preserve">EST - AM </t>
  </si>
  <si>
    <t xml:space="preserve">Estadia - AM </t>
  </si>
  <si>
    <t xml:space="preserve">EST - RJ </t>
  </si>
  <si>
    <t xml:space="preserve">Estadia - RJ </t>
  </si>
  <si>
    <t xml:space="preserve">EST - MG </t>
  </si>
  <si>
    <t xml:space="preserve">Estadia - MG </t>
  </si>
  <si>
    <t xml:space="preserve">EST - CE </t>
  </si>
  <si>
    <t xml:space="preserve">Estadia - CE </t>
  </si>
  <si>
    <t xml:space="preserve">EST - RS </t>
  </si>
  <si>
    <t xml:space="preserve">Estadia - RS </t>
  </si>
  <si>
    <t xml:space="preserve">EST - PE </t>
  </si>
  <si>
    <t xml:space="preserve">Estadia - PE </t>
  </si>
  <si>
    <t xml:space="preserve">EST - BA </t>
  </si>
  <si>
    <t xml:space="preserve">Estadia - BA </t>
  </si>
  <si>
    <t xml:space="preserve">EST - SP </t>
  </si>
  <si>
    <t>Estadia - SP</t>
  </si>
  <si>
    <t xml:space="preserve">EST - AC </t>
  </si>
  <si>
    <t xml:space="preserve">Estadia - AC </t>
  </si>
  <si>
    <t xml:space="preserve">EST - AL </t>
  </si>
  <si>
    <t xml:space="preserve">Estadia - AL </t>
  </si>
  <si>
    <t xml:space="preserve">EST - AP </t>
  </si>
  <si>
    <t xml:space="preserve">Estadia - AP </t>
  </si>
  <si>
    <t xml:space="preserve">EST - ES </t>
  </si>
  <si>
    <t xml:space="preserve">Estadia - ES </t>
  </si>
  <si>
    <t xml:space="preserve">EST - GO </t>
  </si>
  <si>
    <t xml:space="preserve">Estadia - GO </t>
  </si>
  <si>
    <t xml:space="preserve">EST - MA </t>
  </si>
  <si>
    <t xml:space="preserve">Estadia - MA </t>
  </si>
  <si>
    <t xml:space="preserve">EST - MT </t>
  </si>
  <si>
    <t xml:space="preserve">Estadia - MT </t>
  </si>
  <si>
    <t xml:space="preserve">EST - MS </t>
  </si>
  <si>
    <t xml:space="preserve">Estadia - MS </t>
  </si>
  <si>
    <t xml:space="preserve">EST - PA </t>
  </si>
  <si>
    <t xml:space="preserve">Estadia - PA </t>
  </si>
  <si>
    <t xml:space="preserve">EST - PB </t>
  </si>
  <si>
    <t xml:space="preserve">Estadia - PB </t>
  </si>
  <si>
    <t xml:space="preserve">EST - PR </t>
  </si>
  <si>
    <t xml:space="preserve">Estadia - PR </t>
  </si>
  <si>
    <t xml:space="preserve">EST - PI </t>
  </si>
  <si>
    <t xml:space="preserve">Estadia - PI </t>
  </si>
  <si>
    <t xml:space="preserve">EST - RN </t>
  </si>
  <si>
    <t xml:space="preserve">Estadia - RN </t>
  </si>
  <si>
    <t xml:space="preserve">EST - RO </t>
  </si>
  <si>
    <t xml:space="preserve">Estadia - RO </t>
  </si>
  <si>
    <t xml:space="preserve">EST - RR </t>
  </si>
  <si>
    <t xml:space="preserve">Estadia - RR </t>
  </si>
  <si>
    <t xml:space="preserve">EST - SC </t>
  </si>
  <si>
    <t xml:space="preserve">Estadia - SC </t>
  </si>
  <si>
    <t xml:space="preserve">EST - SE </t>
  </si>
  <si>
    <t xml:space="preserve">Estadia - SE </t>
  </si>
  <si>
    <t xml:space="preserve">EST - TO </t>
  </si>
  <si>
    <t xml:space="preserve">Estadia - TO </t>
  </si>
  <si>
    <t>op. 1</t>
  </si>
  <si>
    <t>op. 2</t>
  </si>
  <si>
    <t>op. 3</t>
  </si>
  <si>
    <t>EQ001</t>
  </si>
  <si>
    <t>Notebook</t>
  </si>
  <si>
    <t>un</t>
  </si>
  <si>
    <t>Cotação Online</t>
  </si>
  <si>
    <t>Multilaser</t>
  </si>
  <si>
    <t>Positivo</t>
  </si>
  <si>
    <t>Samsung</t>
  </si>
  <si>
    <t>PASS - DF</t>
  </si>
  <si>
    <t>Passagem aérea - destino Brasília (ida e volta)</t>
  </si>
  <si>
    <t>und</t>
  </si>
  <si>
    <t>PASS - AM</t>
  </si>
  <si>
    <t>Passagem aérea - destino Manaus (ida e volta)</t>
  </si>
  <si>
    <t>PASS - RJ</t>
  </si>
  <si>
    <t>Passagem aérea - destino Rio de Janeiro (ida e volta)</t>
  </si>
  <si>
    <t>PASS - MG</t>
  </si>
  <si>
    <t>Passagem aérea - destino Belo Horizonte (ida e volta)</t>
  </si>
  <si>
    <t>PASS - CE</t>
  </si>
  <si>
    <t>Passagem aérea - destino Fortaleza (ida e volta)</t>
  </si>
  <si>
    <t>PASS - RS</t>
  </si>
  <si>
    <t>Passagem aérea - destino Porto Alegre (ida e volta)</t>
  </si>
  <si>
    <t>PASS - PE</t>
  </si>
  <si>
    <t>Passagem aérea - destino Recife (ida e volta)</t>
  </si>
  <si>
    <t>PASS - BA</t>
  </si>
  <si>
    <t>Passagem aérea - destino Salvador (ida e volta)</t>
  </si>
  <si>
    <t>PASS - SP</t>
  </si>
  <si>
    <t>Passagem aérea - destino São Paulo (ida e volta)</t>
  </si>
  <si>
    <t>PASS - AC</t>
  </si>
  <si>
    <t>Passagem aérea - destino Rio Branco (ida e volta)</t>
  </si>
  <si>
    <t>PASS - AL</t>
  </si>
  <si>
    <t>Passagem aérea - destino Maceió (ida e volta)</t>
  </si>
  <si>
    <t>PASS - AP</t>
  </si>
  <si>
    <t>Passagem aérea - destino Macapá (ida e volta)</t>
  </si>
  <si>
    <t>PASS - ES</t>
  </si>
  <si>
    <t>Passagem aérea - destino Vitória (ida e volta)</t>
  </si>
  <si>
    <t>PASS - GO</t>
  </si>
  <si>
    <t>Passagem aérea - destino Goiânia (ida e volta)</t>
  </si>
  <si>
    <t>PASS - MA</t>
  </si>
  <si>
    <t>Passagem aérea - destino São Luís (ida e volta)</t>
  </si>
  <si>
    <t>PASS - MT</t>
  </si>
  <si>
    <t>Passagem aérea - destino Cuiabá (ida e volta)</t>
  </si>
  <si>
    <t>PASS - MS</t>
  </si>
  <si>
    <t>Passagem aérea - destino Campo Grande (ida e volta)</t>
  </si>
  <si>
    <t>PASS - PA</t>
  </si>
  <si>
    <t>Passagem aérea - destino Belém (ida e volta)</t>
  </si>
  <si>
    <t>PASS - PB</t>
  </si>
  <si>
    <t>Passagem aérea - destino João Pessoa (ida e volta)</t>
  </si>
  <si>
    <t>PASS - PR</t>
  </si>
  <si>
    <t>Passagem aérea - destino Curitiba (ida e volta)</t>
  </si>
  <si>
    <t>PASS - PI</t>
  </si>
  <si>
    <t>Passagem aérea - destino Teresina (ida e volta)</t>
  </si>
  <si>
    <t>PASS - RN</t>
  </si>
  <si>
    <t>Passagem aérea - destino Natal (ida e volta)</t>
  </si>
  <si>
    <t>PASS - RO</t>
  </si>
  <si>
    <t>Passagem aérea - destino Porto Velho (ida e volta)</t>
  </si>
  <si>
    <t>PASS - RR</t>
  </si>
  <si>
    <t>Passagem aérea - destino Boa Vista (ida e volta)</t>
  </si>
  <si>
    <t>PASS - SC</t>
  </si>
  <si>
    <t>Passagem aérea - destino Florianópolis (ida e volta)</t>
  </si>
  <si>
    <t>PASS - SE</t>
  </si>
  <si>
    <t>Passagem aérea - destino Aracaju (ida e volta)</t>
  </si>
  <si>
    <t>PASS - TO</t>
  </si>
  <si>
    <t>Passagem aérea - destino Palmas (ida e volta)</t>
  </si>
  <si>
    <t>PASS - LOTE 1</t>
  </si>
  <si>
    <t>Passagem aérea (ida e volta) - destino RJ</t>
  </si>
  <si>
    <t>PASS - LOTE 2</t>
  </si>
  <si>
    <t>Passagem aérea (ida e volta) - destino MT</t>
  </si>
  <si>
    <t>LICENÇA AUTODESK COLECTION (3 ANOS / USUÁRIO)</t>
  </si>
  <si>
    <t>Mês/USUÁRIO</t>
  </si>
  <si>
    <t>COTAÇÃO INFRASA</t>
  </si>
  <si>
    <t>LICENÇA SOFTWARE PTV VISUM (VITALÍCIA)</t>
  </si>
  <si>
    <t>Contrato de licença vitalícia 2020. Considerado depreciação de 1/3 do contrato por ano.</t>
  </si>
  <si>
    <t>LICENÇA MICROSOFT POWERBI</t>
  </si>
  <si>
    <t>PREGÃO ELETRÔNICO TJ MA 2023 (PREGÃO ELETRÔNICO Nº 00012/2023-000 SRP)</t>
  </si>
  <si>
    <t>LICENÇA IBM SPSS</t>
  </si>
  <si>
    <t>Cotação em 08/08/2023 no site https://www.ibm.com/br-pt/products/spss-statistics/pricing. Considerando dólar a R$5,00.</t>
  </si>
  <si>
    <t>LICENÇA AVIPLAN</t>
  </si>
  <si>
    <t>Cotação Transoft em 20/03/2023. Licença para 3 anos por usuário. Considerado dólar a R$5,00.</t>
  </si>
  <si>
    <t>Benefícios e Despesas Indiretas - BDI</t>
  </si>
  <si>
    <t>Despesas Indiretas</t>
  </si>
  <si>
    <t>% sobre PV</t>
  </si>
  <si>
    <t>% sobre CD</t>
  </si>
  <si>
    <t>Administração Central</t>
  </si>
  <si>
    <t>Variável - f (CD)</t>
  </si>
  <si>
    <t>Despesas Financeiras</t>
  </si>
  <si>
    <t>0,85% sobre (PV - Lucro)</t>
  </si>
  <si>
    <t>Riscos</t>
  </si>
  <si>
    <t>0,50% do PV</t>
  </si>
  <si>
    <t>Garantias Contratuais</t>
  </si>
  <si>
    <t>0,10% do PV</t>
  </si>
  <si>
    <t>Subtotal 1</t>
  </si>
  <si>
    <t>Benefícios</t>
  </si>
  <si>
    <t>Lucro Operacional</t>
  </si>
  <si>
    <t>Subtotal 2</t>
  </si>
  <si>
    <t>Tributos</t>
  </si>
  <si>
    <t>PIS</t>
  </si>
  <si>
    <t>1,65% do PV</t>
  </si>
  <si>
    <t>COFINS</t>
  </si>
  <si>
    <t>7,60% do PV</t>
  </si>
  <si>
    <t>ISSQN*</t>
  </si>
  <si>
    <t>5,00% do PV</t>
  </si>
  <si>
    <t>Subtotal 3</t>
  </si>
  <si>
    <t>Total - BDI (%)</t>
  </si>
  <si>
    <t>Fonte: FGV IBRE</t>
  </si>
  <si>
    <t>*Ofício-Circular nº 672/2024 (SEI DNIT nº 16883202)</t>
  </si>
  <si>
    <t>SUPET 2 - Assessoramento na elaboração de parte dos Planos de Logística e Transportes de abrangência Nacional e Estadual e nos níveis Tático e Estratégico</t>
  </si>
  <si>
    <t>A - Definição de Objetivos, Indicadores, Premissas e preparação metodológica
B - Estimativas de Demanda
C - Carterira de Ações
D - Proposta do Modelo de Governança</t>
  </si>
  <si>
    <t>D -Proposta do Modelo de Governança 5</t>
  </si>
  <si>
    <t>Assessoramento em:
Realização de diagnóstico e caracterização de empreendimentos de infraestrutura de transporte/logística;
Elaboração de análises de mercado;
Dimensionamento e elaboração de projeções e cenários de demanda;
Levantamento e análise de dados socioeconômicos;
Elaboração de análise jurídico regulatória de empreendimentos;
Elaboração de indicativo de estrutura, financiamento, visão estratégica e modelagem de negócio;
Desenvolvimento de estudos econômicos e logísticos estratégicos;
Elaboração de simulações e modelagens econômico-financeiras e de transporte e logística;
Realização e acompanhamento de levantamentos de campo para subsidiar a elaboração de relatórios;
Análise de dados de levantamentos de campo, relatórios e pareceres;
Análise de dados, indicadores e informações técnicas especializadas.</t>
  </si>
  <si>
    <t>Assessoramento em: 
Análise da infraestrutura e de operações logísticas e de transporte e identificação de não-conformidades e gargalos de desenvolvimento;
Dimensionamento e especificação de infraestrutura de transporte/logística;
Orçamentação de projetos, obras e serviços de infraestrutura de transporte/logística;
Planejamento e orçamento de expansões de infraestrutura e cálculo de CAPEX;
Planejamento da operação e cáclculo de OPEX;
Análise de informações georreferenciadas e elaboração de mapas temáticos;
Desenvolvimento de estudos de transporte e logísticos estratégicos;
Elaboração de simulações e modelagens de transporte e logística;
Realização e acompanhamento de levantamentos de campo para subsidiar a elaboração de relatórios;
Elaboração e análise de relatórios de avaliação de parâmetros relacionados à infraestrutura de transportes.</t>
  </si>
  <si>
    <t>Assessoramento em: 
Análise da infraestrutura e da operação aeroportuária e identificação de não-conformidades e gargalos de desenvolvimento;
Dimensionamento e especificação de infraestrutura aeroportuária;
Elaboração de análises de mercado aeroportuário;
Dimensionamento e elaboração de projeções e cenários de demanda aeroportuária;
Planejamento e orçamento de expansões de infraestrutura aeroportuária e cálculo de CAPEX;
Planejamento da operação aeroportuária e cálculo de OPEX;
Elaboração de estudos aeroportuários estratégicos;
Elaboração de simulações e modelagens de infraestrutura aeroportuária e transporte aéreo;
Elaboração e organização de informações em formato BIM e correspondente geração de documentos e dados de projetos;
Realização e acompanhamento de levantamentos de campo para subsidiar a elaboração de relatórios.</t>
  </si>
  <si>
    <t>Assesoramento em:
a) Definição de Objetivos, Indicadores, Premissas e Preparação Metodológica: Estabelecimento de objetivos a serem alcançados pelo sistema de transporte do estado, os respectivos indicadores que mensuram o alcance desses objetivos, assim como estimam o impacto marginal dos projetos a serem avaliados, o horizonte futuro de análise do plano, as premissas de simulação de cenários e as preparações metodológicas necessárias, com a participação e validação dos técnicos e gestores do estado envolvidos na elaboração do Plano;
b) Estimativas de Demanda (Modelagem, divisão modal, calibração e projeção): Estimativa de demanda por transporte intermunicipal de cargas para todos os modos de transporte baseada em dados censitários e anualizados provenientes de Big Datas confiáveis de Notas Fiscais Eletrônicas (NF-e), Manifestos Eletrônicos de Documentos Fiscais (MDF-e) ou Conhecimentos de Transporte Eletrônico (CT-e), com abrangência nacional e respectivo tratamento estatístico para expansão e correção dos dados, se necessário; Estimativa da demanda por transporte intermunicipal de pessoas, para todos os modos de transporte, baseada em amostra não inferior a 10% da população brasileira, anualizados e anonimizados, proveniente de Big Datas confiáveis de dados da telefonia móvel ou de GPS, com abrangência nacional e respectivo tratamento estatístico para expansão e correção dos dados, se necessário; Divisão modal baseada em simulação por modelo de transporte ou cruzamento com dados secundários, de abrangência representativa nacional para o transporte intermunicipal nacional; Calibração da matriz em rede de transporte utilizando-se dados reais, minimamente, de contagens volumétricas nas rodovias do estado; Projeções de demanda para atualização de cenário base ou para estimativa futura baseado em modelos confiáveis e alinhados com os cenários macroeconômicos nacionais projetados pelo Governo Federal na Estratégia Federal de Desenvolvimento;
c) Atualização e consolidação da Carteira de Ações (levantamento e tratamento de dados): Levantamento abrangente de obras, empreendimentos e projetos relacionados à infraestrutura aeroportuária, aquaviária, portuária, rodoviária e ferroviária do Governo Estadual, da iniciativa privada e do Governo Federal em status de planejamento, concepção, estudo, em processo de contratação, em execução ou contratado, com os respectivos atributos de impacto nas infraestruturas de transporte do estado suficientes para a modelagem e simulação na rede de transportes intermodal; Validação dos técnicos e gestores do estado envolvidos na elaboração do Plano;
d) Proposta de modelo de governança e documentação final: Divisão da carteira de ações de acordo com a sugestão de ação seguinte necessária para andamento por parte do poder público estadual, considerando a divisão institucional vigente no estado e no Governo Federal e a alocação de responsabilidades de cada ator; Documentação da versão completa do Plano Estadual de Logística e Transporte – PELT para avaliação interna.</t>
  </si>
  <si>
    <t>1- Análise das interações porto-cidade no contexto da elaboração/atualização de Planos de Desenvolvimento e Zoneamento Portuário;
2- Elaboração do capítulo de Informações Gerais que compõe o Plano de Desenvolvimento e Zoneamento Portuário;
3- Elaboração de análises geográficas inerentes à infraestrutura, operações portuárias, acessos aquaviários e terrestres, exploração do espaço portuário e aspectos ambientais, incluindo elaboração de mapas;
4- Análise do licenciamento ambiental no contexto da elaboração/atualização de Planos de Desenvolvimento e Zoneamento Portuários.</t>
  </si>
  <si>
    <t>A -Análise das interações porto-cidade no contexto da elaboração/atualização de Planos de Desenvolvimento e Zoneamento Portuários 5</t>
  </si>
  <si>
    <t>A -Análise das interações porto-cidade no contexto da elaboração/atualização de Planos de Desenvolvimento e Zoneamento Portuários 4</t>
  </si>
  <si>
    <t>A -Análise das interações porto-cidade no contexto da elaboração/atualização de Planos de Desenvolvimento e Zoneamento Portuários 2</t>
  </si>
  <si>
    <t>B - Elaboração do capítulo de Informações Gerais que compõe o Plano de Desenvolvimento e Zoneamento Portuário; 4</t>
  </si>
  <si>
    <t>B - Elaboração do capítulo de Informações Gerais que compõe o Plano de Desenvolvimento e Zoneamento Portuário; 2</t>
  </si>
  <si>
    <t>C -Elaboração de análises geográficas inerentes à infraestrutura, operações portuárias, acessos aquaviários e terrestres, exploração do espaço portuário e aspectos ambientais, incluindo elaboração de mapas; 5</t>
  </si>
  <si>
    <t>C - Elaboração de análises geográficas inerentes à infraestrutura, operações portuárias, acessos aquaviários e terrestres, exploração do espaço portuário e aspectos ambientais, incluindo elaboração de mapas; 5</t>
  </si>
  <si>
    <t>C - Elaboração de análises geográficas inerentes à infraestrutura, operações portuárias, acessos aquaviários e terrestres, exploração do espaço portuário e aspectos ambientais, incluindo elaboração de mapas; 2</t>
  </si>
  <si>
    <t>D - Análise do licenciamento ambiental no contexto da elaboração/atualização de Planos de Desenvolvimento e Zoneamento Portuários 5</t>
  </si>
  <si>
    <t>D - Análise do licenciamento ambiental no contexto da elaboração/atualização de Planos de Desenvolvimento e Zoneamento Portuários 2</t>
  </si>
  <si>
    <t>Ação 3- SUPET - Planos de Zoneamento e Desenvolvimento Portuário</t>
  </si>
  <si>
    <t>Assessoramento em Planos de Desenvolvimento e Zoneamento Portuário</t>
  </si>
  <si>
    <t>Assessoramento em:
a) realizar levantamento dos normativos e instrumentos de planejamento municipal e programas de investimentos, de desenvolvimento econômico e de intervenção urbana, com potenciais sinergias ou conflitos nas relações porto-cidade; 
b) realizar análises de todo o material levantado; 
c) realizar análise estratégica do Porto Organizado a par das interações porto-cidade; 
d) elaborar planos de ações contemplando as interações porto-cidade; 
e) apoio técnico na avaliação do caderno porto-cidade contemplado no Plano de Desenvolvimento e Zoneamento; 
f) realizar levantamento dos principais players que atuam nas operações portuárias do Porto Organizado; 
g) prestar apoio técnico na análise de consolidação do capítulo de Informações Gerais do Porto Organizado contemplando localização, dados cadastrais, marcos legais, poligonal e estrutura administrativa e de gestão; 
h) auxiliar na análise estratégica do Porto Organizado; 
i) aulixiar na elaboração do plano de ações e investimentos do Porto Organizado; 
j) realizar análise dos aspectos ambientais do Porto Organizado e das arrendatárias dentro da poligonal do Porto Organizado; 
k) realizar análise da gestão ambiental do Porto Organizado e das arrendatárias dentro da poligonal do Porto Organizado;
l) realizar análise do licenciamento ambiental do Porto Organizado e das arrendatárias dentro da poligonal do Porto Organizado;
m) geração, organização e tratamento de dados geográficos;
n) georreferenciamento e geoespacialização de dados;
o) geração de produtos cartográficos, assim como a geração de arquivos shapefile e kml/kmz necessários para confeccioná-los;
p) levantamento planimêtrico.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</si>
</sst>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mmmm\,\ yyyy;@"/>
    <numFmt numFmtId="165" formatCode="#,##0.000_);\-#,##0.000_);&quot;&quot;"/>
    <numFmt numFmtId="166" formatCode="&quot;R$&quot;\ #,##0.00"/>
  </numFmts>
  <fonts count="60">
    <font>
      <sz val="11"/>
      <color theme="1"/>
      <name val="Calibri"/>
      <family val="2"/>
      <scheme val="minor"/>
    </font>
    <font>
      <b/>
      <sz val="11"/>
      <color rgb="FF000000"/>
      <name val="Calibri"/>
      <family val="2"/>
    </font>
    <font>
      <sz val="11"/>
      <color rgb="FF000000"/>
      <name val="Calibri"/>
      <family val="2"/>
    </font>
    <font>
      <sz val="11"/>
      <color rgb="FFFF0000"/>
      <name val="Calibri"/>
      <family val="2"/>
    </font>
    <font>
      <b/>
      <sz val="11"/>
      <color theme="1"/>
      <name val="Calibri"/>
      <family val="2"/>
      <scheme val="minor"/>
    </font>
    <font>
      <sz val="11"/>
      <name val="Calibri"/>
      <family val="2"/>
      <scheme val="minor"/>
    </font>
    <font>
      <sz val="11"/>
      <color theme="8" tint="-0.499984740745262"/>
      <name val="Calibri"/>
      <family val="2"/>
    </font>
    <font>
      <sz val="11"/>
      <name val="Calibri"/>
      <family val="2"/>
    </font>
    <font>
      <sz val="11"/>
      <color rgb="FFFF0000"/>
      <name val="Calibri"/>
      <family val="2"/>
      <scheme val="minor"/>
    </font>
    <font>
      <sz val="11"/>
      <color rgb="FF00B050"/>
      <name val="Calibri"/>
      <family val="2"/>
      <scheme val="minor"/>
    </font>
    <font>
      <b/>
      <sz val="11"/>
      <name val="Calibri"/>
      <family val="2"/>
    </font>
    <font>
      <sz val="14"/>
      <name val="Calibri"/>
      <family val="2"/>
      <scheme val="minor"/>
    </font>
    <font>
      <b/>
      <sz val="11"/>
      <name val="Calibri"/>
      <family val="2"/>
      <scheme val="minor"/>
    </font>
    <font>
      <sz val="8"/>
      <name val="Calibri"/>
      <family val="2"/>
      <scheme val="minor"/>
    </font>
    <font>
      <sz val="8"/>
      <color rgb="FF000000"/>
      <name val="Calibri"/>
      <family val="2"/>
      <scheme val="minor"/>
    </font>
    <font>
      <b/>
      <sz val="11"/>
      <color rgb="FFFF0000"/>
      <name val="Calibri"/>
      <family val="2"/>
    </font>
    <font>
      <sz val="11"/>
      <color theme="1"/>
      <name val="Calibri"/>
      <family val="2"/>
      <scheme val="minor"/>
    </font>
    <font>
      <sz val="10"/>
      <color rgb="FF000000"/>
      <name val="Arial"/>
      <family val="2"/>
    </font>
    <font>
      <sz val="11"/>
      <color rgb="FF000000"/>
      <name val="Arial"/>
      <family val="2"/>
    </font>
    <font>
      <b/>
      <sz val="11"/>
      <color theme="1"/>
      <name val="Arial"/>
      <family val="2"/>
    </font>
    <font>
      <b/>
      <sz val="12"/>
      <color theme="1"/>
      <name val="Arial"/>
      <family val="2"/>
    </font>
    <font>
      <sz val="10"/>
      <color rgb="FF000000"/>
      <name val="Arial"/>
      <family val="2"/>
    </font>
    <font>
      <b/>
      <sz val="11"/>
      <color rgb="FF000000"/>
      <name val="Arial"/>
      <family val="2"/>
    </font>
    <font>
      <sz val="11"/>
      <color theme="1"/>
      <name val="Arial"/>
      <family val="2"/>
    </font>
    <font>
      <b/>
      <sz val="9"/>
      <color theme="0"/>
      <name val="Arial"/>
      <family val="2"/>
    </font>
    <font>
      <b/>
      <sz val="9"/>
      <name val="Arial"/>
      <family val="2"/>
    </font>
    <font>
      <sz val="9"/>
      <name val="Arial"/>
      <family val="2"/>
    </font>
    <font>
      <sz val="9"/>
      <color rgb="FF000000"/>
      <name val="Arial"/>
      <family val="2"/>
    </font>
    <font>
      <b/>
      <sz val="9"/>
      <color rgb="FF000000"/>
      <name val="Arial"/>
      <family val="2"/>
    </font>
    <font>
      <b/>
      <sz val="9"/>
      <color rgb="FFFFFFFF"/>
      <name val="Arial"/>
      <family val="2"/>
    </font>
    <font>
      <sz val="8"/>
      <name val="Arial"/>
      <family val="2"/>
    </font>
    <font>
      <sz val="10"/>
      <color rgb="FF000000"/>
      <name val="Calibri Light"/>
      <family val="2"/>
      <scheme val="major"/>
    </font>
    <font>
      <b/>
      <sz val="14"/>
      <name val="Calibri"/>
      <family val="2"/>
      <scheme val="minor"/>
    </font>
    <font>
      <sz val="14"/>
      <color rgb="FFFF0000"/>
      <name val="Calibri"/>
      <family val="2"/>
      <scheme val="minor"/>
    </font>
    <font>
      <sz val="14"/>
      <color rgb="FFFF0000"/>
      <name val="Calibri"/>
      <family val="2"/>
    </font>
    <font>
      <sz val="11"/>
      <color theme="1"/>
      <name val="Calibri"/>
      <family val="2"/>
    </font>
    <font>
      <b/>
      <sz val="16"/>
      <name val="Calibri"/>
      <family val="2"/>
      <scheme val="minor"/>
    </font>
    <font>
      <b/>
      <sz val="12"/>
      <name val="Calibri"/>
      <family val="2"/>
      <scheme val="minor"/>
    </font>
    <font>
      <b/>
      <sz val="12"/>
      <name val="Calibri"/>
      <family val="2"/>
    </font>
    <font>
      <b/>
      <sz val="12"/>
      <color rgb="FF000000"/>
      <name val="Calibri"/>
      <family val="2"/>
    </font>
    <font>
      <sz val="10"/>
      <color theme="1"/>
      <name val="Calibri"/>
      <family val="2"/>
      <scheme val="minor"/>
    </font>
    <font>
      <sz val="10"/>
      <name val="Calibri"/>
      <family val="2"/>
    </font>
    <font>
      <sz val="10"/>
      <color rgb="FF000000"/>
      <name val="Calibri"/>
      <family val="2"/>
    </font>
    <font>
      <b/>
      <sz val="10"/>
      <name val="Calibri"/>
      <family val="2"/>
    </font>
    <font>
      <i/>
      <sz val="10"/>
      <name val="Calibri"/>
      <family val="2"/>
    </font>
    <font>
      <sz val="10"/>
      <name val="Calibri"/>
      <family val="2"/>
      <scheme val="minor"/>
    </font>
    <font>
      <sz val="10"/>
      <color theme="1"/>
      <name val="Calibri"/>
      <family val="2"/>
    </font>
    <font>
      <b/>
      <sz val="11"/>
      <color theme="1"/>
      <name val="Calibri"/>
      <family val="2"/>
    </font>
    <font>
      <sz val="11"/>
      <color theme="4"/>
      <name val="Arial"/>
      <family val="2"/>
    </font>
    <font>
      <sz val="11"/>
      <color theme="4"/>
      <name val="Calibri"/>
      <family val="2"/>
      <scheme val="minor"/>
    </font>
    <font>
      <b/>
      <sz val="14"/>
      <color rgb="FFFF0000"/>
      <name val="Calibri"/>
      <family val="2"/>
      <scheme val="minor"/>
    </font>
    <font>
      <b/>
      <sz val="20"/>
      <name val="Calibri"/>
      <family val="2"/>
      <scheme val="minor"/>
    </font>
    <font>
      <b/>
      <sz val="18"/>
      <name val="Calibri"/>
      <family val="2"/>
      <scheme val="minor"/>
    </font>
    <font>
      <b/>
      <sz val="10"/>
      <name val="Calibri"/>
      <family val="2"/>
      <scheme val="minor"/>
    </font>
    <font>
      <sz val="10"/>
      <color rgb="FF000000"/>
      <name val="Calibri"/>
      <family val="2"/>
      <scheme val="minor"/>
    </font>
    <font>
      <b/>
      <sz val="10"/>
      <color theme="1"/>
      <name val="Calibri"/>
      <family val="2"/>
      <scheme val="minor"/>
    </font>
    <font>
      <sz val="10"/>
      <color rgb="FFFF0000"/>
      <name val="Calibri"/>
      <family val="2"/>
      <scheme val="minor"/>
    </font>
    <font>
      <sz val="10"/>
      <color rgb="FFFF0000"/>
      <name val="Calibri"/>
      <family val="2"/>
    </font>
    <font>
      <sz val="8"/>
      <color rgb="FFFF0000"/>
      <name val="Calibri"/>
      <family val="2"/>
      <scheme val="minor"/>
    </font>
    <font>
      <b/>
      <sz val="12"/>
      <color rgb="FFFF0000"/>
      <name val="Calibri"/>
      <family val="2"/>
    </font>
  </fonts>
  <fills count="19">
    <fill>
      <patternFill patternType="none"/>
    </fill>
    <fill>
      <patternFill patternType="gray125"/>
    </fill>
    <fill>
      <patternFill patternType="solid">
        <fgColor rgb="FFAEAAAA"/>
        <bgColor indexed="64"/>
      </patternFill>
    </fill>
    <fill>
      <patternFill patternType="solid">
        <fgColor rgb="FFD0CECE"/>
        <bgColor indexed="64"/>
      </patternFill>
    </fill>
    <fill>
      <patternFill patternType="solid">
        <fgColor rgb="FFFFFFFF"/>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bgColor indexed="64"/>
      </patternFill>
    </fill>
    <fill>
      <patternFill patternType="solid">
        <fgColor theme="7" tint="0.59999389629810485"/>
        <bgColor indexed="64"/>
      </patternFill>
    </fill>
    <fill>
      <patternFill patternType="solid">
        <fgColor rgb="FF00376F"/>
      </patternFill>
    </fill>
    <fill>
      <patternFill patternType="solid">
        <fgColor theme="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xf numFmtId="43" fontId="16" fillId="0" borderId="0" applyFont="0" applyFill="0" applyBorder="0" applyAlignment="0" applyProtection="0"/>
    <xf numFmtId="0" fontId="17" fillId="0" borderId="0"/>
    <xf numFmtId="43" fontId="21" fillId="0" borderId="0" applyFont="0" applyFill="0" applyBorder="0" applyAlignment="0" applyProtection="0"/>
    <xf numFmtId="9" fontId="21" fillId="0" borderId="0" applyFont="0" applyFill="0" applyBorder="0" applyAlignment="0" applyProtection="0"/>
    <xf numFmtId="0" fontId="16" fillId="0" borderId="0"/>
    <xf numFmtId="44" fontId="16" fillId="0" borderId="0" applyFont="0" applyFill="0" applyBorder="0" applyAlignment="0" applyProtection="0"/>
    <xf numFmtId="43" fontId="17" fillId="0" borderId="0" applyFont="0" applyFill="0" applyBorder="0" applyAlignment="0" applyProtection="0"/>
    <xf numFmtId="9" fontId="17" fillId="0" borderId="0" applyFont="0" applyFill="0" applyBorder="0" applyAlignment="0" applyProtection="0"/>
  </cellStyleXfs>
  <cellXfs count="506">
    <xf numFmtId="0" fontId="0" fillId="0" borderId="0" xfId="0"/>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wrapText="1"/>
    </xf>
    <xf numFmtId="0" fontId="3" fillId="3" borderId="0" xfId="0" applyFont="1" applyFill="1" applyAlignment="1">
      <alignment vertical="center"/>
    </xf>
    <xf numFmtId="0" fontId="2" fillId="0" borderId="1" xfId="0" applyFont="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xf>
    <xf numFmtId="0" fontId="4"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wrapText="1"/>
    </xf>
    <xf numFmtId="0" fontId="0" fillId="0" borderId="6" xfId="0" applyBorder="1" applyAlignment="1">
      <alignment horizontal="center" vertical="center"/>
    </xf>
    <xf numFmtId="0" fontId="1" fillId="0" borderId="7" xfId="0" applyFont="1" applyBorder="1" applyAlignment="1">
      <alignment horizontal="center" vertical="center"/>
    </xf>
    <xf numFmtId="0" fontId="0" fillId="0" borderId="8" xfId="0" applyBorder="1" applyAlignment="1">
      <alignment horizontal="center" vertical="center"/>
    </xf>
    <xf numFmtId="0" fontId="2" fillId="0" borderId="9" xfId="0" applyFont="1" applyBorder="1" applyAlignment="1">
      <alignment horizontal="center" vertical="center"/>
    </xf>
    <xf numFmtId="0" fontId="2" fillId="0" borderId="9" xfId="0" applyFont="1" applyBorder="1" applyAlignment="1">
      <alignment horizontal="left" vertical="center" wrapText="1"/>
    </xf>
    <xf numFmtId="0" fontId="1" fillId="0" borderId="10" xfId="0" applyFont="1" applyBorder="1" applyAlignment="1">
      <alignment horizontal="center" vertical="center"/>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2" xfId="0" applyFont="1" applyBorder="1" applyAlignment="1">
      <alignment horizontal="left" vertical="center" wrapText="1"/>
    </xf>
    <xf numFmtId="0" fontId="1" fillId="0" borderId="5" xfId="0" applyFont="1" applyBorder="1" applyAlignment="1">
      <alignment horizontal="center" vertical="center"/>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3" fillId="0" borderId="9" xfId="0" applyFont="1" applyBorder="1" applyAlignment="1">
      <alignment horizontal="left" vertical="center" wrapText="1"/>
    </xf>
    <xf numFmtId="0" fontId="5" fillId="0" borderId="1" xfId="0" applyFont="1" applyBorder="1" applyAlignment="1">
      <alignment horizontal="center" vertical="center"/>
    </xf>
    <xf numFmtId="0" fontId="0" fillId="0" borderId="7" xfId="0" applyBorder="1" applyAlignment="1">
      <alignment horizontal="center" vertical="center"/>
    </xf>
    <xf numFmtId="0" fontId="5" fillId="0" borderId="7" xfId="0" applyFont="1" applyBorder="1" applyAlignment="1">
      <alignment horizontal="center" vertical="center"/>
    </xf>
    <xf numFmtId="0" fontId="1" fillId="4" borderId="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2" fillId="0" borderId="0" xfId="0" applyFont="1" applyAlignment="1">
      <alignment horizontal="left" vertical="center" wrapText="1"/>
    </xf>
    <xf numFmtId="0" fontId="0" fillId="0" borderId="9" xfId="0" applyBorder="1" applyAlignment="1">
      <alignment horizontal="center" vertical="center"/>
    </xf>
    <xf numFmtId="0" fontId="1" fillId="0" borderId="17" xfId="0" applyFont="1" applyBorder="1" applyAlignment="1">
      <alignment horizontal="center" vertical="center"/>
    </xf>
    <xf numFmtId="0" fontId="0" fillId="0" borderId="9" xfId="0"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horizontal="left" vertical="center" wrapText="1"/>
    </xf>
    <xf numFmtId="0" fontId="0" fillId="5" borderId="6" xfId="0" applyFill="1" applyBorder="1" applyAlignment="1">
      <alignment horizontal="center" vertical="center"/>
    </xf>
    <xf numFmtId="0" fontId="7" fillId="0" borderId="1" xfId="0" applyFont="1" applyBorder="1" applyAlignment="1">
      <alignment horizontal="left" vertical="center" wrapText="1"/>
    </xf>
    <xf numFmtId="0" fontId="2" fillId="5"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xf>
    <xf numFmtId="0" fontId="8" fillId="0" borderId="10"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0" fillId="0" borderId="1" xfId="0" applyFont="1" applyBorder="1" applyAlignment="1">
      <alignment horizontal="center" vertical="center" wrapText="1"/>
    </xf>
    <xf numFmtId="0" fontId="5" fillId="0" borderId="1" xfId="0" applyFont="1" applyBorder="1" applyAlignment="1">
      <alignment horizontal="center"/>
    </xf>
    <xf numFmtId="0" fontId="5" fillId="0" borderId="1" xfId="0" applyFont="1" applyBorder="1"/>
    <xf numFmtId="0" fontId="7"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7" borderId="0" xfId="0" applyFont="1" applyFill="1"/>
    <xf numFmtId="0" fontId="0" fillId="9" borderId="11" xfId="0" applyFill="1" applyBorder="1" applyAlignment="1">
      <alignment horizontal="center" vertical="center"/>
    </xf>
    <xf numFmtId="0" fontId="6" fillId="9" borderId="12" xfId="0" applyFont="1" applyFill="1" applyBorder="1" applyAlignment="1">
      <alignment horizontal="center" vertical="center" wrapText="1"/>
    </xf>
    <xf numFmtId="0" fontId="9" fillId="9" borderId="9" xfId="0" applyFont="1" applyFill="1" applyBorder="1" applyAlignment="1">
      <alignment horizontal="center" vertical="center" wrapText="1"/>
    </xf>
    <xf numFmtId="0" fontId="5" fillId="9" borderId="12" xfId="0" applyFont="1" applyFill="1" applyBorder="1" applyAlignment="1">
      <alignment horizontal="left" vertical="center" wrapText="1"/>
    </xf>
    <xf numFmtId="0" fontId="2" fillId="9" borderId="12" xfId="0" applyFont="1" applyFill="1" applyBorder="1" applyAlignment="1">
      <alignment horizontal="left" vertical="center" wrapText="1"/>
    </xf>
    <xf numFmtId="0" fontId="0" fillId="9" borderId="12" xfId="0" applyFill="1" applyBorder="1" applyAlignment="1">
      <alignment horizontal="center" vertical="center"/>
    </xf>
    <xf numFmtId="0" fontId="0" fillId="9" borderId="16" xfId="0" applyFill="1" applyBorder="1" applyAlignment="1">
      <alignment horizontal="center" vertical="center"/>
    </xf>
    <xf numFmtId="0" fontId="0" fillId="10" borderId="6" xfId="0" applyFill="1" applyBorder="1" applyAlignment="1">
      <alignment horizontal="center" vertical="center"/>
    </xf>
    <xf numFmtId="0" fontId="6" fillId="10" borderId="1" xfId="0" applyFont="1" applyFill="1" applyBorder="1" applyAlignment="1">
      <alignment horizontal="center" vertical="center" wrapText="1"/>
    </xf>
    <xf numFmtId="0" fontId="9" fillId="10" borderId="9" xfId="0" applyFont="1" applyFill="1" applyBorder="1" applyAlignment="1">
      <alignment horizontal="center" vertical="center" wrapText="1"/>
    </xf>
    <xf numFmtId="0" fontId="5" fillId="10" borderId="1" xfId="0" applyFont="1" applyFill="1" applyBorder="1" applyAlignment="1">
      <alignment horizontal="left" vertical="center" wrapText="1"/>
    </xf>
    <xf numFmtId="0" fontId="2" fillId="10" borderId="1" xfId="0" applyFont="1" applyFill="1" applyBorder="1" applyAlignment="1">
      <alignment horizontal="left" vertical="center" wrapText="1"/>
    </xf>
    <xf numFmtId="0" fontId="5" fillId="10" borderId="1" xfId="0" applyFont="1" applyFill="1" applyBorder="1" applyAlignment="1">
      <alignment horizontal="center" vertical="center"/>
    </xf>
    <xf numFmtId="0" fontId="0" fillId="10" borderId="14" xfId="0" applyFill="1" applyBorder="1" applyAlignment="1">
      <alignment horizontal="center" vertical="center"/>
    </xf>
    <xf numFmtId="0" fontId="0" fillId="8" borderId="8" xfId="0" applyFill="1" applyBorder="1" applyAlignment="1">
      <alignment horizontal="center" vertical="center"/>
    </xf>
    <xf numFmtId="0" fontId="0" fillId="8" borderId="9" xfId="0" applyFill="1" applyBorder="1" applyAlignment="1">
      <alignment horizontal="center" vertical="center"/>
    </xf>
    <xf numFmtId="0" fontId="9" fillId="8" borderId="9" xfId="0" applyFont="1" applyFill="1" applyBorder="1" applyAlignment="1">
      <alignment horizontal="center" vertical="center" wrapText="1"/>
    </xf>
    <xf numFmtId="0" fontId="5" fillId="8" borderId="9" xfId="0" applyFont="1" applyFill="1" applyBorder="1" applyAlignment="1">
      <alignment horizontal="left" vertical="center" wrapText="1"/>
    </xf>
    <xf numFmtId="0" fontId="2" fillId="8" borderId="9" xfId="0" applyFont="1" applyFill="1" applyBorder="1" applyAlignment="1">
      <alignment horizontal="left" vertical="center" wrapText="1"/>
    </xf>
    <xf numFmtId="0" fontId="2" fillId="8" borderId="9" xfId="0" applyFont="1" applyFill="1" applyBorder="1" applyAlignment="1">
      <alignment vertical="center"/>
    </xf>
    <xf numFmtId="0" fontId="1" fillId="8" borderId="15" xfId="0" applyFont="1" applyFill="1" applyBorder="1" applyAlignment="1">
      <alignment horizontal="center" vertical="center"/>
    </xf>
    <xf numFmtId="0" fontId="5" fillId="12" borderId="1" xfId="0" applyFont="1" applyFill="1" applyBorder="1" applyAlignment="1">
      <alignment horizontal="center" vertical="center"/>
    </xf>
    <xf numFmtId="0" fontId="1" fillId="0" borderId="20" xfId="0" applyFont="1" applyBorder="1" applyAlignment="1">
      <alignment horizontal="center" vertical="center"/>
    </xf>
    <xf numFmtId="0" fontId="17" fillId="0" borderId="0" xfId="2"/>
    <xf numFmtId="0" fontId="18" fillId="0" borderId="0" xfId="2" applyFont="1"/>
    <xf numFmtId="0" fontId="19" fillId="0" borderId="0" xfId="2" applyFont="1"/>
    <xf numFmtId="0" fontId="20" fillId="0" borderId="0" xfId="2" applyFont="1"/>
    <xf numFmtId="0" fontId="18" fillId="0" borderId="0" xfId="2" applyFont="1" applyAlignment="1">
      <alignment horizontal="center" vertical="center"/>
    </xf>
    <xf numFmtId="0" fontId="19" fillId="0" borderId="0" xfId="2" applyFont="1" applyAlignment="1">
      <alignment horizontal="right"/>
    </xf>
    <xf numFmtId="164" fontId="19" fillId="0" borderId="0" xfId="2" applyNumberFormat="1" applyFont="1" applyAlignment="1">
      <alignment horizontal="left"/>
    </xf>
    <xf numFmtId="10" fontId="18" fillId="0" borderId="12" xfId="2" applyNumberFormat="1" applyFont="1" applyBorder="1" applyAlignment="1">
      <alignment horizontal="center"/>
    </xf>
    <xf numFmtId="0" fontId="22" fillId="0" borderId="0" xfId="2" applyFont="1" applyAlignment="1">
      <alignment horizontal="center"/>
    </xf>
    <xf numFmtId="0" fontId="22" fillId="0" borderId="0" xfId="2" applyFont="1" applyAlignment="1">
      <alignment horizontal="center" vertical="center"/>
    </xf>
    <xf numFmtId="0" fontId="22" fillId="0" borderId="0" xfId="2" applyFont="1" applyAlignment="1">
      <alignment horizontal="left"/>
    </xf>
    <xf numFmtId="0" fontId="18" fillId="0" borderId="0" xfId="2" applyFont="1" applyAlignment="1">
      <alignment horizontal="left" vertical="top"/>
    </xf>
    <xf numFmtId="0" fontId="18" fillId="0" borderId="0" xfId="2" applyFont="1" applyAlignment="1">
      <alignment horizontal="left"/>
    </xf>
    <xf numFmtId="0" fontId="23" fillId="0" borderId="0" xfId="5" applyFont="1" applyAlignment="1">
      <alignment horizontal="left" vertical="top" indent="1"/>
    </xf>
    <xf numFmtId="0" fontId="23" fillId="0" borderId="0" xfId="5" applyFont="1" applyAlignment="1">
      <alignment horizontal="left" indent="1"/>
    </xf>
    <xf numFmtId="0" fontId="23" fillId="0" borderId="0" xfId="5" applyFont="1" applyAlignment="1">
      <alignment horizontal="center" vertical="top"/>
    </xf>
    <xf numFmtId="165" fontId="23" fillId="0" borderId="0" xfId="5" applyNumberFormat="1" applyFont="1" applyAlignment="1">
      <alignment horizontal="right" vertical="top"/>
    </xf>
    <xf numFmtId="0" fontId="23" fillId="0" borderId="0" xfId="5" applyFont="1" applyAlignment="1">
      <alignment horizontal="left" wrapText="1" indent="1"/>
    </xf>
    <xf numFmtId="0" fontId="22" fillId="0" borderId="0" xfId="2" applyFont="1" applyAlignment="1">
      <alignment horizontal="right"/>
    </xf>
    <xf numFmtId="0" fontId="18" fillId="0" borderId="0" xfId="2" applyFont="1" applyAlignment="1">
      <alignment horizontal="center"/>
    </xf>
    <xf numFmtId="43" fontId="18" fillId="0" borderId="0" xfId="2" applyNumberFormat="1" applyFont="1"/>
    <xf numFmtId="0" fontId="1" fillId="0" borderId="1" xfId="2" applyFont="1" applyBorder="1" applyAlignment="1">
      <alignment horizontal="center" vertical="center"/>
    </xf>
    <xf numFmtId="0" fontId="18" fillId="0" borderId="19" xfId="2" applyFont="1" applyBorder="1" applyAlignment="1">
      <alignment horizontal="center"/>
    </xf>
    <xf numFmtId="0" fontId="18" fillId="0" borderId="19" xfId="2" applyFont="1" applyBorder="1" applyAlignment="1">
      <alignment horizontal="left"/>
    </xf>
    <xf numFmtId="0" fontId="18" fillId="0" borderId="19" xfId="2" applyFont="1" applyBorder="1" applyAlignment="1">
      <alignment horizontal="center" vertical="center"/>
    </xf>
    <xf numFmtId="4" fontId="18" fillId="0" borderId="0" xfId="2" applyNumberFormat="1" applyFont="1"/>
    <xf numFmtId="0" fontId="24" fillId="13" borderId="25" xfId="2" applyFont="1" applyFill="1" applyBorder="1" applyAlignment="1">
      <alignment vertical="top"/>
    </xf>
    <xf numFmtId="0" fontId="25" fillId="13" borderId="25" xfId="2" applyFont="1" applyFill="1" applyBorder="1" applyAlignment="1">
      <alignment vertical="top"/>
    </xf>
    <xf numFmtId="0" fontId="17" fillId="0" borderId="0" xfId="2" applyAlignment="1">
      <alignment horizontal="left" vertical="top"/>
    </xf>
    <xf numFmtId="0" fontId="25" fillId="0" borderId="25" xfId="2" applyFont="1" applyBorder="1" applyAlignment="1">
      <alignment horizontal="centerContinuous" vertical="top"/>
    </xf>
    <xf numFmtId="0" fontId="25" fillId="0" borderId="26" xfId="2" applyFont="1" applyBorder="1" applyAlignment="1">
      <alignment horizontal="centerContinuous" vertical="top"/>
    </xf>
    <xf numFmtId="0" fontId="25" fillId="0" borderId="27" xfId="2" applyFont="1" applyBorder="1" applyAlignment="1">
      <alignment horizontal="center" vertical="top"/>
    </xf>
    <xf numFmtId="0" fontId="25" fillId="0" borderId="28" xfId="2" applyFont="1" applyBorder="1" applyAlignment="1">
      <alignment horizontal="center" vertical="top"/>
    </xf>
    <xf numFmtId="0" fontId="26" fillId="0" borderId="29" xfId="2" applyFont="1" applyBorder="1" applyAlignment="1">
      <alignment horizontal="left"/>
    </xf>
    <xf numFmtId="0" fontId="26" fillId="0" borderId="32" xfId="2" applyFont="1" applyBorder="1" applyAlignment="1">
      <alignment horizontal="left" vertical="top"/>
    </xf>
    <xf numFmtId="0" fontId="26" fillId="0" borderId="35" xfId="2" applyFont="1" applyBorder="1" applyAlignment="1">
      <alignment horizontal="left" vertical="top"/>
    </xf>
    <xf numFmtId="0" fontId="26" fillId="0" borderId="26" xfId="2" applyFont="1" applyBorder="1" applyAlignment="1">
      <alignment horizontal="left" vertical="top"/>
    </xf>
    <xf numFmtId="0" fontId="26" fillId="0" borderId="29" xfId="2" applyFont="1" applyBorder="1" applyAlignment="1">
      <alignment horizontal="left" vertical="top"/>
    </xf>
    <xf numFmtId="0" fontId="25" fillId="13" borderId="26" xfId="2" applyFont="1" applyFill="1" applyBorder="1" applyAlignment="1">
      <alignment vertical="top"/>
    </xf>
    <xf numFmtId="2" fontId="29" fillId="13" borderId="27" xfId="2" applyNumberFormat="1" applyFont="1" applyFill="1" applyBorder="1" applyAlignment="1">
      <alignment horizontal="center" vertical="top" shrinkToFit="1"/>
    </xf>
    <xf numFmtId="0" fontId="30" fillId="0" borderId="0" xfId="2" applyFont="1"/>
    <xf numFmtId="0" fontId="30" fillId="0" borderId="0" xfId="2" applyFont="1" applyAlignment="1">
      <alignment vertical="top"/>
    </xf>
    <xf numFmtId="43" fontId="18" fillId="0" borderId="0" xfId="1" applyFont="1"/>
    <xf numFmtId="0" fontId="18" fillId="0" borderId="24" xfId="0" applyFont="1" applyBorder="1" applyAlignment="1">
      <alignment horizontal="center" vertical="center" wrapText="1"/>
    </xf>
    <xf numFmtId="43" fontId="5" fillId="12" borderId="1" xfId="1" applyFont="1" applyFill="1" applyBorder="1" applyAlignment="1">
      <alignment horizontal="center" vertical="center"/>
    </xf>
    <xf numFmtId="43" fontId="5" fillId="0" borderId="1" xfId="1" applyFont="1" applyBorder="1"/>
    <xf numFmtId="43" fontId="0" fillId="0" borderId="0" xfId="1" applyFont="1"/>
    <xf numFmtId="43" fontId="5" fillId="12" borderId="1" xfId="0" applyNumberFormat="1" applyFont="1" applyFill="1" applyBorder="1" applyAlignment="1">
      <alignment horizontal="center" vertical="center"/>
    </xf>
    <xf numFmtId="43" fontId="12" fillId="0" borderId="1" xfId="0" applyNumberFormat="1" applyFont="1" applyBorder="1"/>
    <xf numFmtId="43" fontId="12" fillId="0" borderId="1" xfId="1" applyFont="1" applyBorder="1"/>
    <xf numFmtId="43" fontId="12" fillId="11" borderId="1" xfId="1" applyFont="1" applyFill="1" applyBorder="1" applyAlignment="1">
      <alignment horizontal="center" vertical="center"/>
    </xf>
    <xf numFmtId="0" fontId="12" fillId="11" borderId="1" xfId="0" applyFont="1" applyFill="1" applyBorder="1" applyAlignment="1">
      <alignment horizontal="center" vertical="center"/>
    </xf>
    <xf numFmtId="0" fontId="10" fillId="0" borderId="20" xfId="0" applyFont="1" applyBorder="1" applyAlignment="1">
      <alignment horizontal="center" vertical="center"/>
    </xf>
    <xf numFmtId="0" fontId="33" fillId="0" borderId="1" xfId="0" applyFont="1" applyBorder="1" applyAlignment="1">
      <alignment horizontal="center" vertical="center"/>
    </xf>
    <xf numFmtId="0" fontId="34" fillId="0" borderId="1" xfId="0" applyFont="1" applyBorder="1" applyAlignment="1">
      <alignment horizontal="center" vertical="center" wrapText="1"/>
    </xf>
    <xf numFmtId="0" fontId="34" fillId="0" borderId="1" xfId="0" applyFont="1" applyBorder="1" applyAlignment="1">
      <alignment horizontal="center" wrapText="1"/>
    </xf>
    <xf numFmtId="0" fontId="15" fillId="0" borderId="1" xfId="0" applyFont="1" applyBorder="1" applyAlignment="1">
      <alignment horizontal="center" vertical="center"/>
    </xf>
    <xf numFmtId="0" fontId="8" fillId="0" borderId="1" xfId="0" applyFont="1" applyBorder="1" applyAlignment="1">
      <alignment horizontal="center" vertical="center"/>
    </xf>
    <xf numFmtId="0" fontId="5" fillId="0" borderId="1" xfId="0" applyFont="1" applyBorder="1" applyAlignment="1">
      <alignment horizontal="left" vertical="center"/>
    </xf>
    <xf numFmtId="0" fontId="7" fillId="10" borderId="1" xfId="0" applyFont="1" applyFill="1" applyBorder="1" applyAlignment="1">
      <alignment horizontal="left" vertical="center" wrapText="1"/>
    </xf>
    <xf numFmtId="0" fontId="7" fillId="10" borderId="1" xfId="0" applyFont="1" applyFill="1" applyBorder="1" applyAlignment="1">
      <alignment horizontal="center" vertical="center" wrapText="1"/>
    </xf>
    <xf numFmtId="0" fontId="0" fillId="6" borderId="1" xfId="0" applyFill="1" applyBorder="1" applyAlignment="1">
      <alignment vertical="center" wrapText="1"/>
    </xf>
    <xf numFmtId="0" fontId="7" fillId="6"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18" fillId="10" borderId="1" xfId="0" applyFont="1" applyFill="1" applyBorder="1" applyAlignment="1">
      <alignment horizontal="center" vertical="center" wrapText="1"/>
    </xf>
    <xf numFmtId="0" fontId="37" fillId="0" borderId="1" xfId="0" applyFont="1" applyBorder="1" applyAlignment="1">
      <alignment horizontal="center"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41" fillId="10" borderId="1" xfId="0" applyFont="1" applyFill="1" applyBorder="1" applyAlignment="1">
      <alignment horizontal="left" vertical="center" wrapText="1"/>
    </xf>
    <xf numFmtId="0" fontId="42" fillId="10" borderId="1" xfId="0" applyFont="1" applyFill="1" applyBorder="1" applyAlignment="1">
      <alignment horizontal="left" vertical="center" wrapText="1"/>
    </xf>
    <xf numFmtId="0" fontId="41" fillId="10" borderId="1" xfId="0" applyFont="1" applyFill="1" applyBorder="1" applyAlignment="1">
      <alignment horizontal="center" vertical="center" wrapText="1"/>
    </xf>
    <xf numFmtId="0" fontId="41" fillId="10" borderId="1" xfId="0" applyFont="1" applyFill="1" applyBorder="1" applyAlignment="1">
      <alignment vertical="center" wrapText="1"/>
    </xf>
    <xf numFmtId="0" fontId="41" fillId="10" borderId="1" xfId="0" applyFont="1" applyFill="1" applyBorder="1" applyAlignment="1">
      <alignment vertical="top" wrapText="1"/>
    </xf>
    <xf numFmtId="0" fontId="43" fillId="10" borderId="1" xfId="0" applyFont="1" applyFill="1" applyBorder="1" applyAlignment="1">
      <alignment horizontal="center" vertical="center"/>
    </xf>
    <xf numFmtId="0" fontId="43" fillId="10" borderId="1" xfId="0" applyFont="1" applyFill="1" applyBorder="1" applyAlignment="1">
      <alignment vertical="center" wrapText="1"/>
    </xf>
    <xf numFmtId="0" fontId="40" fillId="6" borderId="1" xfId="0" applyFont="1" applyFill="1" applyBorder="1" applyAlignment="1">
      <alignment vertical="center" wrapText="1"/>
    </xf>
    <xf numFmtId="0" fontId="17" fillId="6" borderId="1" xfId="0" applyFont="1" applyFill="1" applyBorder="1" applyAlignment="1">
      <alignment horizontal="center" vertical="center" wrapText="1"/>
    </xf>
    <xf numFmtId="0" fontId="41" fillId="6" borderId="1" xfId="0" applyFont="1" applyFill="1" applyBorder="1" applyAlignment="1">
      <alignment horizontal="left" vertical="top" wrapText="1"/>
    </xf>
    <xf numFmtId="0" fontId="43" fillId="6" borderId="1" xfId="0" applyFont="1" applyFill="1" applyBorder="1" applyAlignment="1">
      <alignment horizontal="center" vertical="center"/>
    </xf>
    <xf numFmtId="0" fontId="17" fillId="10" borderId="1" xfId="0" applyFont="1" applyFill="1" applyBorder="1" applyAlignment="1">
      <alignment horizontal="center" vertical="center" wrapText="1"/>
    </xf>
    <xf numFmtId="0" fontId="41" fillId="10" borderId="1" xfId="0" applyFont="1" applyFill="1" applyBorder="1" applyAlignment="1">
      <alignment horizontal="left" vertical="top" wrapText="1"/>
    </xf>
    <xf numFmtId="0" fontId="18" fillId="10" borderId="0" xfId="2" applyFont="1" applyFill="1" applyAlignment="1">
      <alignment horizontal="center"/>
    </xf>
    <xf numFmtId="0" fontId="18" fillId="10" borderId="0" xfId="2" applyFont="1" applyFill="1" applyAlignment="1">
      <alignment horizontal="left"/>
    </xf>
    <xf numFmtId="43" fontId="18" fillId="10" borderId="0" xfId="2" applyNumberFormat="1" applyFont="1" applyFill="1"/>
    <xf numFmtId="0" fontId="18" fillId="10" borderId="0" xfId="2" applyFont="1" applyFill="1" applyAlignment="1">
      <alignment horizontal="center" vertical="center"/>
    </xf>
    <xf numFmtId="0" fontId="18" fillId="10" borderId="0" xfId="2" applyFont="1" applyFill="1"/>
    <xf numFmtId="0" fontId="39" fillId="0" borderId="1" xfId="0" applyFont="1" applyBorder="1" applyAlignment="1">
      <alignment horizontal="center" vertical="center"/>
    </xf>
    <xf numFmtId="0" fontId="40" fillId="10" borderId="1" xfId="0" applyFont="1" applyFill="1" applyBorder="1" applyAlignment="1">
      <alignment vertical="center" wrapText="1"/>
    </xf>
    <xf numFmtId="0" fontId="40" fillId="10" borderId="1" xfId="0" applyFont="1" applyFill="1" applyBorder="1" applyAlignment="1">
      <alignment horizontal="center" vertical="center" wrapText="1"/>
    </xf>
    <xf numFmtId="0" fontId="31" fillId="10" borderId="1" xfId="0" applyFont="1" applyFill="1" applyBorder="1" applyAlignment="1">
      <alignment horizontal="left" vertical="center"/>
    </xf>
    <xf numFmtId="0" fontId="0" fillId="6" borderId="1" xfId="0" applyFill="1" applyBorder="1"/>
    <xf numFmtId="0" fontId="0" fillId="6" borderId="1" xfId="0" applyFill="1" applyBorder="1" applyAlignment="1">
      <alignment horizontal="center" vertical="center"/>
    </xf>
    <xf numFmtId="43" fontId="0" fillId="6" borderId="1" xfId="1" applyFont="1" applyFill="1" applyBorder="1"/>
    <xf numFmtId="0" fontId="0" fillId="10" borderId="1" xfId="0" applyFill="1" applyBorder="1"/>
    <xf numFmtId="0" fontId="0" fillId="10" borderId="1" xfId="0" applyFill="1" applyBorder="1" applyAlignment="1">
      <alignment horizontal="center" vertical="center"/>
    </xf>
    <xf numFmtId="43" fontId="0" fillId="10" borderId="1" xfId="1" applyFont="1" applyFill="1" applyBorder="1"/>
    <xf numFmtId="0" fontId="18" fillId="10" borderId="1" xfId="2" applyFont="1" applyFill="1" applyBorder="1"/>
    <xf numFmtId="0" fontId="40" fillId="6" borderId="20" xfId="0" applyFont="1" applyFill="1" applyBorder="1" applyAlignment="1">
      <alignment vertical="center" wrapText="1"/>
    </xf>
    <xf numFmtId="0" fontId="40" fillId="0" borderId="0" xfId="0" applyFont="1" applyAlignment="1">
      <alignment vertical="center" wrapText="1"/>
    </xf>
    <xf numFmtId="43" fontId="0" fillId="0" borderId="0" xfId="1" applyFont="1" applyBorder="1"/>
    <xf numFmtId="0" fontId="31" fillId="6" borderId="1" xfId="0" applyFont="1" applyFill="1" applyBorder="1" applyAlignment="1">
      <alignment horizontal="left" vertical="center"/>
    </xf>
    <xf numFmtId="0" fontId="18" fillId="6" borderId="1" xfId="2" applyFont="1" applyFill="1" applyBorder="1"/>
    <xf numFmtId="0" fontId="5" fillId="0" borderId="0" xfId="0" applyFont="1"/>
    <xf numFmtId="0" fontId="5" fillId="0" borderId="0" xfId="0" applyFont="1" applyAlignment="1">
      <alignment horizontal="center" vertical="center"/>
    </xf>
    <xf numFmtId="0" fontId="8" fillId="0" borderId="0" xfId="0" applyFont="1" applyAlignment="1">
      <alignment horizontal="center" vertical="center"/>
    </xf>
    <xf numFmtId="44" fontId="43" fillId="0" borderId="21" xfId="6" applyFont="1" applyFill="1" applyBorder="1" applyAlignment="1">
      <alignment vertical="center" wrapText="1"/>
    </xf>
    <xf numFmtId="0" fontId="14" fillId="10" borderId="1" xfId="0" applyFont="1" applyFill="1" applyBorder="1" applyAlignment="1">
      <alignment vertical="center" wrapText="1"/>
    </xf>
    <xf numFmtId="0" fontId="0" fillId="10" borderId="1" xfId="0" applyFill="1" applyBorder="1" applyAlignment="1">
      <alignment horizontal="center" vertical="center" wrapText="1"/>
    </xf>
    <xf numFmtId="0" fontId="41" fillId="6" borderId="1" xfId="0" applyFont="1" applyFill="1" applyBorder="1" applyAlignment="1">
      <alignment horizontal="left" vertical="center" wrapText="1"/>
    </xf>
    <xf numFmtId="0" fontId="14" fillId="6" borderId="1" xfId="0" applyFont="1" applyFill="1" applyBorder="1" applyAlignment="1">
      <alignment vertical="center" wrapText="1"/>
    </xf>
    <xf numFmtId="0" fontId="0" fillId="6" borderId="1" xfId="0" applyFill="1" applyBorder="1" applyAlignment="1">
      <alignment horizontal="center" vertical="center" wrapText="1"/>
    </xf>
    <xf numFmtId="0" fontId="12" fillId="0" borderId="20" xfId="0" applyFont="1" applyBorder="1" applyAlignment="1">
      <alignment horizontal="center" vertical="center"/>
    </xf>
    <xf numFmtId="0" fontId="10" fillId="0" borderId="22" xfId="0" applyFont="1" applyBorder="1" applyAlignment="1">
      <alignment horizontal="center" vertical="center"/>
    </xf>
    <xf numFmtId="0" fontId="10" fillId="0" borderId="20" xfId="0" applyFont="1" applyBorder="1" applyAlignment="1">
      <alignment horizontal="center" vertical="center" wrapText="1"/>
    </xf>
    <xf numFmtId="0" fontId="41" fillId="6" borderId="1" xfId="0" applyFont="1" applyFill="1" applyBorder="1" applyAlignment="1">
      <alignment vertical="center" wrapText="1"/>
    </xf>
    <xf numFmtId="0" fontId="41" fillId="0" borderId="1" xfId="0" applyFont="1" applyBorder="1" applyAlignment="1">
      <alignment horizontal="left" vertical="center" wrapText="1"/>
    </xf>
    <xf numFmtId="0" fontId="0" fillId="10" borderId="1" xfId="0" applyFill="1" applyBorder="1" applyAlignment="1">
      <alignment vertical="center"/>
    </xf>
    <xf numFmtId="0" fontId="0" fillId="6" borderId="1" xfId="0" applyFill="1" applyBorder="1" applyAlignment="1">
      <alignment vertical="center"/>
    </xf>
    <xf numFmtId="0" fontId="0" fillId="10" borderId="1" xfId="0" applyFill="1" applyBorder="1" applyAlignment="1">
      <alignment vertical="center" wrapText="1"/>
    </xf>
    <xf numFmtId="0" fontId="12" fillId="7" borderId="0" xfId="0" applyFont="1" applyFill="1"/>
    <xf numFmtId="0" fontId="4" fillId="0" borderId="0" xfId="0" applyFont="1"/>
    <xf numFmtId="43" fontId="0" fillId="10" borderId="1" xfId="1" applyFont="1" applyFill="1" applyBorder="1" applyAlignment="1">
      <alignment vertical="center"/>
    </xf>
    <xf numFmtId="43" fontId="43" fillId="10" borderId="1" xfId="1" applyFont="1" applyFill="1" applyBorder="1" applyAlignment="1">
      <alignment vertical="center" wrapText="1"/>
    </xf>
    <xf numFmtId="43" fontId="0" fillId="6" borderId="1" xfId="1" applyFont="1" applyFill="1" applyBorder="1" applyAlignment="1">
      <alignment vertical="center"/>
    </xf>
    <xf numFmtId="43" fontId="43" fillId="6" borderId="1" xfId="1" applyFont="1" applyFill="1" applyBorder="1" applyAlignment="1">
      <alignment vertical="center" wrapText="1"/>
    </xf>
    <xf numFmtId="0" fontId="41" fillId="0" borderId="1" xfId="0" applyFont="1" applyBorder="1" applyAlignment="1">
      <alignment horizontal="center" vertical="center" wrapText="1"/>
    </xf>
    <xf numFmtId="43" fontId="41" fillId="0" borderId="1" xfId="1" applyFont="1" applyFill="1" applyBorder="1" applyAlignment="1">
      <alignment horizontal="center" vertical="center" wrapText="1"/>
    </xf>
    <xf numFmtId="43" fontId="41" fillId="0" borderId="1" xfId="1" applyFont="1" applyFill="1" applyBorder="1" applyAlignment="1">
      <alignment vertical="center" wrapText="1"/>
    </xf>
    <xf numFmtId="43" fontId="4" fillId="12" borderId="0" xfId="1" applyFont="1" applyFill="1" applyBorder="1" applyAlignment="1">
      <alignment vertical="center"/>
    </xf>
    <xf numFmtId="0" fontId="0" fillId="12" borderId="0" xfId="0" applyFill="1" applyAlignment="1">
      <alignment vertical="center" wrapText="1"/>
    </xf>
    <xf numFmtId="0" fontId="5" fillId="12" borderId="0" xfId="0" applyFont="1" applyFill="1" applyAlignment="1">
      <alignment horizontal="left" vertical="center" wrapText="1"/>
    </xf>
    <xf numFmtId="0" fontId="0" fillId="12" borderId="0" xfId="0" applyFill="1" applyAlignment="1">
      <alignment vertical="center"/>
    </xf>
    <xf numFmtId="0" fontId="35" fillId="12" borderId="0" xfId="0" applyFont="1" applyFill="1" applyAlignment="1">
      <alignment horizontal="left" vertical="center" wrapText="1"/>
    </xf>
    <xf numFmtId="0" fontId="7" fillId="12" borderId="0" xfId="0" applyFont="1" applyFill="1" applyAlignment="1">
      <alignment horizontal="center" vertical="center" wrapText="1"/>
    </xf>
    <xf numFmtId="0" fontId="18" fillId="12" borderId="0" xfId="0" applyFont="1" applyFill="1" applyAlignment="1">
      <alignment horizontal="center" vertical="center" wrapText="1"/>
    </xf>
    <xf numFmtId="43" fontId="37" fillId="0" borderId="1" xfId="1" applyFont="1" applyFill="1" applyBorder="1" applyAlignment="1">
      <alignment horizontal="center" vertical="center" wrapText="1"/>
    </xf>
    <xf numFmtId="0" fontId="37" fillId="0" borderId="1" xfId="0" applyFont="1" applyBorder="1" applyAlignment="1">
      <alignment horizontal="center" vertical="center" wrapText="1"/>
    </xf>
    <xf numFmtId="0" fontId="0" fillId="14" borderId="0" xfId="0" applyFill="1"/>
    <xf numFmtId="43" fontId="0" fillId="14" borderId="0" xfId="1" applyFont="1" applyFill="1" applyBorder="1"/>
    <xf numFmtId="0" fontId="4" fillId="14" borderId="0" xfId="0" applyFont="1" applyFill="1" applyAlignment="1">
      <alignment horizontal="right" vertical="center"/>
    </xf>
    <xf numFmtId="43" fontId="4" fillId="14" borderId="0" xfId="0" applyNumberFormat="1" applyFont="1" applyFill="1"/>
    <xf numFmtId="43" fontId="43" fillId="0" borderId="1" xfId="1" applyFont="1" applyFill="1" applyBorder="1" applyAlignment="1">
      <alignment horizontal="center" vertical="center" wrapText="1"/>
    </xf>
    <xf numFmtId="43" fontId="43" fillId="0" borderId="1" xfId="1" applyFont="1" applyFill="1" applyBorder="1" applyAlignment="1">
      <alignment vertical="center" wrapText="1"/>
    </xf>
    <xf numFmtId="0" fontId="0" fillId="10" borderId="1" xfId="0" applyFill="1" applyBorder="1" applyAlignment="1">
      <alignment wrapText="1"/>
    </xf>
    <xf numFmtId="0" fontId="23" fillId="0" borderId="0" xfId="2" applyFont="1"/>
    <xf numFmtId="0" fontId="48" fillId="0" borderId="0" xfId="2" applyFont="1"/>
    <xf numFmtId="43" fontId="49" fillId="0" borderId="0" xfId="1" applyFont="1" applyFill="1"/>
    <xf numFmtId="43" fontId="49" fillId="0" borderId="0" xfId="1" applyFont="1"/>
    <xf numFmtId="43" fontId="0" fillId="0" borderId="1" xfId="0" applyNumberFormat="1" applyBorder="1"/>
    <xf numFmtId="43" fontId="0" fillId="0" borderId="1" xfId="1" applyFont="1" applyBorder="1"/>
    <xf numFmtId="0" fontId="0" fillId="0" borderId="1" xfId="0" applyBorder="1" applyAlignment="1">
      <alignment horizontal="center"/>
    </xf>
    <xf numFmtId="0" fontId="0" fillId="0" borderId="1" xfId="0" applyBorder="1"/>
    <xf numFmtId="0" fontId="18" fillId="0" borderId="1" xfId="2" applyFont="1" applyBorder="1"/>
    <xf numFmtId="0" fontId="4" fillId="0" borderId="1" xfId="0" applyFont="1" applyBorder="1"/>
    <xf numFmtId="43" fontId="4" fillId="0" borderId="24" xfId="0" applyNumberFormat="1" applyFont="1" applyBorder="1"/>
    <xf numFmtId="43" fontId="0" fillId="0" borderId="38" xfId="1" applyFont="1" applyBorder="1"/>
    <xf numFmtId="0" fontId="0" fillId="0" borderId="38" xfId="0" applyBorder="1" applyAlignment="1">
      <alignment horizontal="center" vertical="center"/>
    </xf>
    <xf numFmtId="0" fontId="0" fillId="0" borderId="38" xfId="0" applyBorder="1"/>
    <xf numFmtId="0" fontId="0" fillId="0" borderId="23" xfId="0" applyBorder="1"/>
    <xf numFmtId="43" fontId="5" fillId="12" borderId="20" xfId="0" applyNumberFormat="1" applyFont="1" applyFill="1" applyBorder="1" applyAlignment="1">
      <alignment horizontal="center" vertical="center"/>
    </xf>
    <xf numFmtId="0" fontId="7" fillId="0" borderId="20" xfId="0" applyFont="1" applyBorder="1" applyAlignment="1">
      <alignment horizontal="center" vertical="center" wrapText="1"/>
    </xf>
    <xf numFmtId="0" fontId="18" fillId="0" borderId="22" xfId="0" applyFont="1" applyBorder="1" applyAlignment="1">
      <alignment horizontal="center" vertical="center" wrapText="1"/>
    </xf>
    <xf numFmtId="0" fontId="31" fillId="0" borderId="1" xfId="0" applyFont="1" applyBorder="1" applyAlignment="1">
      <alignment horizontal="left" vertical="center"/>
    </xf>
    <xf numFmtId="0" fontId="0" fillId="15" borderId="1" xfId="0" applyFill="1" applyBorder="1"/>
    <xf numFmtId="0" fontId="5" fillId="15" borderId="1" xfId="0" applyFont="1" applyFill="1" applyBorder="1" applyAlignment="1">
      <alignment horizontal="center" vertical="center"/>
    </xf>
    <xf numFmtId="166" fontId="5" fillId="8" borderId="12" xfId="0" applyNumberFormat="1" applyFont="1" applyFill="1" applyBorder="1" applyAlignment="1">
      <alignment horizontal="center" vertical="center" wrapText="1"/>
    </xf>
    <xf numFmtId="43" fontId="5" fillId="8" borderId="21" xfId="1" applyFont="1" applyFill="1" applyBorder="1" applyAlignment="1">
      <alignment horizontal="center" vertical="center" wrapText="1"/>
    </xf>
    <xf numFmtId="0" fontId="5" fillId="8" borderId="1" xfId="0" applyFont="1" applyFill="1" applyBorder="1" applyAlignment="1">
      <alignment horizontal="center" vertical="center" wrapText="1"/>
    </xf>
    <xf numFmtId="0" fontId="0" fillId="8" borderId="1" xfId="0" applyFill="1" applyBorder="1" applyAlignment="1">
      <alignment vertical="center" wrapText="1"/>
    </xf>
    <xf numFmtId="0" fontId="5" fillId="8" borderId="1" xfId="0" applyFont="1" applyFill="1" applyBorder="1" applyAlignment="1">
      <alignment horizontal="center" vertical="center"/>
    </xf>
    <xf numFmtId="43" fontId="5" fillId="8" borderId="1" xfId="1" applyFont="1" applyFill="1" applyBorder="1" applyAlignment="1">
      <alignment horizontal="center" vertical="center" wrapText="1"/>
    </xf>
    <xf numFmtId="0" fontId="15" fillId="0" borderId="39" xfId="0" applyFont="1" applyBorder="1" applyAlignment="1">
      <alignment horizontal="center" vertical="center"/>
    </xf>
    <xf numFmtId="0" fontId="8" fillId="0" borderId="40" xfId="0" applyFont="1" applyBorder="1" applyAlignment="1">
      <alignment horizontal="center"/>
    </xf>
    <xf numFmtId="43" fontId="0" fillId="12" borderId="17" xfId="1" applyFont="1" applyFill="1" applyBorder="1"/>
    <xf numFmtId="43" fontId="4" fillId="0" borderId="0" xfId="0" applyNumberFormat="1" applyFont="1"/>
    <xf numFmtId="43" fontId="5" fillId="12" borderId="1" xfId="1" applyFont="1" applyFill="1" applyBorder="1" applyAlignment="1">
      <alignment horizontal="center" vertical="center" wrapText="1"/>
    </xf>
    <xf numFmtId="43" fontId="18" fillId="0" borderId="0" xfId="7" applyFont="1" applyBorder="1" applyAlignment="1"/>
    <xf numFmtId="43" fontId="18" fillId="0" borderId="0" xfId="7" applyFont="1" applyBorder="1" applyAlignment="1">
      <alignment horizontal="right" vertical="top"/>
    </xf>
    <xf numFmtId="43" fontId="18" fillId="0" borderId="0" xfId="7" applyFont="1" applyFill="1" applyBorder="1" applyAlignment="1">
      <alignment horizontal="right"/>
    </xf>
    <xf numFmtId="43" fontId="18" fillId="0" borderId="19" xfId="7" applyFont="1" applyFill="1" applyBorder="1" applyAlignment="1">
      <alignment horizontal="right"/>
    </xf>
    <xf numFmtId="43" fontId="18" fillId="0" borderId="0" xfId="7" applyFont="1" applyBorder="1" applyAlignment="1">
      <alignment horizontal="right"/>
    </xf>
    <xf numFmtId="43" fontId="22" fillId="0" borderId="0" xfId="7" applyFont="1" applyBorder="1" applyAlignment="1">
      <alignment horizontal="right"/>
    </xf>
    <xf numFmtId="43" fontId="0" fillId="0" borderId="1" xfId="7" applyFont="1" applyFill="1" applyBorder="1" applyAlignment="1">
      <alignment horizontal="center" vertical="center"/>
    </xf>
    <xf numFmtId="43" fontId="18" fillId="0" borderId="0" xfId="7" applyFont="1" applyBorder="1"/>
    <xf numFmtId="43" fontId="18" fillId="7" borderId="0" xfId="7" applyFont="1" applyFill="1" applyBorder="1" applyAlignment="1">
      <alignment horizontal="right"/>
    </xf>
    <xf numFmtId="2" fontId="22" fillId="0" borderId="1" xfId="8" applyNumberFormat="1" applyFont="1" applyBorder="1" applyAlignment="1">
      <alignment horizontal="center"/>
    </xf>
    <xf numFmtId="0" fontId="17" fillId="0" borderId="24" xfId="2" applyBorder="1" applyAlignment="1">
      <alignment horizontal="center"/>
    </xf>
    <xf numFmtId="17" fontId="17" fillId="0" borderId="23" xfId="2" applyNumberFormat="1" applyBorder="1" applyAlignment="1">
      <alignment horizontal="center"/>
    </xf>
    <xf numFmtId="43" fontId="22" fillId="0" borderId="20" xfId="7" applyFont="1" applyBorder="1" applyAlignment="1">
      <alignment horizontal="center"/>
    </xf>
    <xf numFmtId="43" fontId="0" fillId="12" borderId="39" xfId="0" applyNumberFormat="1" applyFill="1" applyBorder="1"/>
    <xf numFmtId="43" fontId="12" fillId="12" borderId="1" xfId="1" applyFont="1" applyFill="1" applyBorder="1" applyAlignment="1">
      <alignment horizontal="center" vertical="center"/>
    </xf>
    <xf numFmtId="43" fontId="18" fillId="10" borderId="0" xfId="7" applyFont="1" applyFill="1" applyBorder="1" applyAlignment="1">
      <alignment horizontal="right"/>
    </xf>
    <xf numFmtId="0" fontId="7" fillId="0" borderId="24" xfId="0" applyFont="1" applyBorder="1" applyAlignment="1">
      <alignment horizontal="center" vertical="center" wrapText="1"/>
    </xf>
    <xf numFmtId="0" fontId="7" fillId="0" borderId="22" xfId="0" applyFont="1" applyBorder="1" applyAlignment="1">
      <alignment horizontal="center" vertical="center" wrapText="1"/>
    </xf>
    <xf numFmtId="43" fontId="0" fillId="0" borderId="0" xfId="0" applyNumberFormat="1"/>
    <xf numFmtId="166" fontId="0" fillId="0" borderId="0" xfId="0" applyNumberFormat="1"/>
    <xf numFmtId="0" fontId="40" fillId="7" borderId="0" xfId="0" applyFont="1" applyFill="1" applyAlignment="1">
      <alignment horizontal="center" vertical="center"/>
    </xf>
    <xf numFmtId="0" fontId="40" fillId="0" borderId="0" xfId="0" applyFont="1" applyAlignment="1">
      <alignment horizontal="center" vertical="center"/>
    </xf>
    <xf numFmtId="0" fontId="45" fillId="7" borderId="20" xfId="0" applyFont="1" applyFill="1" applyBorder="1" applyAlignment="1">
      <alignment horizontal="center" vertical="center" wrapText="1"/>
    </xf>
    <xf numFmtId="0" fontId="45" fillId="7" borderId="20" xfId="0" applyFont="1" applyFill="1" applyBorder="1" applyAlignment="1">
      <alignment horizontal="center" vertical="center"/>
    </xf>
    <xf numFmtId="43" fontId="45" fillId="7" borderId="20" xfId="1" applyFont="1" applyFill="1" applyBorder="1" applyAlignment="1">
      <alignment vertical="center" wrapText="1"/>
    </xf>
    <xf numFmtId="0" fontId="45" fillId="17" borderId="38" xfId="0" applyFont="1" applyFill="1" applyBorder="1" applyAlignment="1">
      <alignment horizontal="center" vertical="center" wrapText="1"/>
    </xf>
    <xf numFmtId="0" fontId="54" fillId="17" borderId="38" xfId="0" applyFont="1" applyFill="1" applyBorder="1" applyAlignment="1">
      <alignment horizontal="center" vertical="center" wrapText="1"/>
    </xf>
    <xf numFmtId="43" fontId="55" fillId="17" borderId="24" xfId="1" applyFont="1" applyFill="1" applyBorder="1" applyAlignment="1">
      <alignment horizontal="center" vertical="center"/>
    </xf>
    <xf numFmtId="0" fontId="54" fillId="7" borderId="0" xfId="0" applyFont="1" applyFill="1" applyAlignment="1">
      <alignment horizontal="center" vertical="center" wrapText="1"/>
    </xf>
    <xf numFmtId="0" fontId="55" fillId="7" borderId="0" xfId="0" applyFont="1" applyFill="1" applyAlignment="1">
      <alignment horizontal="center" vertical="center"/>
    </xf>
    <xf numFmtId="43" fontId="55" fillId="7" borderId="0" xfId="1" applyFont="1" applyFill="1" applyBorder="1" applyAlignment="1">
      <alignment horizontal="center" vertical="center"/>
    </xf>
    <xf numFmtId="0" fontId="45" fillId="7" borderId="1" xfId="0" applyFont="1" applyFill="1" applyBorder="1" applyAlignment="1">
      <alignment horizontal="left" vertical="center"/>
    </xf>
    <xf numFmtId="0" fontId="45" fillId="7" borderId="1" xfId="0" applyFont="1" applyFill="1" applyBorder="1" applyAlignment="1">
      <alignment vertical="center" wrapText="1"/>
    </xf>
    <xf numFmtId="0" fontId="45" fillId="7" borderId="1" xfId="0" applyFont="1" applyFill="1" applyBorder="1" applyAlignment="1">
      <alignment horizontal="center" vertical="center"/>
    </xf>
    <xf numFmtId="43" fontId="45" fillId="7" borderId="1" xfId="1" applyFont="1" applyFill="1" applyBorder="1" applyAlignment="1">
      <alignment horizontal="center" vertical="center" wrapText="1"/>
    </xf>
    <xf numFmtId="43" fontId="45" fillId="7" borderId="1" xfId="1" applyFont="1" applyFill="1" applyBorder="1" applyAlignment="1">
      <alignment horizontal="center" vertical="center"/>
    </xf>
    <xf numFmtId="0" fontId="45" fillId="7" borderId="12" xfId="0" applyFont="1" applyFill="1" applyBorder="1" applyAlignment="1">
      <alignment horizontal="center" vertical="center"/>
    </xf>
    <xf numFmtId="43" fontId="45" fillId="7" borderId="12" xfId="1" applyFont="1" applyFill="1" applyBorder="1" applyAlignment="1">
      <alignment horizontal="center" vertical="center" wrapText="1"/>
    </xf>
    <xf numFmtId="0" fontId="45" fillId="7" borderId="1" xfId="0" applyFont="1" applyFill="1" applyBorder="1" applyAlignment="1">
      <alignment horizontal="center" vertical="center" wrapText="1"/>
    </xf>
    <xf numFmtId="43" fontId="45" fillId="7" borderId="1" xfId="1" applyFont="1" applyFill="1" applyBorder="1" applyAlignment="1">
      <alignment vertical="center" wrapText="1"/>
    </xf>
    <xf numFmtId="43" fontId="40" fillId="0" borderId="0" xfId="1" applyFont="1" applyAlignment="1">
      <alignment horizontal="center" vertical="center"/>
    </xf>
    <xf numFmtId="0" fontId="55" fillId="0" borderId="0" xfId="0" applyFont="1" applyAlignment="1">
      <alignment horizontal="center" vertical="center"/>
    </xf>
    <xf numFmtId="0" fontId="40" fillId="7" borderId="1" xfId="0" applyFont="1" applyFill="1" applyBorder="1" applyAlignment="1">
      <alignment horizontal="center" vertical="center"/>
    </xf>
    <xf numFmtId="0" fontId="54" fillId="6" borderId="1" xfId="0" applyFont="1" applyFill="1" applyBorder="1" applyAlignment="1">
      <alignment horizontal="center" vertical="center" wrapText="1"/>
    </xf>
    <xf numFmtId="0" fontId="54" fillId="10" borderId="1" xfId="0" applyFont="1" applyFill="1" applyBorder="1" applyAlignment="1">
      <alignment horizontal="center" vertical="center" wrapText="1"/>
    </xf>
    <xf numFmtId="0" fontId="43" fillId="6" borderId="1" xfId="0" applyFont="1" applyFill="1" applyBorder="1" applyAlignment="1">
      <alignment vertical="center" wrapText="1"/>
    </xf>
    <xf numFmtId="0" fontId="57" fillId="10" borderId="1" xfId="0" applyFont="1" applyFill="1" applyBorder="1" applyAlignment="1">
      <alignment vertical="center" wrapText="1"/>
    </xf>
    <xf numFmtId="0" fontId="57" fillId="6" borderId="1" xfId="0" applyFont="1" applyFill="1" applyBorder="1" applyAlignment="1">
      <alignment vertical="center" wrapText="1"/>
    </xf>
    <xf numFmtId="0" fontId="59" fillId="5" borderId="1" xfId="0" applyFont="1" applyFill="1" applyBorder="1" applyAlignment="1">
      <alignment horizontal="center" vertical="center"/>
    </xf>
    <xf numFmtId="0" fontId="15" fillId="4" borderId="1" xfId="0" applyFont="1" applyFill="1" applyBorder="1" applyAlignment="1">
      <alignment horizontal="center" vertical="center" wrapText="1"/>
    </xf>
    <xf numFmtId="43" fontId="53" fillId="17" borderId="24" xfId="1" applyFont="1" applyFill="1" applyBorder="1" applyAlignment="1">
      <alignment horizontal="center" vertical="center"/>
    </xf>
    <xf numFmtId="0" fontId="56" fillId="7" borderId="0" xfId="0" applyFont="1" applyFill="1" applyAlignment="1">
      <alignment horizontal="center" vertical="center"/>
    </xf>
    <xf numFmtId="43" fontId="56" fillId="7" borderId="0" xfId="0" applyNumberFormat="1" applyFont="1" applyFill="1" applyAlignment="1">
      <alignment horizontal="center" vertical="center"/>
    </xf>
    <xf numFmtId="0" fontId="45" fillId="7" borderId="0" xfId="0" applyFont="1" applyFill="1" applyAlignment="1">
      <alignment horizontal="center" vertical="center"/>
    </xf>
    <xf numFmtId="43" fontId="45" fillId="7" borderId="0" xfId="0" applyNumberFormat="1" applyFont="1" applyFill="1" applyAlignment="1">
      <alignment horizontal="center" vertical="center"/>
    </xf>
    <xf numFmtId="0" fontId="53" fillId="7" borderId="0" xfId="0" applyFont="1" applyFill="1" applyAlignment="1">
      <alignment horizontal="center" vertical="center"/>
    </xf>
    <xf numFmtId="43" fontId="40" fillId="7" borderId="0" xfId="0" applyNumberFormat="1" applyFont="1" applyFill="1" applyAlignment="1">
      <alignment horizontal="center" vertical="center"/>
    </xf>
    <xf numFmtId="0" fontId="40" fillId="0" borderId="1" xfId="0" applyFont="1" applyBorder="1" applyAlignment="1">
      <alignment horizontal="left" vertical="center" wrapText="1"/>
    </xf>
    <xf numFmtId="0" fontId="40" fillId="0" borderId="20" xfId="0" applyFont="1" applyBorder="1" applyAlignment="1">
      <alignment vertical="center" wrapText="1"/>
    </xf>
    <xf numFmtId="0" fontId="40" fillId="0" borderId="1" xfId="0" applyFont="1" applyBorder="1" applyAlignment="1">
      <alignment vertical="center" wrapText="1"/>
    </xf>
    <xf numFmtId="0" fontId="40" fillId="0" borderId="23" xfId="0" applyFont="1" applyBorder="1" applyAlignment="1">
      <alignment horizontal="center" vertical="center" wrapText="1"/>
    </xf>
    <xf numFmtId="0" fontId="40" fillId="0" borderId="38" xfId="0" applyFont="1" applyBorder="1" applyAlignment="1">
      <alignment horizontal="center" vertical="center"/>
    </xf>
    <xf numFmtId="0" fontId="40" fillId="0" borderId="38" xfId="0" applyFont="1" applyBorder="1" applyAlignment="1">
      <alignment horizontal="center" vertical="center" wrapText="1"/>
    </xf>
    <xf numFmtId="0" fontId="40" fillId="0" borderId="0" xfId="0" applyFont="1" applyAlignment="1">
      <alignment horizontal="center" vertical="center" wrapText="1"/>
    </xf>
    <xf numFmtId="0" fontId="40" fillId="0" borderId="1" xfId="0" applyFont="1" applyBorder="1" applyAlignment="1">
      <alignment horizontal="left" vertical="center"/>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0" fontId="40" fillId="0" borderId="20" xfId="0" applyFont="1" applyBorder="1" applyAlignment="1">
      <alignment vertical="center"/>
    </xf>
    <xf numFmtId="0" fontId="40" fillId="0" borderId="20" xfId="0" applyFont="1" applyBorder="1" applyAlignment="1">
      <alignment horizontal="center" vertical="center" wrapText="1"/>
    </xf>
    <xf numFmtId="0" fontId="40" fillId="0" borderId="20" xfId="0" applyFont="1" applyBorder="1" applyAlignment="1">
      <alignment horizontal="left" vertical="center" wrapText="1"/>
    </xf>
    <xf numFmtId="0" fontId="55" fillId="0" borderId="20" xfId="0" applyFont="1" applyBorder="1" applyAlignment="1">
      <alignment horizontal="center" vertical="center"/>
    </xf>
    <xf numFmtId="43" fontId="40" fillId="0" borderId="1" xfId="1" applyFont="1" applyFill="1" applyBorder="1" applyAlignment="1">
      <alignment horizontal="center" vertical="center"/>
    </xf>
    <xf numFmtId="43" fontId="55" fillId="0" borderId="24" xfId="1" applyFont="1" applyFill="1" applyBorder="1" applyAlignment="1">
      <alignment horizontal="center" vertical="center"/>
    </xf>
    <xf numFmtId="43" fontId="40" fillId="0" borderId="0" xfId="1" applyFont="1" applyFill="1" applyAlignment="1">
      <alignment horizontal="center" vertical="center"/>
    </xf>
    <xf numFmtId="0" fontId="40" fillId="0" borderId="1" xfId="0" applyFont="1" applyBorder="1" applyAlignment="1">
      <alignment vertical="center"/>
    </xf>
    <xf numFmtId="43" fontId="40" fillId="0" borderId="20" xfId="1" applyFont="1" applyFill="1" applyBorder="1" applyAlignment="1">
      <alignment vertical="center"/>
    </xf>
    <xf numFmtId="0" fontId="55" fillId="0" borderId="38" xfId="0" applyFont="1" applyBorder="1" applyAlignment="1">
      <alignment vertical="center"/>
    </xf>
    <xf numFmtId="43" fontId="40" fillId="0" borderId="0" xfId="1" applyFont="1" applyFill="1" applyBorder="1" applyAlignment="1">
      <alignment horizontal="center" vertical="center"/>
    </xf>
    <xf numFmtId="43" fontId="55" fillId="0" borderId="1" xfId="1" applyFont="1" applyFill="1" applyBorder="1" applyAlignment="1">
      <alignment horizontal="center" vertical="center" wrapText="1"/>
    </xf>
    <xf numFmtId="0" fontId="55" fillId="0" borderId="1" xfId="0" applyFont="1" applyBorder="1" applyAlignment="1">
      <alignment horizontal="center" vertical="center" wrapText="1"/>
    </xf>
    <xf numFmtId="0" fontId="55" fillId="0" borderId="20" xfId="0" applyFont="1" applyBorder="1" applyAlignment="1">
      <alignment horizontal="center" vertical="center" wrapText="1"/>
    </xf>
    <xf numFmtId="0" fontId="40" fillId="0" borderId="1" xfId="2" applyFont="1" applyBorder="1" applyAlignment="1">
      <alignment horizontal="center" vertical="center"/>
    </xf>
    <xf numFmtId="0" fontId="40" fillId="0" borderId="20" xfId="2" applyFont="1" applyBorder="1" applyAlignment="1">
      <alignment horizontal="center" vertical="center"/>
    </xf>
    <xf numFmtId="43" fontId="55" fillId="0" borderId="20" xfId="1" applyFont="1" applyFill="1" applyBorder="1" applyAlignment="1">
      <alignment vertical="center" wrapText="1"/>
    </xf>
    <xf numFmtId="0" fontId="46" fillId="0" borderId="1" xfId="0" applyFont="1" applyBorder="1" applyAlignment="1">
      <alignment vertical="top" wrapText="1"/>
    </xf>
    <xf numFmtId="0" fontId="46" fillId="0" borderId="1" xfId="0" applyFont="1" applyBorder="1" applyAlignment="1">
      <alignment horizontal="left" vertical="top" wrapText="1"/>
    </xf>
    <xf numFmtId="0" fontId="40" fillId="18" borderId="23" xfId="0" applyFont="1" applyFill="1" applyBorder="1" applyAlignment="1">
      <alignment horizontal="center" vertical="center"/>
    </xf>
    <xf numFmtId="0" fontId="40" fillId="18" borderId="38" xfId="0" applyFont="1" applyFill="1" applyBorder="1" applyAlignment="1">
      <alignment horizontal="center" vertical="center"/>
    </xf>
    <xf numFmtId="0" fontId="55" fillId="18" borderId="38" xfId="0" applyFont="1" applyFill="1" applyBorder="1" applyAlignment="1">
      <alignment horizontal="center" vertical="center"/>
    </xf>
    <xf numFmtId="43" fontId="55" fillId="18" borderId="38" xfId="1" applyFont="1" applyFill="1" applyBorder="1" applyAlignment="1">
      <alignment horizontal="right" vertical="center"/>
    </xf>
    <xf numFmtId="43" fontId="55" fillId="18" borderId="24" xfId="0" applyNumberFormat="1" applyFont="1" applyFill="1" applyBorder="1" applyAlignment="1">
      <alignment horizontal="center" vertical="center"/>
    </xf>
    <xf numFmtId="0" fontId="55" fillId="18" borderId="20" xfId="0" applyFont="1" applyFill="1" applyBorder="1" applyAlignment="1">
      <alignment horizontal="center" vertical="center"/>
    </xf>
    <xf numFmtId="0" fontId="53" fillId="18" borderId="20" xfId="0" applyFont="1" applyFill="1" applyBorder="1" applyAlignment="1">
      <alignment horizontal="center" vertical="center" wrapText="1"/>
    </xf>
    <xf numFmtId="0" fontId="53" fillId="18" borderId="20" xfId="0" applyFont="1" applyFill="1" applyBorder="1" applyAlignment="1">
      <alignment horizontal="center" vertical="center"/>
    </xf>
    <xf numFmtId="43" fontId="53" fillId="18" borderId="20" xfId="1" applyFont="1" applyFill="1" applyBorder="1" applyAlignment="1">
      <alignment horizontal="center" vertical="center" wrapText="1"/>
    </xf>
    <xf numFmtId="0" fontId="53" fillId="18" borderId="21" xfId="0" applyFont="1" applyFill="1" applyBorder="1" applyAlignment="1">
      <alignment horizontal="center" vertical="center" wrapText="1"/>
    </xf>
    <xf numFmtId="0" fontId="55" fillId="18" borderId="1" xfId="0" applyFont="1" applyFill="1" applyBorder="1" applyAlignment="1">
      <alignment horizontal="center" vertical="center"/>
    </xf>
    <xf numFmtId="0" fontId="53" fillId="18" borderId="1" xfId="0" applyFont="1" applyFill="1" applyBorder="1" applyAlignment="1">
      <alignment horizontal="center" vertical="center" wrapText="1"/>
    </xf>
    <xf numFmtId="43" fontId="53" fillId="18" borderId="1" xfId="1" applyFont="1" applyFill="1" applyBorder="1" applyAlignment="1">
      <alignment horizontal="center" vertical="center" wrapText="1"/>
    </xf>
    <xf numFmtId="0" fontId="26" fillId="7" borderId="30" xfId="2" applyFont="1" applyFill="1" applyBorder="1" applyAlignment="1">
      <alignment horizontal="center"/>
    </xf>
    <xf numFmtId="2" fontId="27" fillId="7" borderId="30" xfId="2" applyNumberFormat="1" applyFont="1" applyFill="1" applyBorder="1" applyAlignment="1">
      <alignment horizontal="center" vertical="top" shrinkToFit="1"/>
    </xf>
    <xf numFmtId="2" fontId="27" fillId="7" borderId="31" xfId="2" applyNumberFormat="1" applyFont="1" applyFill="1" applyBorder="1" applyAlignment="1">
      <alignment horizontal="center" vertical="top" shrinkToFit="1"/>
    </xf>
    <xf numFmtId="0" fontId="26" fillId="7" borderId="33" xfId="2" applyFont="1" applyFill="1" applyBorder="1" applyAlignment="1">
      <alignment horizontal="center" vertical="top"/>
    </xf>
    <xf numFmtId="2" fontId="27" fillId="7" borderId="33" xfId="2" applyNumberFormat="1" applyFont="1" applyFill="1" applyBorder="1" applyAlignment="1">
      <alignment horizontal="center" vertical="top" shrinkToFit="1"/>
    </xf>
    <xf numFmtId="2" fontId="27" fillId="7" borderId="34" xfId="2" applyNumberFormat="1" applyFont="1" applyFill="1" applyBorder="1" applyAlignment="1">
      <alignment horizontal="center" vertical="top" shrinkToFit="1"/>
    </xf>
    <xf numFmtId="0" fontId="26" fillId="7" borderId="36" xfId="2" applyFont="1" applyFill="1" applyBorder="1" applyAlignment="1">
      <alignment horizontal="center" vertical="top"/>
    </xf>
    <xf numFmtId="2" fontId="27" fillId="7" borderId="36" xfId="2" applyNumberFormat="1" applyFont="1" applyFill="1" applyBorder="1" applyAlignment="1">
      <alignment horizontal="center" vertical="top" shrinkToFit="1"/>
    </xf>
    <xf numFmtId="2" fontId="27" fillId="7" borderId="37" xfId="2" applyNumberFormat="1" applyFont="1" applyFill="1" applyBorder="1" applyAlignment="1">
      <alignment horizontal="center" vertical="top" shrinkToFit="1"/>
    </xf>
    <xf numFmtId="0" fontId="25" fillId="7" borderId="25" xfId="2" applyFont="1" applyFill="1" applyBorder="1" applyAlignment="1">
      <alignment horizontal="right" vertical="top"/>
    </xf>
    <xf numFmtId="2" fontId="28" fillId="7" borderId="27" xfId="2" applyNumberFormat="1" applyFont="1" applyFill="1" applyBorder="1" applyAlignment="1">
      <alignment horizontal="center" vertical="top" shrinkToFit="1"/>
    </xf>
    <xf numFmtId="2" fontId="28" fillId="7" borderId="28" xfId="2" applyNumberFormat="1" applyFont="1" applyFill="1" applyBorder="1" applyAlignment="1">
      <alignment horizontal="center" vertical="top" shrinkToFit="1"/>
    </xf>
    <xf numFmtId="0" fontId="25" fillId="7" borderId="26" xfId="2" applyFont="1" applyFill="1" applyBorder="1" applyAlignment="1">
      <alignment horizontal="centerContinuous" vertical="top"/>
    </xf>
    <xf numFmtId="0" fontId="25" fillId="7" borderId="27" xfId="2" applyFont="1" applyFill="1" applyBorder="1" applyAlignment="1">
      <alignment horizontal="center" vertical="top"/>
    </xf>
    <xf numFmtId="0" fontId="25" fillId="7" borderId="28" xfId="2" applyFont="1" applyFill="1" applyBorder="1" applyAlignment="1">
      <alignment horizontal="center" vertical="top"/>
    </xf>
    <xf numFmtId="0" fontId="26" fillId="7" borderId="27" xfId="2" applyFont="1" applyFill="1" applyBorder="1" applyAlignment="1">
      <alignment horizontal="center" vertical="top"/>
    </xf>
    <xf numFmtId="2" fontId="27" fillId="7" borderId="27" xfId="2" applyNumberFormat="1" applyFont="1" applyFill="1" applyBorder="1" applyAlignment="1">
      <alignment horizontal="center" vertical="top" shrinkToFit="1"/>
    </xf>
    <xf numFmtId="2" fontId="27" fillId="7" borderId="28" xfId="2" applyNumberFormat="1" applyFont="1" applyFill="1" applyBorder="1" applyAlignment="1">
      <alignment horizontal="center" vertical="top" shrinkToFit="1"/>
    </xf>
    <xf numFmtId="0" fontId="26" fillId="7" borderId="30" xfId="2" applyFont="1" applyFill="1" applyBorder="1" applyAlignment="1">
      <alignment horizontal="center" vertical="top"/>
    </xf>
    <xf numFmtId="0" fontId="45" fillId="7" borderId="20" xfId="0" applyFont="1" applyFill="1" applyBorder="1" applyAlignment="1">
      <alignment vertical="center" wrapText="1"/>
    </xf>
    <xf numFmtId="0" fontId="45" fillId="7" borderId="1" xfId="0" applyFont="1" applyFill="1" applyBorder="1" applyAlignment="1">
      <alignment horizontal="left" vertical="center" wrapText="1"/>
    </xf>
    <xf numFmtId="0" fontId="3" fillId="3" borderId="0" xfId="0" applyFont="1" applyFill="1" applyAlignment="1">
      <alignment horizontal="center" vertical="center"/>
    </xf>
    <xf numFmtId="0" fontId="1" fillId="2" borderId="0" xfId="0" applyFont="1" applyFill="1" applyAlignment="1">
      <alignment horizontal="center" vertical="center"/>
    </xf>
    <xf numFmtId="0" fontId="40" fillId="0" borderId="20" xfId="0" applyFont="1" applyBorder="1" applyAlignment="1">
      <alignment horizontal="center" vertical="center" wrapText="1"/>
    </xf>
    <xf numFmtId="0" fontId="40" fillId="0" borderId="12" xfId="0" applyFont="1" applyBorder="1" applyAlignment="1">
      <alignment horizontal="center" vertical="center" wrapText="1"/>
    </xf>
    <xf numFmtId="0" fontId="52" fillId="7" borderId="42" xfId="0" applyFont="1" applyFill="1" applyBorder="1" applyAlignment="1">
      <alignment horizontal="center" vertical="center"/>
    </xf>
    <xf numFmtId="0" fontId="52" fillId="7" borderId="43" xfId="0" applyFont="1" applyFill="1" applyBorder="1" applyAlignment="1">
      <alignment horizontal="center" vertical="center"/>
    </xf>
    <xf numFmtId="0" fontId="52" fillId="7" borderId="44" xfId="0" applyFont="1" applyFill="1" applyBorder="1" applyAlignment="1">
      <alignment horizontal="center" vertical="center"/>
    </xf>
    <xf numFmtId="0" fontId="40" fillId="0" borderId="21" xfId="0" applyFont="1" applyBorder="1" applyAlignment="1">
      <alignment horizontal="center" vertical="center"/>
    </xf>
    <xf numFmtId="0" fontId="40" fillId="0" borderId="12" xfId="0" applyFont="1" applyBorder="1" applyAlignment="1">
      <alignment horizontal="center" vertical="center"/>
    </xf>
    <xf numFmtId="0" fontId="40" fillId="0" borderId="20" xfId="0" applyFont="1" applyBorder="1" applyAlignment="1">
      <alignment horizontal="left" vertical="center" wrapText="1"/>
    </xf>
    <xf numFmtId="0" fontId="40" fillId="0" borderId="21" xfId="0" applyFont="1" applyBorder="1" applyAlignment="1">
      <alignment horizontal="left" vertical="center" wrapText="1"/>
    </xf>
    <xf numFmtId="0" fontId="40" fillId="0" borderId="12" xfId="0" applyFont="1" applyBorder="1" applyAlignment="1">
      <alignment horizontal="left" vertical="center" wrapText="1"/>
    </xf>
    <xf numFmtId="0" fontId="40" fillId="0" borderId="20" xfId="0" applyFont="1" applyBorder="1" applyAlignment="1">
      <alignment horizontal="center" vertical="center"/>
    </xf>
    <xf numFmtId="0" fontId="40" fillId="0" borderId="21" xfId="0" applyFont="1" applyBorder="1" applyAlignment="1">
      <alignment horizontal="center" vertical="center" wrapText="1"/>
    </xf>
    <xf numFmtId="0" fontId="55" fillId="18" borderId="23" xfId="0" applyFont="1" applyFill="1" applyBorder="1" applyAlignment="1">
      <alignment horizontal="center" vertical="center"/>
    </xf>
    <xf numFmtId="0" fontId="55" fillId="18" borderId="38" xfId="0" applyFont="1" applyFill="1" applyBorder="1" applyAlignment="1">
      <alignment horizontal="center" vertical="center"/>
    </xf>
    <xf numFmtId="0" fontId="55" fillId="18" borderId="24" xfId="0" applyFont="1" applyFill="1" applyBorder="1" applyAlignment="1">
      <alignment horizontal="center" vertical="center"/>
    </xf>
    <xf numFmtId="0" fontId="55" fillId="0" borderId="1" xfId="0" applyFont="1" applyBorder="1" applyAlignment="1">
      <alignment horizontal="center" vertical="center"/>
    </xf>
    <xf numFmtId="0" fontId="40" fillId="0" borderId="1" xfId="0" applyFont="1" applyBorder="1" applyAlignment="1">
      <alignment horizontal="center" vertical="center" wrapText="1"/>
    </xf>
    <xf numFmtId="0" fontId="55" fillId="0" borderId="23" xfId="0" applyFont="1" applyBorder="1" applyAlignment="1">
      <alignment horizontal="center" vertical="center"/>
    </xf>
    <xf numFmtId="0" fontId="55" fillId="0" borderId="38" xfId="0" applyFont="1" applyBorder="1" applyAlignment="1">
      <alignment horizontal="center" vertical="center"/>
    </xf>
    <xf numFmtId="0" fontId="55" fillId="0" borderId="24" xfId="0" applyFont="1" applyBorder="1" applyAlignment="1">
      <alignment horizontal="center" vertical="center"/>
    </xf>
    <xf numFmtId="0" fontId="40" fillId="0" borderId="23" xfId="0" applyFont="1" applyBorder="1" applyAlignment="1">
      <alignment horizontal="center" vertical="center"/>
    </xf>
    <xf numFmtId="0" fontId="40" fillId="0" borderId="38" xfId="0" applyFont="1" applyBorder="1" applyAlignment="1">
      <alignment horizontal="center" vertical="center"/>
    </xf>
    <xf numFmtId="0" fontId="40" fillId="0" borderId="24" xfId="0" applyFont="1" applyBorder="1" applyAlignment="1">
      <alignment horizontal="center" vertical="center"/>
    </xf>
    <xf numFmtId="0" fontId="55" fillId="0" borderId="23" xfId="0" applyFont="1" applyBorder="1" applyAlignment="1">
      <alignment horizontal="center" vertical="center" wrapText="1"/>
    </xf>
    <xf numFmtId="0" fontId="55" fillId="0" borderId="24" xfId="0" applyFont="1" applyBorder="1" applyAlignment="1">
      <alignment horizontal="center" vertical="center" wrapText="1"/>
    </xf>
    <xf numFmtId="0" fontId="40" fillId="0" borderId="23" xfId="0" applyFont="1" applyBorder="1" applyAlignment="1">
      <alignment horizontal="left" vertical="center" wrapText="1"/>
    </xf>
    <xf numFmtId="0" fontId="40" fillId="0" borderId="24" xfId="0" applyFont="1" applyBorder="1" applyAlignment="1">
      <alignment horizontal="left" vertical="center" wrapText="1"/>
    </xf>
    <xf numFmtId="0" fontId="40" fillId="0" borderId="45" xfId="0" applyFont="1" applyBorder="1" applyAlignment="1">
      <alignment horizontal="center" vertical="center"/>
    </xf>
    <xf numFmtId="0" fontId="40" fillId="0" borderId="19" xfId="0" applyFont="1" applyBorder="1" applyAlignment="1">
      <alignment horizontal="center" vertical="center"/>
    </xf>
    <xf numFmtId="0" fontId="40" fillId="0" borderId="22" xfId="0" applyFont="1" applyBorder="1" applyAlignment="1">
      <alignment horizontal="center" vertical="center"/>
    </xf>
    <xf numFmtId="0" fontId="40" fillId="0" borderId="46" xfId="0" applyFont="1" applyBorder="1" applyAlignment="1">
      <alignment horizontal="center" vertical="center"/>
    </xf>
    <xf numFmtId="0" fontId="40" fillId="0" borderId="0" xfId="0" applyFont="1" applyAlignment="1">
      <alignment horizontal="center" vertical="center"/>
    </xf>
    <xf numFmtId="0" fontId="40" fillId="0" borderId="47" xfId="0" applyFont="1" applyBorder="1" applyAlignment="1">
      <alignment horizontal="center" vertical="center"/>
    </xf>
    <xf numFmtId="0" fontId="40" fillId="0" borderId="48" xfId="0" applyFont="1" applyBorder="1" applyAlignment="1">
      <alignment horizontal="center" vertical="center"/>
    </xf>
    <xf numFmtId="0" fontId="40" fillId="0" borderId="49" xfId="0" applyFont="1" applyBorder="1" applyAlignment="1">
      <alignment horizontal="center" vertical="center"/>
    </xf>
    <xf numFmtId="0" fontId="40" fillId="0" borderId="50" xfId="0" applyFont="1" applyBorder="1" applyAlignment="1">
      <alignment horizontal="center" vertical="center"/>
    </xf>
    <xf numFmtId="0" fontId="53" fillId="18" borderId="23" xfId="0" applyFont="1" applyFill="1" applyBorder="1" applyAlignment="1">
      <alignment horizontal="center" vertical="center"/>
    </xf>
    <xf numFmtId="0" fontId="53" fillId="18" borderId="38" xfId="0" applyFont="1" applyFill="1" applyBorder="1" applyAlignment="1">
      <alignment horizontal="center" vertical="center"/>
    </xf>
    <xf numFmtId="0" fontId="53" fillId="18" borderId="24" xfId="0" applyFont="1" applyFill="1" applyBorder="1" applyAlignment="1">
      <alignment horizontal="center" vertical="center"/>
    </xf>
    <xf numFmtId="0" fontId="40" fillId="0" borderId="1" xfId="0" applyFont="1" applyBorder="1" applyAlignment="1">
      <alignment horizontal="left" vertical="center" wrapText="1"/>
    </xf>
    <xf numFmtId="0" fontId="53" fillId="17" borderId="38" xfId="0" applyFont="1" applyFill="1" applyBorder="1" applyAlignment="1">
      <alignment horizontal="right" vertical="center" indent="1"/>
    </xf>
    <xf numFmtId="0" fontId="41" fillId="7" borderId="1" xfId="0" applyFont="1" applyFill="1" applyBorder="1" applyAlignment="1">
      <alignment horizontal="left" vertical="center" wrapText="1"/>
    </xf>
    <xf numFmtId="0" fontId="52" fillId="7" borderId="23" xfId="0" applyFont="1" applyFill="1" applyBorder="1" applyAlignment="1">
      <alignment horizontal="center" vertical="center"/>
    </xf>
    <xf numFmtId="0" fontId="52" fillId="7" borderId="38" xfId="0" applyFont="1" applyFill="1" applyBorder="1" applyAlignment="1">
      <alignment horizontal="center" vertical="center"/>
    </xf>
    <xf numFmtId="0" fontId="52" fillId="7" borderId="24" xfId="0" applyFont="1" applyFill="1" applyBorder="1" applyAlignment="1">
      <alignment horizontal="center" vertical="center"/>
    </xf>
    <xf numFmtId="0" fontId="55" fillId="0" borderId="38" xfId="0" applyFont="1" applyBorder="1" applyAlignment="1">
      <alignment horizontal="right" vertical="center"/>
    </xf>
    <xf numFmtId="0" fontId="55" fillId="17" borderId="38" xfId="0" applyFont="1" applyFill="1" applyBorder="1" applyAlignment="1">
      <alignment horizontal="right" vertical="center"/>
    </xf>
    <xf numFmtId="0" fontId="11" fillId="6" borderId="1" xfId="0" applyFont="1" applyFill="1" applyBorder="1" applyAlignment="1">
      <alignment horizontal="center" vertical="center"/>
    </xf>
    <xf numFmtId="0" fontId="5" fillId="6" borderId="1" xfId="0" applyFont="1" applyFill="1" applyBorder="1" applyAlignment="1">
      <alignment horizontal="center" vertical="center"/>
    </xf>
    <xf numFmtId="0" fontId="5" fillId="6" borderId="1" xfId="0" applyFont="1" applyFill="1" applyBorder="1"/>
    <xf numFmtId="0" fontId="5" fillId="0" borderId="1" xfId="0" applyFont="1" applyBorder="1" applyAlignment="1">
      <alignment horizontal="center" vertical="center"/>
    </xf>
    <xf numFmtId="0" fontId="50" fillId="0" borderId="19" xfId="0" applyFont="1" applyBorder="1" applyAlignment="1">
      <alignment horizontal="center" vertical="center" wrapText="1"/>
    </xf>
    <xf numFmtId="0" fontId="50" fillId="0" borderId="0" xfId="0" applyFont="1" applyAlignment="1">
      <alignment horizontal="center" vertical="center" wrapText="1"/>
    </xf>
    <xf numFmtId="43" fontId="5" fillId="0" borderId="1" xfId="1" applyFont="1" applyFill="1" applyBorder="1" applyAlignment="1">
      <alignment horizontal="center" vertical="center"/>
    </xf>
    <xf numFmtId="166" fontId="5" fillId="16" borderId="1" xfId="0" applyNumberFormat="1" applyFont="1" applyFill="1" applyBorder="1" applyAlignment="1">
      <alignment horizontal="center" vertical="center"/>
    </xf>
    <xf numFmtId="0" fontId="5" fillId="16" borderId="1" xfId="0" applyFont="1" applyFill="1" applyBorder="1" applyAlignment="1">
      <alignment horizontal="center" vertical="center"/>
    </xf>
    <xf numFmtId="0" fontId="0" fillId="15" borderId="1" xfId="0" applyFill="1" applyBorder="1" applyAlignment="1">
      <alignment horizontal="center" vertical="center" wrapText="1"/>
    </xf>
    <xf numFmtId="0" fontId="0" fillId="8" borderId="1" xfId="0" applyFill="1" applyBorder="1" applyAlignment="1">
      <alignment horizontal="center" vertical="center" wrapText="1"/>
    </xf>
    <xf numFmtId="0" fontId="5" fillId="8" borderId="1" xfId="0" applyFont="1" applyFill="1" applyBorder="1" applyAlignment="1">
      <alignment horizontal="center" vertical="center" wrapText="1"/>
    </xf>
    <xf numFmtId="0" fontId="14" fillId="15" borderId="1" xfId="0" applyFont="1" applyFill="1" applyBorder="1" applyAlignment="1">
      <alignment horizontal="center" wrapText="1"/>
    </xf>
    <xf numFmtId="0" fontId="51" fillId="6" borderId="1" xfId="0" applyFont="1" applyFill="1" applyBorder="1" applyAlignment="1">
      <alignment horizontal="center" vertical="center"/>
    </xf>
    <xf numFmtId="0" fontId="51" fillId="6" borderId="1" xfId="0" applyFont="1" applyFill="1" applyBorder="1"/>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12" xfId="0" applyFont="1" applyBorder="1" applyAlignment="1">
      <alignment horizontal="center" vertical="center"/>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12" xfId="0" applyFont="1" applyBorder="1" applyAlignment="1">
      <alignment horizontal="left" vertical="center" wrapText="1"/>
    </xf>
    <xf numFmtId="0" fontId="2" fillId="0" borderId="18" xfId="0" applyFont="1" applyBorder="1" applyAlignment="1">
      <alignment horizontal="left" vertical="center" wrapText="1"/>
    </xf>
    <xf numFmtId="0" fontId="2" fillId="0" borderId="21" xfId="0" applyFont="1" applyBorder="1" applyAlignment="1">
      <alignment horizontal="left" vertical="center" wrapText="1"/>
    </xf>
    <xf numFmtId="0" fontId="2" fillId="0" borderId="12"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12" xfId="0" applyFont="1" applyBorder="1" applyAlignment="1">
      <alignment horizontal="lef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32"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2" fillId="6" borderId="1" xfId="0" applyFont="1" applyFill="1" applyBorder="1"/>
    <xf numFmtId="43" fontId="11" fillId="15" borderId="20" xfId="1" applyFont="1" applyFill="1" applyBorder="1" applyAlignment="1">
      <alignment horizontal="center" vertical="center" wrapText="1"/>
    </xf>
    <xf numFmtId="43" fontId="11" fillId="15" borderId="12" xfId="1" applyFont="1" applyFill="1" applyBorder="1" applyAlignment="1">
      <alignment horizontal="center" vertical="center" wrapText="1"/>
    </xf>
    <xf numFmtId="166" fontId="11" fillId="15" borderId="20" xfId="0" applyNumberFormat="1" applyFont="1" applyFill="1" applyBorder="1" applyAlignment="1">
      <alignment horizontal="center" vertical="center" wrapText="1"/>
    </xf>
    <xf numFmtId="166" fontId="11" fillId="15" borderId="12" xfId="0" applyNumberFormat="1" applyFont="1" applyFill="1" applyBorder="1" applyAlignment="1">
      <alignment horizontal="center" vertical="center" wrapText="1"/>
    </xf>
    <xf numFmtId="0" fontId="5" fillId="0" borderId="20" xfId="0" applyFont="1" applyBorder="1" applyAlignment="1">
      <alignment horizontal="center" vertical="center" wrapText="1"/>
    </xf>
    <xf numFmtId="43" fontId="5" fillId="15" borderId="20" xfId="1" applyFont="1" applyFill="1" applyBorder="1" applyAlignment="1">
      <alignment horizontal="center" vertical="center" wrapText="1"/>
    </xf>
    <xf numFmtId="43" fontId="5" fillId="15" borderId="12" xfId="1" applyFont="1" applyFill="1" applyBorder="1" applyAlignment="1">
      <alignment horizontal="center" vertical="center" wrapText="1"/>
    </xf>
    <xf numFmtId="166" fontId="5" fillId="15" borderId="20" xfId="0" applyNumberFormat="1" applyFont="1" applyFill="1" applyBorder="1" applyAlignment="1">
      <alignment horizontal="center" vertical="center" wrapText="1"/>
    </xf>
    <xf numFmtId="166" fontId="5" fillId="15" borderId="12" xfId="0" applyNumberFormat="1" applyFont="1" applyFill="1" applyBorder="1" applyAlignment="1">
      <alignment horizontal="center" vertical="center" wrapText="1"/>
    </xf>
    <xf numFmtId="0" fontId="5" fillId="15" borderId="1" xfId="0" applyFont="1" applyFill="1" applyBorder="1" applyAlignment="1">
      <alignment horizontal="center" vertical="center" wrapText="1"/>
    </xf>
    <xf numFmtId="0" fontId="11" fillId="6" borderId="12" xfId="0" applyFont="1" applyFill="1" applyBorder="1" applyAlignment="1">
      <alignment horizontal="center" vertical="center"/>
    </xf>
    <xf numFmtId="0" fontId="14" fillId="8" borderId="1" xfId="0" applyFont="1" applyFill="1" applyBorder="1" applyAlignment="1">
      <alignment horizontal="center" vertical="center" wrapText="1"/>
    </xf>
    <xf numFmtId="0" fontId="1" fillId="12" borderId="41" xfId="0" applyFont="1" applyFill="1" applyBorder="1" applyAlignment="1">
      <alignment horizontal="center" vertical="center" wrapText="1"/>
    </xf>
    <xf numFmtId="0" fontId="1" fillId="12" borderId="17" xfId="0" applyFont="1" applyFill="1" applyBorder="1" applyAlignment="1">
      <alignment horizontal="center" vertical="center" wrapText="1"/>
    </xf>
    <xf numFmtId="0" fontId="47" fillId="12" borderId="19" xfId="0" applyFont="1" applyFill="1" applyBorder="1" applyAlignment="1">
      <alignment horizontal="right" vertical="center" wrapText="1"/>
    </xf>
    <xf numFmtId="0" fontId="47" fillId="12" borderId="0" xfId="0" applyFont="1" applyFill="1" applyAlignment="1">
      <alignment horizontal="right" vertical="center"/>
    </xf>
    <xf numFmtId="0" fontId="46" fillId="6" borderId="1" xfId="0" applyFont="1" applyFill="1" applyBorder="1" applyAlignment="1">
      <alignment horizontal="left" vertical="center" wrapText="1"/>
    </xf>
    <xf numFmtId="0" fontId="40" fillId="10" borderId="1" xfId="0" applyFont="1" applyFill="1" applyBorder="1" applyAlignment="1">
      <alignment vertical="center" wrapText="1"/>
    </xf>
    <xf numFmtId="0" fontId="46" fillId="10" borderId="1" xfId="0" applyFont="1" applyFill="1" applyBorder="1" applyAlignment="1">
      <alignment horizontal="left" vertical="center" wrapText="1"/>
    </xf>
    <xf numFmtId="0" fontId="41" fillId="10" borderId="1" xfId="0" applyFont="1" applyFill="1" applyBorder="1" applyAlignment="1">
      <alignment horizontal="center" vertical="center" wrapText="1"/>
    </xf>
    <xf numFmtId="0" fontId="41" fillId="6" borderId="1" xfId="0" applyFont="1" applyFill="1" applyBorder="1" applyAlignment="1">
      <alignment horizontal="center" vertical="center" wrapText="1"/>
    </xf>
    <xf numFmtId="0" fontId="42" fillId="6" borderId="1" xfId="0" applyFont="1" applyFill="1" applyBorder="1" applyAlignment="1">
      <alignment horizontal="left" vertical="center" wrapText="1"/>
    </xf>
    <xf numFmtId="0" fontId="47" fillId="12" borderId="19" xfId="0" applyFont="1" applyFill="1" applyBorder="1" applyAlignment="1">
      <alignment horizontal="right" vertical="center"/>
    </xf>
    <xf numFmtId="0" fontId="45" fillId="10" borderId="1" xfId="0" applyFont="1" applyFill="1" applyBorder="1" applyAlignment="1">
      <alignment horizontal="left" vertical="center" wrapText="1"/>
    </xf>
    <xf numFmtId="0" fontId="40" fillId="10" borderId="1" xfId="0" applyFont="1" applyFill="1" applyBorder="1" applyAlignment="1">
      <alignment horizontal="left" vertical="center" wrapText="1"/>
    </xf>
    <xf numFmtId="0" fontId="42" fillId="10" borderId="1" xfId="0" applyFont="1" applyFill="1" applyBorder="1" applyAlignment="1">
      <alignment horizontal="left" vertical="center" wrapText="1"/>
    </xf>
    <xf numFmtId="0" fontId="4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40" fillId="6" borderId="1" xfId="0" applyFont="1" applyFill="1" applyBorder="1" applyAlignment="1">
      <alignment horizontal="center" vertical="center" wrapText="1"/>
    </xf>
    <xf numFmtId="0" fontId="36" fillId="6" borderId="1" xfId="0" applyFont="1" applyFill="1" applyBorder="1" applyAlignment="1">
      <alignment horizontal="center" vertical="center"/>
    </xf>
    <xf numFmtId="0" fontId="36" fillId="6" borderId="1" xfId="0" applyFont="1" applyFill="1" applyBorder="1"/>
    <xf numFmtId="0" fontId="45" fillId="6" borderId="1" xfId="0" applyFont="1" applyFill="1" applyBorder="1" applyAlignment="1">
      <alignment horizontal="left" vertical="center" wrapText="1"/>
    </xf>
    <xf numFmtId="0" fontId="40" fillId="6" borderId="1" xfId="0" applyFont="1" applyFill="1" applyBorder="1" applyAlignment="1">
      <alignment vertical="center" wrapText="1"/>
    </xf>
    <xf numFmtId="0" fontId="1" fillId="0" borderId="23" xfId="0" applyFont="1" applyBorder="1" applyAlignment="1">
      <alignment horizontal="center" vertical="center"/>
    </xf>
    <xf numFmtId="0" fontId="1" fillId="0" borderId="38" xfId="0" applyFont="1" applyBorder="1" applyAlignment="1">
      <alignment horizontal="center" vertical="center"/>
    </xf>
    <xf numFmtId="0" fontId="1" fillId="0" borderId="24" xfId="0" applyFont="1" applyBorder="1" applyAlignment="1">
      <alignment horizontal="center" vertical="center"/>
    </xf>
    <xf numFmtId="0" fontId="0" fillId="6" borderId="1" xfId="0" applyFill="1" applyBorder="1" applyAlignment="1">
      <alignment horizontal="center" vertical="center"/>
    </xf>
    <xf numFmtId="0" fontId="45" fillId="10" borderId="1"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5" fillId="0" borderId="20" xfId="0" applyFont="1" applyBorder="1" applyAlignment="1">
      <alignment horizontal="left" vertical="center" wrapText="1"/>
    </xf>
    <xf numFmtId="0" fontId="45" fillId="0" borderId="21" xfId="0" applyFont="1" applyBorder="1" applyAlignment="1">
      <alignment horizontal="left" vertical="center" wrapText="1"/>
    </xf>
    <xf numFmtId="0" fontId="45" fillId="0" borderId="12" xfId="0" applyFont="1" applyBorder="1" applyAlignment="1">
      <alignment horizontal="left" vertical="center" wrapText="1"/>
    </xf>
    <xf numFmtId="0" fontId="40" fillId="0" borderId="20" xfId="0" applyFont="1" applyBorder="1" applyAlignment="1">
      <alignment vertical="center" wrapText="1"/>
    </xf>
    <xf numFmtId="0" fontId="40" fillId="0" borderId="21" xfId="0" applyFont="1" applyBorder="1" applyAlignment="1">
      <alignment vertical="center" wrapText="1"/>
    </xf>
    <xf numFmtId="0" fontId="40" fillId="0" borderId="12" xfId="0" applyFont="1" applyBorder="1" applyAlignment="1">
      <alignment vertical="center" wrapText="1"/>
    </xf>
    <xf numFmtId="0" fontId="45" fillId="0" borderId="1" xfId="0" applyFont="1" applyBorder="1" applyAlignment="1">
      <alignment horizontal="left" vertical="center" wrapText="1"/>
    </xf>
    <xf numFmtId="0" fontId="40" fillId="0" borderId="1" xfId="0" applyFont="1" applyBorder="1" applyAlignment="1">
      <alignment vertical="center" wrapText="1"/>
    </xf>
  </cellXfs>
  <cellStyles count="9">
    <cellStyle name="Moeda" xfId="6" builtinId="4"/>
    <cellStyle name="Normal" xfId="0" builtinId="0"/>
    <cellStyle name="Normal 2" xfId="2" xr:uid="{9218941D-87C2-4366-BD4B-3B7416950EB8}"/>
    <cellStyle name="Normal 4 2" xfId="5" xr:uid="{8C92A67B-3637-47E1-9739-CDA658AD9B1A}"/>
    <cellStyle name="Porcentagem 2" xfId="4" xr:uid="{C7C900D2-D7E9-41AB-9ED5-B6E6924CE58D}"/>
    <cellStyle name="Porcentagem 2 2" xfId="8" xr:uid="{BFBB7B88-E750-4D5E-B2C2-096820F58E0B}"/>
    <cellStyle name="Vírgula" xfId="1" builtinId="3"/>
    <cellStyle name="Vírgula 3" xfId="3" xr:uid="{BBBEF57D-A0AC-4379-B247-BBBE565AD664}"/>
    <cellStyle name="Vírgula 3 2" xfId="7" xr:uid="{1CC0D84E-306F-445A-A835-0E80D30FA8C3}"/>
  </cellStyles>
  <dxfs count="0"/>
  <tableStyles count="0" defaultTableStyle="TableStyleMedium2" defaultPivotStyle="PivotStyleLight16"/>
  <colors>
    <mruColors>
      <color rgb="FFEFF6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Elaine Radel" id="{679C535A-4B94-4FD7-9102-43295F60A4CF}" userId="S::elaine.radel@infrasa.gov.br::fa630a83-7d7e-4ee0-89da-ca7bf07d8e3b" providerId="AD"/>
</personList>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8" dT="2023-10-09T20:02:58.83" personId="{679C535A-4B94-4FD7-9102-43295F60A4CF}" id="{94DDB047-ABDC-4801-94FF-2393FBF0BDE4}">
    <text>Essa coluna não existia na SUPEA, mas existia na SUPET, então, para fins de padronização, faz sentido tê-la aqui também.</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CA4F1-88BB-4864-B19D-F95AC5112C31}">
  <dimension ref="A1:G13"/>
  <sheetViews>
    <sheetView workbookViewId="0">
      <selection sqref="A1:A2"/>
    </sheetView>
  </sheetViews>
  <sheetFormatPr defaultRowHeight="14.5"/>
  <cols>
    <col min="1" max="1" width="45.26953125" customWidth="1"/>
    <col min="2" max="2" width="33.26953125" customWidth="1"/>
    <col min="3" max="7" width="26.54296875" customWidth="1"/>
  </cols>
  <sheetData>
    <row r="1" spans="1:7">
      <c r="A1" s="378" t="s">
        <v>0</v>
      </c>
      <c r="B1" s="1"/>
      <c r="C1" s="378" t="s">
        <v>1</v>
      </c>
      <c r="D1" s="378"/>
      <c r="E1" s="378" t="s">
        <v>2</v>
      </c>
      <c r="F1" s="378"/>
      <c r="G1" s="378"/>
    </row>
    <row r="2" spans="1:7" ht="29">
      <c r="A2" s="378"/>
      <c r="B2" s="2" t="s">
        <v>3</v>
      </c>
      <c r="C2" s="2" t="s">
        <v>4</v>
      </c>
      <c r="D2" s="2" t="s">
        <v>5</v>
      </c>
      <c r="E2" s="2" t="s">
        <v>6</v>
      </c>
      <c r="F2" s="2" t="s">
        <v>7</v>
      </c>
      <c r="G2" s="2" t="s">
        <v>8</v>
      </c>
    </row>
    <row r="3" spans="1:7">
      <c r="A3" s="3" t="s">
        <v>9</v>
      </c>
      <c r="B3" s="8"/>
      <c r="C3" s="4">
        <v>1</v>
      </c>
      <c r="D3" s="4">
        <v>1</v>
      </c>
      <c r="F3" s="3"/>
      <c r="G3" s="3">
        <v>2</v>
      </c>
    </row>
    <row r="4" spans="1:7">
      <c r="A4" s="5" t="s">
        <v>10</v>
      </c>
      <c r="B4" s="8"/>
      <c r="C4" s="4"/>
      <c r="D4" s="4">
        <v>1</v>
      </c>
      <c r="E4" s="3">
        <v>2</v>
      </c>
      <c r="F4" s="3"/>
      <c r="G4" s="3"/>
    </row>
    <row r="5" spans="1:7">
      <c r="A5" s="5" t="s">
        <v>11</v>
      </c>
      <c r="B5" s="8"/>
      <c r="C5" s="4"/>
      <c r="D5" s="4"/>
      <c r="E5" s="3">
        <v>1</v>
      </c>
      <c r="F5" s="3"/>
      <c r="G5" s="3"/>
    </row>
    <row r="6" spans="1:7">
      <c r="A6" s="5" t="s">
        <v>12</v>
      </c>
      <c r="B6" s="8"/>
      <c r="C6" s="4"/>
      <c r="D6" s="4">
        <v>1</v>
      </c>
      <c r="E6" s="3"/>
      <c r="F6" s="3"/>
      <c r="G6" s="3">
        <v>1</v>
      </c>
    </row>
    <row r="7" spans="1:7">
      <c r="A7" s="3" t="s">
        <v>13</v>
      </c>
      <c r="B7" s="8"/>
      <c r="C7" s="4"/>
      <c r="D7" s="4"/>
      <c r="E7" s="3"/>
      <c r="F7" s="3">
        <v>1</v>
      </c>
      <c r="G7" s="3"/>
    </row>
    <row r="8" spans="1:7">
      <c r="A8" s="3" t="s">
        <v>14</v>
      </c>
      <c r="B8" s="8"/>
      <c r="C8" s="4"/>
      <c r="D8" s="4"/>
      <c r="E8" s="3">
        <v>1</v>
      </c>
      <c r="F8" s="3"/>
      <c r="G8" s="3"/>
    </row>
    <row r="9" spans="1:7">
      <c r="A9" s="3" t="s">
        <v>15</v>
      </c>
      <c r="B9" s="8"/>
      <c r="C9" s="4"/>
      <c r="D9" s="4">
        <v>1</v>
      </c>
      <c r="E9" s="3">
        <v>1</v>
      </c>
      <c r="F9" s="3"/>
      <c r="G9" s="3">
        <v>1</v>
      </c>
    </row>
    <row r="10" spans="1:7">
      <c r="A10" s="3" t="s">
        <v>16</v>
      </c>
      <c r="B10" s="8"/>
      <c r="C10" s="4"/>
      <c r="D10" s="4"/>
      <c r="E10" s="3">
        <v>1</v>
      </c>
      <c r="F10" s="3"/>
      <c r="G10" s="3">
        <v>1</v>
      </c>
    </row>
    <row r="11" spans="1:7">
      <c r="A11" s="3" t="s">
        <v>17</v>
      </c>
      <c r="B11" s="4">
        <v>1</v>
      </c>
      <c r="C11" s="4"/>
      <c r="D11" s="4"/>
      <c r="E11" s="3"/>
      <c r="F11" s="3"/>
      <c r="G11" s="3"/>
    </row>
    <row r="12" spans="1:7">
      <c r="A12" s="6" t="s">
        <v>18</v>
      </c>
      <c r="B12" s="377">
        <f>SUM(B3:D11)</f>
        <v>6</v>
      </c>
      <c r="C12" s="377"/>
      <c r="D12" s="377"/>
      <c r="E12" s="377">
        <f>SUM(E3:G11)</f>
        <v>12</v>
      </c>
      <c r="F12" s="377"/>
      <c r="G12" s="377"/>
    </row>
    <row r="13" spans="1:7">
      <c r="A13" s="6" t="s">
        <v>19</v>
      </c>
      <c r="B13" s="377">
        <f>B12+E12</f>
        <v>18</v>
      </c>
      <c r="C13" s="377"/>
      <c r="D13" s="377"/>
      <c r="E13" s="377"/>
      <c r="F13" s="377"/>
      <c r="G13" s="377"/>
    </row>
  </sheetData>
  <mergeCells count="6">
    <mergeCell ref="B13:G13"/>
    <mergeCell ref="A1:A2"/>
    <mergeCell ref="C1:D1"/>
    <mergeCell ref="E1:G1"/>
    <mergeCell ref="E12:G12"/>
    <mergeCell ref="B12:D1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34708-F622-451B-AF67-BFED8D783BC0}">
  <sheetPr>
    <tabColor theme="9" tint="0.79998168889431442"/>
  </sheetPr>
  <dimension ref="B1:M52"/>
  <sheetViews>
    <sheetView workbookViewId="0"/>
  </sheetViews>
  <sheetFormatPr defaultRowHeight="14.5"/>
  <cols>
    <col min="2" max="6" width="27" customWidth="1"/>
    <col min="7" max="7" width="67.7265625" customWidth="1"/>
    <col min="8" max="8" width="16.1796875" customWidth="1"/>
    <col min="9" max="9" width="8.7265625" customWidth="1"/>
    <col min="10" max="10" width="17.453125" customWidth="1"/>
    <col min="11" max="12" width="17.81640625" customWidth="1"/>
  </cols>
  <sheetData>
    <row r="1" spans="2:12" ht="18.5">
      <c r="B1" s="426" t="s">
        <v>225</v>
      </c>
      <c r="C1" s="426"/>
      <c r="D1" s="426"/>
      <c r="E1" s="426"/>
      <c r="F1" s="426"/>
      <c r="G1" s="426"/>
      <c r="H1" s="426"/>
      <c r="I1" s="427"/>
      <c r="J1" s="428"/>
      <c r="K1" s="428"/>
      <c r="L1" s="183"/>
    </row>
    <row r="2" spans="2:12" ht="29">
      <c r="B2" s="49" t="s">
        <v>20</v>
      </c>
      <c r="C2" s="48" t="s">
        <v>21</v>
      </c>
      <c r="D2" s="48" t="s">
        <v>109</v>
      </c>
      <c r="E2" s="48" t="s">
        <v>110</v>
      </c>
      <c r="F2" s="48" t="s">
        <v>311</v>
      </c>
      <c r="G2" s="48" t="s">
        <v>112</v>
      </c>
      <c r="H2" s="50" t="s">
        <v>227</v>
      </c>
      <c r="I2" s="50" t="s">
        <v>114</v>
      </c>
      <c r="J2" s="31" t="s">
        <v>228</v>
      </c>
      <c r="K2" s="31" t="s">
        <v>116</v>
      </c>
      <c r="L2" s="184"/>
    </row>
    <row r="3" spans="2:12" ht="63" customHeight="1">
      <c r="B3" s="133" t="s">
        <v>229</v>
      </c>
      <c r="C3" s="134" t="s">
        <v>312</v>
      </c>
      <c r="D3" s="134" t="s">
        <v>233</v>
      </c>
      <c r="E3" s="134" t="s">
        <v>234</v>
      </c>
      <c r="F3" s="134" t="s">
        <v>235</v>
      </c>
      <c r="G3" s="134" t="s">
        <v>313</v>
      </c>
      <c r="H3" s="136" t="s">
        <v>314</v>
      </c>
      <c r="I3" s="137">
        <v>12</v>
      </c>
      <c r="J3" s="137" t="s">
        <v>315</v>
      </c>
      <c r="K3" s="137" t="s">
        <v>315</v>
      </c>
      <c r="L3" s="185"/>
    </row>
    <row r="4" spans="2:12" hidden="1">
      <c r="B4" s="31"/>
      <c r="C4" s="40"/>
      <c r="D4" s="40"/>
      <c r="E4" s="40"/>
      <c r="F4" s="40"/>
      <c r="G4" s="40"/>
      <c r="H4" s="48"/>
      <c r="I4" s="51"/>
      <c r="J4" s="52"/>
      <c r="K4" s="52"/>
      <c r="L4" s="183"/>
    </row>
    <row r="5" spans="2:12" hidden="1">
      <c r="B5" s="31"/>
      <c r="C5" s="40"/>
      <c r="D5" s="40"/>
      <c r="E5" s="40"/>
      <c r="F5" s="31"/>
      <c r="G5" s="31"/>
      <c r="H5" s="48"/>
      <c r="I5" s="51"/>
      <c r="J5" s="52"/>
      <c r="K5" s="52"/>
      <c r="L5" s="183"/>
    </row>
    <row r="6" spans="2:12" hidden="1">
      <c r="B6" s="31"/>
      <c r="C6" s="40"/>
      <c r="D6" s="40"/>
      <c r="E6" s="40"/>
      <c r="F6" s="31"/>
      <c r="G6" s="31"/>
      <c r="H6" s="48"/>
      <c r="I6" s="51"/>
      <c r="J6" s="52"/>
      <c r="K6" s="52"/>
      <c r="L6" s="183"/>
    </row>
    <row r="7" spans="2:12" hidden="1">
      <c r="B7" s="31"/>
      <c r="C7" s="40"/>
      <c r="D7" s="40"/>
      <c r="E7" s="40"/>
      <c r="F7" s="31"/>
      <c r="G7" s="31"/>
      <c r="H7" s="48"/>
      <c r="I7" s="51"/>
      <c r="J7" s="52"/>
      <c r="K7" s="52"/>
      <c r="L7" s="183"/>
    </row>
    <row r="8" spans="2:12" hidden="1">
      <c r="B8" s="31"/>
      <c r="C8" s="53"/>
      <c r="D8" s="40"/>
      <c r="E8" s="40"/>
      <c r="F8" s="53"/>
      <c r="G8" s="53"/>
      <c r="H8" s="48"/>
      <c r="I8" s="51"/>
      <c r="J8" s="52"/>
      <c r="K8" s="52"/>
      <c r="L8" s="183"/>
    </row>
    <row r="9" spans="2:12" hidden="1">
      <c r="B9" s="31"/>
      <c r="C9" s="31"/>
      <c r="D9" s="40"/>
      <c r="E9" s="40"/>
      <c r="F9" s="53"/>
      <c r="G9" s="53"/>
      <c r="H9" s="48"/>
      <c r="I9" s="51"/>
      <c r="J9" s="52"/>
      <c r="K9" s="52"/>
      <c r="L9" s="183"/>
    </row>
    <row r="10" spans="2:12" hidden="1">
      <c r="B10" s="51"/>
      <c r="C10" s="51"/>
      <c r="D10" s="51"/>
      <c r="E10" s="51"/>
      <c r="F10" s="51"/>
      <c r="G10" s="51"/>
      <c r="H10" s="51"/>
      <c r="I10" s="51"/>
      <c r="J10" s="52"/>
      <c r="K10" s="52"/>
      <c r="L10" s="183"/>
    </row>
    <row r="11" spans="2:12" ht="18.5" hidden="1">
      <c r="B11" s="426" t="s">
        <v>271</v>
      </c>
      <c r="C11" s="426"/>
      <c r="D11" s="426"/>
      <c r="E11" s="426"/>
      <c r="F11" s="426"/>
      <c r="G11" s="426"/>
      <c r="H11" s="426"/>
      <c r="I11" s="427"/>
      <c r="J11" s="428"/>
      <c r="K11" s="428"/>
      <c r="L11" s="183"/>
    </row>
    <row r="12" spans="2:12" hidden="1">
      <c r="B12" s="54" t="s">
        <v>20</v>
      </c>
      <c r="C12" s="54" t="s">
        <v>21</v>
      </c>
      <c r="D12" s="48" t="s">
        <v>109</v>
      </c>
      <c r="E12" s="48" t="s">
        <v>110</v>
      </c>
      <c r="F12" s="54" t="s">
        <v>24</v>
      </c>
      <c r="G12" s="54"/>
      <c r="H12" s="50" t="s">
        <v>113</v>
      </c>
      <c r="I12" s="50" t="s">
        <v>114</v>
      </c>
      <c r="J12" s="429" t="s">
        <v>257</v>
      </c>
      <c r="K12" s="429"/>
      <c r="L12" s="184"/>
    </row>
    <row r="13" spans="2:12" hidden="1">
      <c r="B13" s="31"/>
      <c r="C13" s="55"/>
      <c r="D13" s="40"/>
      <c r="E13" s="40"/>
      <c r="F13" s="31"/>
      <c r="G13" s="31"/>
      <c r="H13" s="48"/>
      <c r="I13" s="51"/>
      <c r="J13" s="31"/>
      <c r="K13" s="31"/>
      <c r="L13" s="184"/>
    </row>
    <row r="14" spans="2:12" hidden="1">
      <c r="B14" s="31"/>
      <c r="C14" s="55"/>
      <c r="D14" s="40"/>
      <c r="E14" s="40"/>
      <c r="F14" s="31"/>
      <c r="G14" s="31"/>
      <c r="H14" s="48"/>
      <c r="I14" s="51"/>
      <c r="J14" s="52"/>
      <c r="K14" s="52"/>
      <c r="L14" s="183"/>
    </row>
    <row r="15" spans="2:12" hidden="1">
      <c r="B15" s="31"/>
      <c r="C15" s="55"/>
      <c r="D15" s="40"/>
      <c r="E15" s="40"/>
      <c r="F15" s="53"/>
      <c r="G15" s="53"/>
      <c r="H15" s="48"/>
      <c r="I15" s="51"/>
      <c r="J15" s="52"/>
      <c r="K15" s="52"/>
      <c r="L15" s="183"/>
    </row>
    <row r="16" spans="2:12" hidden="1">
      <c r="B16" s="31"/>
      <c r="C16" s="40"/>
      <c r="D16" s="40"/>
      <c r="E16" s="40"/>
      <c r="F16" s="53"/>
      <c r="G16" s="53"/>
      <c r="H16" s="48"/>
      <c r="I16" s="51"/>
      <c r="J16" s="52"/>
      <c r="K16" s="52"/>
      <c r="L16" s="183"/>
    </row>
    <row r="17" spans="2:12" ht="18.5" hidden="1">
      <c r="B17" s="426" t="s">
        <v>120</v>
      </c>
      <c r="C17" s="426"/>
      <c r="D17" s="426"/>
      <c r="E17" s="426"/>
      <c r="F17" s="426"/>
      <c r="G17" s="426"/>
      <c r="H17" s="426"/>
      <c r="I17" s="427"/>
      <c r="J17" s="428"/>
      <c r="K17" s="428"/>
      <c r="L17" s="183"/>
    </row>
    <row r="18" spans="2:12" hidden="1">
      <c r="B18" s="54" t="s">
        <v>20</v>
      </c>
      <c r="C18" s="48" t="s">
        <v>21</v>
      </c>
      <c r="D18" s="48" t="s">
        <v>109</v>
      </c>
      <c r="E18" s="48" t="s">
        <v>110</v>
      </c>
      <c r="F18" s="54" t="s">
        <v>24</v>
      </c>
      <c r="G18" s="54"/>
      <c r="H18" s="50" t="s">
        <v>113</v>
      </c>
      <c r="I18" s="50" t="s">
        <v>114</v>
      </c>
      <c r="J18" s="429" t="s">
        <v>257</v>
      </c>
      <c r="K18" s="429"/>
      <c r="L18" s="184"/>
    </row>
    <row r="19" spans="2:12" hidden="1">
      <c r="B19" s="31"/>
      <c r="C19" s="43"/>
      <c r="D19" s="40"/>
      <c r="E19" s="40"/>
      <c r="F19" s="31"/>
      <c r="G19" s="31"/>
      <c r="H19" s="48"/>
      <c r="I19" s="51"/>
      <c r="J19" s="31"/>
      <c r="K19" s="31"/>
      <c r="L19" s="184"/>
    </row>
    <row r="20" spans="2:12" hidden="1">
      <c r="B20" s="31"/>
      <c r="C20" s="40"/>
      <c r="D20" s="40"/>
      <c r="E20" s="40"/>
      <c r="F20" s="31"/>
      <c r="G20" s="31"/>
      <c r="H20" s="48"/>
      <c r="I20" s="51"/>
      <c r="J20" s="52"/>
      <c r="K20" s="52"/>
      <c r="L20" s="183"/>
    </row>
    <row r="21" spans="2:12" hidden="1">
      <c r="B21" s="31"/>
      <c r="C21" s="40"/>
      <c r="D21" s="40"/>
      <c r="E21" s="40"/>
      <c r="F21" s="31"/>
      <c r="G21" s="31"/>
      <c r="H21" s="48"/>
      <c r="I21" s="51"/>
      <c r="J21" s="52"/>
      <c r="K21" s="52"/>
      <c r="L21" s="183"/>
    </row>
    <row r="22" spans="2:12" hidden="1">
      <c r="B22" s="31"/>
      <c r="C22" s="43"/>
      <c r="D22" s="40"/>
      <c r="E22" s="40"/>
      <c r="F22" s="31"/>
      <c r="G22" s="31"/>
      <c r="H22" s="48"/>
      <c r="I22" s="51"/>
      <c r="J22" s="52"/>
      <c r="K22" s="52"/>
      <c r="L22" s="183"/>
    </row>
    <row r="23" spans="2:12" hidden="1">
      <c r="B23" s="31"/>
      <c r="C23" s="40"/>
      <c r="D23" s="40"/>
      <c r="E23" s="40"/>
      <c r="F23" s="31"/>
      <c r="G23" s="31"/>
      <c r="H23" s="48"/>
      <c r="I23" s="51"/>
      <c r="J23" s="52"/>
      <c r="K23" s="52"/>
      <c r="L23" s="183"/>
    </row>
    <row r="24" spans="2:12" hidden="1">
      <c r="B24" s="31"/>
      <c r="C24" s="43"/>
      <c r="D24" s="40"/>
      <c r="E24" s="40"/>
      <c r="F24" s="40"/>
      <c r="G24" s="40"/>
      <c r="H24" s="48"/>
      <c r="I24" s="51"/>
      <c r="J24" s="52"/>
      <c r="K24" s="52"/>
      <c r="L24" s="183"/>
    </row>
    <row r="25" spans="2:12" hidden="1">
      <c r="B25" s="31"/>
      <c r="C25" s="40"/>
      <c r="D25" s="40"/>
      <c r="E25" s="40"/>
      <c r="F25" s="40"/>
      <c r="G25" s="40"/>
      <c r="H25" s="48"/>
      <c r="I25" s="51"/>
      <c r="J25" s="52"/>
      <c r="K25" s="52"/>
      <c r="L25" s="183"/>
    </row>
    <row r="26" spans="2:12" hidden="1">
      <c r="B26" s="51"/>
      <c r="C26" s="51"/>
      <c r="D26" s="51"/>
      <c r="E26" s="51"/>
      <c r="F26" s="51"/>
      <c r="G26" s="51"/>
      <c r="H26" s="51"/>
      <c r="I26" s="51"/>
      <c r="J26" s="52"/>
      <c r="K26" s="52"/>
      <c r="L26" s="183"/>
    </row>
    <row r="27" spans="2:12" ht="18.5" hidden="1">
      <c r="B27" s="426" t="s">
        <v>254</v>
      </c>
      <c r="C27" s="426"/>
      <c r="D27" s="426"/>
      <c r="E27" s="426"/>
      <c r="F27" s="426"/>
      <c r="G27" s="426"/>
      <c r="H27" s="426"/>
      <c r="I27" s="427"/>
      <c r="J27" s="428"/>
      <c r="K27" s="428"/>
      <c r="L27" s="183"/>
    </row>
    <row r="28" spans="2:12" hidden="1">
      <c r="B28" s="49" t="s">
        <v>20</v>
      </c>
      <c r="C28" s="48" t="s">
        <v>21</v>
      </c>
      <c r="D28" s="48" t="s">
        <v>109</v>
      </c>
      <c r="E28" s="48" t="s">
        <v>110</v>
      </c>
      <c r="F28" s="48" t="s">
        <v>24</v>
      </c>
      <c r="G28" s="48"/>
      <c r="H28" s="50" t="s">
        <v>113</v>
      </c>
      <c r="I28" s="50" t="s">
        <v>114</v>
      </c>
      <c r="J28" s="429" t="s">
        <v>257</v>
      </c>
      <c r="K28" s="429"/>
      <c r="L28" s="184"/>
    </row>
    <row r="29" spans="2:12" hidden="1">
      <c r="B29" s="31"/>
      <c r="C29" s="40"/>
      <c r="D29" s="40"/>
      <c r="E29" s="40"/>
      <c r="F29" s="31"/>
      <c r="G29" s="31"/>
      <c r="H29" s="48"/>
      <c r="I29" s="51"/>
      <c r="J29" s="31"/>
      <c r="K29" s="31"/>
      <c r="L29" s="184"/>
    </row>
    <row r="30" spans="2:12" hidden="1">
      <c r="B30" s="31"/>
      <c r="C30" s="40"/>
      <c r="D30" s="40"/>
      <c r="E30" s="40"/>
      <c r="F30" s="31"/>
      <c r="G30" s="31"/>
      <c r="H30" s="48"/>
      <c r="I30" s="51"/>
      <c r="J30" s="52"/>
      <c r="K30" s="52"/>
      <c r="L30" s="183"/>
    </row>
    <row r="31" spans="2:12" hidden="1">
      <c r="B31" s="31"/>
      <c r="C31" s="40"/>
      <c r="D31" s="40"/>
      <c r="E31" s="40"/>
      <c r="F31" s="31"/>
      <c r="G31" s="31"/>
      <c r="H31" s="48"/>
      <c r="I31" s="51"/>
      <c r="J31" s="52"/>
      <c r="K31" s="52"/>
      <c r="L31" s="183"/>
    </row>
    <row r="32" spans="2:12" hidden="1">
      <c r="B32" s="31"/>
      <c r="C32" s="40"/>
      <c r="D32" s="40"/>
      <c r="E32" s="40"/>
      <c r="F32" s="31"/>
      <c r="G32" s="31"/>
      <c r="H32" s="48"/>
      <c r="I32" s="51"/>
      <c r="J32" s="52"/>
      <c r="K32" s="52"/>
      <c r="L32" s="183"/>
    </row>
    <row r="33" spans="2:13" hidden="1">
      <c r="B33" s="31"/>
      <c r="C33" s="40"/>
      <c r="D33" s="40"/>
      <c r="E33" s="40"/>
      <c r="F33" s="31"/>
      <c r="G33" s="31"/>
      <c r="H33" s="48"/>
      <c r="I33" s="51"/>
      <c r="J33" s="52"/>
      <c r="K33" s="52"/>
      <c r="L33" s="183"/>
    </row>
    <row r="34" spans="2:13" hidden="1">
      <c r="B34" s="31"/>
      <c r="C34" s="40"/>
      <c r="D34" s="40"/>
      <c r="E34" s="40"/>
      <c r="F34" s="31"/>
      <c r="G34" s="31"/>
      <c r="H34" s="48"/>
      <c r="I34" s="51"/>
      <c r="J34" s="52"/>
      <c r="K34" s="52"/>
      <c r="L34" s="183"/>
    </row>
    <row r="35" spans="2:13" hidden="1">
      <c r="B35" s="31"/>
      <c r="C35" s="40"/>
      <c r="D35" s="40"/>
      <c r="E35" s="40"/>
      <c r="F35" s="31"/>
      <c r="G35" s="40"/>
      <c r="H35" s="48"/>
      <c r="I35" s="51"/>
      <c r="J35" s="52"/>
      <c r="K35" s="52"/>
      <c r="L35" s="183"/>
    </row>
    <row r="36" spans="2:13" hidden="1">
      <c r="B36" s="31"/>
      <c r="C36" s="40"/>
      <c r="D36" s="40"/>
      <c r="E36" s="40"/>
      <c r="F36" s="31"/>
      <c r="G36" s="40"/>
      <c r="H36" s="48"/>
      <c r="I36" s="51"/>
      <c r="J36" s="52"/>
      <c r="K36" s="52"/>
      <c r="L36" s="183"/>
    </row>
    <row r="37" spans="2:13" hidden="1">
      <c r="B37" s="31"/>
      <c r="C37" s="40"/>
      <c r="D37" s="40"/>
      <c r="E37" s="40"/>
      <c r="F37" s="31"/>
      <c r="G37" s="53"/>
      <c r="H37" s="48"/>
      <c r="I37" s="51"/>
      <c r="J37" s="52"/>
      <c r="K37" s="52"/>
      <c r="L37" s="183"/>
    </row>
    <row r="38" spans="2:13" hidden="1">
      <c r="B38" s="31"/>
      <c r="C38" s="40"/>
      <c r="D38" s="40"/>
      <c r="E38" s="40"/>
      <c r="F38" s="31"/>
      <c r="G38" s="53"/>
      <c r="H38" s="48"/>
      <c r="I38" s="51"/>
      <c r="J38" s="52"/>
      <c r="K38" s="52"/>
      <c r="L38" s="183"/>
    </row>
    <row r="39" spans="2:13" hidden="1">
      <c r="B39" s="51"/>
      <c r="C39" s="51"/>
      <c r="D39" s="51"/>
      <c r="E39" s="51"/>
      <c r="F39" s="51"/>
      <c r="G39" s="51"/>
      <c r="H39" s="51"/>
      <c r="I39" s="51"/>
      <c r="J39" s="52"/>
      <c r="K39" s="52"/>
      <c r="L39" s="183"/>
    </row>
    <row r="40" spans="2:13" ht="18.5">
      <c r="B40" s="426" t="s">
        <v>154</v>
      </c>
      <c r="C40" s="426"/>
      <c r="D40" s="426"/>
      <c r="E40" s="426"/>
      <c r="F40" s="426"/>
      <c r="G40" s="426"/>
      <c r="H40" s="426"/>
      <c r="I40" s="427"/>
      <c r="J40" s="428"/>
      <c r="K40" s="428"/>
      <c r="L40" s="183"/>
    </row>
    <row r="41" spans="2:13">
      <c r="B41" s="49" t="s">
        <v>20</v>
      </c>
      <c r="C41" s="48" t="s">
        <v>21</v>
      </c>
      <c r="D41" s="48" t="s">
        <v>109</v>
      </c>
      <c r="E41" s="48" t="s">
        <v>110</v>
      </c>
      <c r="F41" s="48" t="s">
        <v>24</v>
      </c>
      <c r="G41" s="48" t="s">
        <v>112</v>
      </c>
      <c r="H41" s="50" t="s">
        <v>113</v>
      </c>
      <c r="I41" s="50" t="s">
        <v>114</v>
      </c>
      <c r="J41" s="429" t="s">
        <v>257</v>
      </c>
      <c r="K41" s="429"/>
      <c r="L41" s="184"/>
    </row>
    <row r="42" spans="2:13" ht="78">
      <c r="B42" s="418" t="e">
        <f>'PERFIS COM PESO'!#REF!</f>
        <v>#REF!</v>
      </c>
      <c r="C42" s="196" t="e">
        <f>'PERFIS COM PESO'!#REF!</f>
        <v>#REF!</v>
      </c>
      <c r="D42" s="196" t="e">
        <f>'PERFIS COM PESO'!#REF!</f>
        <v>#REF!</v>
      </c>
      <c r="E42" s="196" t="e">
        <f>'PERFIS COM PESO'!#REF!</f>
        <v>#REF!</v>
      </c>
      <c r="F42" s="196" t="e">
        <f>'PERFIS COM PESO'!#REF!</f>
        <v>#REF!</v>
      </c>
      <c r="G42" s="153" t="s">
        <v>316</v>
      </c>
      <c r="H42" s="206" t="e">
        <f>'PERFIS COM PESO'!#REF!</f>
        <v>#REF!</v>
      </c>
      <c r="I42" s="206" t="e">
        <f>'PERFIS COM PESO'!#REF!</f>
        <v>#REF!</v>
      </c>
      <c r="J42" s="207" t="e">
        <f>'PERFIS COM PESO'!#REF!</f>
        <v>#REF!</v>
      </c>
      <c r="K42" s="222" t="e">
        <f>'PERFIS COM PESO'!#REF!</f>
        <v>#REF!</v>
      </c>
      <c r="L42" s="186"/>
      <c r="M42" s="152" t="s">
        <v>119</v>
      </c>
    </row>
    <row r="43" spans="2:13" ht="78">
      <c r="B43" s="418"/>
      <c r="C43" s="504" t="str">
        <f>'PERFIS COM PESO'!C25</f>
        <v>SUPEA 4 - Assessoramento em estruturação de negócios e estudos de logística e transportes</v>
      </c>
      <c r="D43" s="504" t="str">
        <f>'PERFIS COM PESO'!I25</f>
        <v>Sob demanda</v>
      </c>
      <c r="E43" s="504" t="str">
        <f>'PERFIS COM PESO'!J25</f>
        <v>mês</v>
      </c>
      <c r="F43" s="196" t="str">
        <f>'PERFIS COM PESO'!L25</f>
        <v>Economista sênior</v>
      </c>
      <c r="G43" s="153" t="s">
        <v>317</v>
      </c>
      <c r="H43" s="206">
        <f>'PERFIS COM PESO'!N25</f>
        <v>2</v>
      </c>
      <c r="I43" s="206">
        <f>'PERFIS COM PESO'!O25</f>
        <v>24</v>
      </c>
      <c r="J43" s="208">
        <f>'PERFIS COM PESO'!P25</f>
        <v>29276.858339999999</v>
      </c>
      <c r="K43" s="223">
        <f>'PERFIS COM PESO'!Q25</f>
        <v>1405289.2003199998</v>
      </c>
      <c r="L43" s="186"/>
      <c r="M43" s="152" t="s">
        <v>161</v>
      </c>
    </row>
    <row r="44" spans="2:13" ht="65">
      <c r="B44" s="418"/>
      <c r="C44" s="504"/>
      <c r="D44" s="504"/>
      <c r="E44" s="504"/>
      <c r="F44" s="196" t="str">
        <f>'PERFIS COM PESO'!L26</f>
        <v>Advogado sênior</v>
      </c>
      <c r="G44" s="153" t="s">
        <v>318</v>
      </c>
      <c r="H44" s="206">
        <f>'PERFIS COM PESO'!N26</f>
        <v>1</v>
      </c>
      <c r="I44" s="206">
        <f>'PERFIS COM PESO'!O26</f>
        <v>24</v>
      </c>
      <c r="J44" s="208">
        <f>'PERFIS COM PESO'!P26</f>
        <v>28428.388920000001</v>
      </c>
      <c r="K44" s="223">
        <f>'PERFIS COM PESO'!Q26</f>
        <v>682281.33408000006</v>
      </c>
      <c r="L44" s="186"/>
      <c r="M44" s="152" t="s">
        <v>164</v>
      </c>
    </row>
    <row r="45" spans="2:13" ht="78">
      <c r="B45" s="418"/>
      <c r="C45" s="504"/>
      <c r="D45" s="504"/>
      <c r="E45" s="504"/>
      <c r="F45" s="196" t="str">
        <f>'PERFIS COM PESO'!L27</f>
        <v>Especialista em transportes</v>
      </c>
      <c r="G45" s="153" t="s">
        <v>319</v>
      </c>
      <c r="H45" s="206">
        <f>'PERFIS COM PESO'!N27</f>
        <v>1</v>
      </c>
      <c r="I45" s="206">
        <f>'PERFIS COM PESO'!O27</f>
        <v>24</v>
      </c>
      <c r="J45" s="208">
        <f>'PERFIS COM PESO'!P27</f>
        <v>40624.083059999997</v>
      </c>
      <c r="K45" s="223">
        <f>'PERFIS COM PESO'!Q27</f>
        <v>974977.99343999987</v>
      </c>
      <c r="L45" s="186"/>
      <c r="M45" s="152" t="s">
        <v>167</v>
      </c>
    </row>
    <row r="46" spans="2:13" ht="91">
      <c r="B46" s="418"/>
      <c r="C46" s="418"/>
      <c r="D46" s="418"/>
      <c r="E46" s="418"/>
      <c r="F46" s="196" t="str">
        <f>'PERFIS COM PESO'!L28</f>
        <v>Especialista em análise de dados</v>
      </c>
      <c r="G46" s="153" t="s">
        <v>320</v>
      </c>
      <c r="H46" s="206">
        <f>'PERFIS COM PESO'!N28</f>
        <v>1</v>
      </c>
      <c r="I46" s="206">
        <f>'PERFIS COM PESO'!O28</f>
        <v>24</v>
      </c>
      <c r="J46" s="208">
        <f>'PERFIS COM PESO'!P28</f>
        <v>25699.020540000001</v>
      </c>
      <c r="K46" s="223">
        <f>'PERFIS COM PESO'!Q28</f>
        <v>616776.49296000006</v>
      </c>
      <c r="L46" s="186"/>
      <c r="M46" s="152" t="s">
        <v>170</v>
      </c>
    </row>
    <row r="47" spans="2:13" ht="78">
      <c r="B47" s="505" t="str">
        <f>'PERFIS COM PESO'!B29</f>
        <v>AÇÃO 5 - SUPEA - Assessoramento técnico especializado de engenharia de transportes</v>
      </c>
      <c r="C47" s="504" t="str">
        <f>'PERFIS COM PESO'!C29</f>
        <v>SUPEA 5 - Assessoramento em engenharia de transportes</v>
      </c>
      <c r="D47" s="504" t="str">
        <f>'PERFIS COM PESO'!I29</f>
        <v>Sob demanda</v>
      </c>
      <c r="E47" s="504" t="str">
        <f>'PERFIS COM PESO'!J29</f>
        <v>mês</v>
      </c>
      <c r="F47" s="196" t="str">
        <f>'PERFIS COM PESO'!L29</f>
        <v>Eng. Civil (esp. em orçamentos e propostas)</v>
      </c>
      <c r="G47" s="158" t="s">
        <v>321</v>
      </c>
      <c r="H47" s="206">
        <f>'PERFIS COM PESO'!N29</f>
        <v>1</v>
      </c>
      <c r="I47" s="206">
        <f>'PERFIS COM PESO'!O29</f>
        <v>24</v>
      </c>
      <c r="J47" s="208">
        <f>'PERFIS COM PESO'!P29</f>
        <v>40624.083059999997</v>
      </c>
      <c r="K47" s="223">
        <f>'PERFIS COM PESO'!Q29</f>
        <v>974977.99343999987</v>
      </c>
      <c r="L47" s="186"/>
      <c r="M47" s="157" t="s">
        <v>167</v>
      </c>
    </row>
    <row r="48" spans="2:13" ht="130">
      <c r="B48" s="505"/>
      <c r="C48" s="504"/>
      <c r="D48" s="504"/>
      <c r="E48" s="504"/>
      <c r="F48" s="196" t="str">
        <f>'PERFIS COM PESO'!L30</f>
        <v>Eng. Civil (esp. em  infraestrutura de transportes)</v>
      </c>
      <c r="G48" s="158" t="s">
        <v>322</v>
      </c>
      <c r="H48" s="206">
        <f>'PERFIS COM PESO'!N30</f>
        <v>1</v>
      </c>
      <c r="I48" s="206">
        <f>'PERFIS COM PESO'!O30</f>
        <v>24</v>
      </c>
      <c r="J48" s="208">
        <f>'PERFIS COM PESO'!P30</f>
        <v>40624.083059999997</v>
      </c>
      <c r="K48" s="223">
        <f>'PERFIS COM PESO'!Q30</f>
        <v>974977.99343999987</v>
      </c>
      <c r="L48" s="186"/>
      <c r="M48" s="157" t="s">
        <v>167</v>
      </c>
    </row>
    <row r="49" spans="2:13" ht="91">
      <c r="B49" s="505"/>
      <c r="C49" s="504"/>
      <c r="D49" s="504"/>
      <c r="E49" s="504"/>
      <c r="F49" s="196" t="str">
        <f>'PERFIS COM PESO'!L31</f>
        <v>Especialista em geoprocessamento</v>
      </c>
      <c r="G49" s="158" t="s">
        <v>323</v>
      </c>
      <c r="H49" s="206">
        <f>'PERFIS COM PESO'!N31</f>
        <v>1</v>
      </c>
      <c r="I49" s="206">
        <f>'PERFIS COM PESO'!O31</f>
        <v>24</v>
      </c>
      <c r="J49" s="208">
        <f>'PERFIS COM PESO'!P31</f>
        <v>25049.607480000002</v>
      </c>
      <c r="K49" s="223">
        <f>'PERFIS COM PESO'!Q31</f>
        <v>601190.57952000003</v>
      </c>
      <c r="L49" s="186"/>
      <c r="M49" s="157" t="s">
        <v>182</v>
      </c>
    </row>
    <row r="50" spans="2:13" ht="156">
      <c r="B50" s="501" t="str">
        <f>'PERFIS COM PESO'!B32</f>
        <v>AÇÃO 6 - SUPEA - Assessoramento técnico especializado de engenharia aeroportuária</v>
      </c>
      <c r="C50" s="498" t="str">
        <f>'PERFIS COM PESO'!C32</f>
        <v>SUPEA 6 - Assessoramento em engenharia aeroportuária</v>
      </c>
      <c r="D50" s="498" t="str">
        <f>'PERFIS COM PESO'!I32</f>
        <v>Sob demanda</v>
      </c>
      <c r="E50" s="498" t="str">
        <f>'PERFIS COM PESO'!J32</f>
        <v>mês</v>
      </c>
      <c r="F50" s="196" t="str">
        <f>'PERFIS COM PESO'!L32</f>
        <v>Especialista em operações aeroportuárias</v>
      </c>
      <c r="G50" s="161" t="s">
        <v>324</v>
      </c>
      <c r="H50" s="206">
        <f>'PERFIS COM PESO'!N32</f>
        <v>1</v>
      </c>
      <c r="I50" s="206">
        <f>'PERFIS COM PESO'!O32</f>
        <v>24</v>
      </c>
      <c r="J50" s="208">
        <f>'PERFIS COM PESO'!P32</f>
        <v>40624.083059999997</v>
      </c>
      <c r="K50" s="223">
        <f>'PERFIS COM PESO'!Q32</f>
        <v>974977.99343999987</v>
      </c>
      <c r="L50" s="186"/>
      <c r="M50" s="160" t="s">
        <v>167</v>
      </c>
    </row>
    <row r="51" spans="2:13" ht="130">
      <c r="B51" s="502"/>
      <c r="C51" s="499"/>
      <c r="D51" s="499"/>
      <c r="E51" s="499"/>
      <c r="F51" s="196" t="str">
        <f>'PERFIS COM PESO'!L33</f>
        <v>Especialista em infraestrutura aeroportuária</v>
      </c>
      <c r="G51" s="161" t="s">
        <v>325</v>
      </c>
      <c r="H51" s="206">
        <f>'PERFIS COM PESO'!N33</f>
        <v>1</v>
      </c>
      <c r="I51" s="206">
        <f>'PERFIS COM PESO'!O33</f>
        <v>24</v>
      </c>
      <c r="J51" s="208">
        <f>'PERFIS COM PESO'!P33</f>
        <v>40624.083059999997</v>
      </c>
      <c r="K51" s="223">
        <f>'PERFIS COM PESO'!Q33</f>
        <v>974977.99343999987</v>
      </c>
      <c r="L51" s="186"/>
      <c r="M51" s="160" t="s">
        <v>167</v>
      </c>
    </row>
    <row r="52" spans="2:13" ht="91">
      <c r="B52" s="503"/>
      <c r="C52" s="500"/>
      <c r="D52" s="500"/>
      <c r="E52" s="500"/>
      <c r="F52" s="196" t="str">
        <f>'PERFIS COM PESO'!L34</f>
        <v>Especialista em BIM</v>
      </c>
      <c r="G52" s="161" t="s">
        <v>326</v>
      </c>
      <c r="H52" s="206">
        <f>'PERFIS COM PESO'!N34</f>
        <v>1</v>
      </c>
      <c r="I52" s="206">
        <f>'PERFIS COM PESO'!O34</f>
        <v>24</v>
      </c>
      <c r="J52" s="208">
        <f>'PERFIS COM PESO'!P34</f>
        <v>40624.083059999997</v>
      </c>
      <c r="K52" s="223">
        <f>'PERFIS COM PESO'!Q34</f>
        <v>974977.99343999987</v>
      </c>
      <c r="L52" s="186"/>
      <c r="M52" s="160" t="s">
        <v>167</v>
      </c>
    </row>
  </sheetData>
  <mergeCells count="21">
    <mergeCell ref="B1:K1"/>
    <mergeCell ref="J18:K18"/>
    <mergeCell ref="J28:K28"/>
    <mergeCell ref="J41:K41"/>
    <mergeCell ref="B27:K27"/>
    <mergeCell ref="B40:K40"/>
    <mergeCell ref="J12:K12"/>
    <mergeCell ref="B11:K11"/>
    <mergeCell ref="B17:K17"/>
    <mergeCell ref="E50:E52"/>
    <mergeCell ref="B50:B52"/>
    <mergeCell ref="C50:C52"/>
    <mergeCell ref="D50:D52"/>
    <mergeCell ref="E43:E46"/>
    <mergeCell ref="B47:B49"/>
    <mergeCell ref="C47:C49"/>
    <mergeCell ref="D47:D49"/>
    <mergeCell ref="E47:E49"/>
    <mergeCell ref="B42:B46"/>
    <mergeCell ref="C43:C46"/>
    <mergeCell ref="D43:D46"/>
  </mergeCells>
  <dataValidations count="1">
    <dataValidation type="list" allowBlank="1" showInputMessage="1" showErrorMessage="1" sqref="M42:M52" xr:uid="{7279C01B-E2BE-44AB-8DB3-741DFAD12DE5}">
      <formula1>#REF!</formula1>
    </dataValidation>
  </dataValidations>
  <pageMargins left="0.511811024" right="0.511811024" top="0.78740157499999996" bottom="0.78740157499999996" header="0.31496062000000002" footer="0.31496062000000002"/>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C242F-B8CF-42F3-8164-DA71C69B3A2C}">
  <sheetPr>
    <tabColor theme="9" tint="-0.249977111117893"/>
    <outlinePr summaryBelow="0" summaryRight="0"/>
  </sheetPr>
  <dimension ref="A1:K195"/>
  <sheetViews>
    <sheetView workbookViewId="0">
      <selection activeCell="B42" sqref="B42"/>
    </sheetView>
  </sheetViews>
  <sheetFormatPr defaultColWidth="14.453125" defaultRowHeight="15.75" customHeight="1"/>
  <cols>
    <col min="1" max="1" width="16.453125" style="81" customWidth="1"/>
    <col min="2" max="2" width="93.1796875" style="81" customWidth="1"/>
    <col min="3" max="3" width="16" style="81" bestFit="1" customWidth="1"/>
    <col min="4" max="4" width="17.26953125" style="257" bestFit="1" customWidth="1"/>
    <col min="5" max="5" width="20.1796875" style="84" bestFit="1" customWidth="1"/>
    <col min="6" max="6" width="20.1796875" style="84" customWidth="1"/>
    <col min="7" max="7" width="26.54296875" style="81" bestFit="1" customWidth="1"/>
    <col min="8" max="8" width="2.7265625" style="81" customWidth="1"/>
    <col min="9" max="11" width="10.7265625" style="81" customWidth="1"/>
    <col min="12" max="16384" width="14.453125" style="81"/>
  </cols>
  <sheetData>
    <row r="1" spans="1:11" ht="5.15" customHeight="1">
      <c r="A1" s="80"/>
      <c r="B1" s="80"/>
      <c r="C1" s="80"/>
      <c r="D1" s="80"/>
      <c r="E1" s="81"/>
      <c r="F1" s="81"/>
      <c r="J1" s="80"/>
      <c r="K1" s="80"/>
    </row>
    <row r="2" spans="1:11" ht="15" customHeight="1">
      <c r="A2" s="82" t="s">
        <v>327</v>
      </c>
      <c r="B2" s="83"/>
      <c r="D2" s="269" t="s">
        <v>328</v>
      </c>
      <c r="I2" s="268">
        <v>44470</v>
      </c>
      <c r="J2" s="267"/>
      <c r="K2" s="81" t="s">
        <v>329</v>
      </c>
    </row>
    <row r="3" spans="1:11" ht="15" customHeight="1">
      <c r="A3" s="85" t="s">
        <v>330</v>
      </c>
      <c r="B3" s="86">
        <v>45200</v>
      </c>
      <c r="C3" s="82"/>
      <c r="D3" s="87">
        <f>BDI!D16/100</f>
        <v>0.44600000000000001</v>
      </c>
      <c r="I3" s="268">
        <f>B3</f>
        <v>45200</v>
      </c>
      <c r="J3" s="267"/>
    </row>
    <row r="4" spans="1:11" ht="5.15" customHeight="1"/>
    <row r="5" spans="1:11" ht="14">
      <c r="A5" s="88" t="s">
        <v>331</v>
      </c>
      <c r="B5" s="88" t="s">
        <v>332</v>
      </c>
      <c r="C5" s="88" t="s">
        <v>333</v>
      </c>
      <c r="D5" s="262" t="s">
        <v>334</v>
      </c>
      <c r="E5" s="89" t="s">
        <v>335</v>
      </c>
      <c r="F5" s="89"/>
      <c r="G5" s="90" t="s">
        <v>334</v>
      </c>
      <c r="J5" s="266">
        <v>1</v>
      </c>
      <c r="K5" s="81" t="s">
        <v>336</v>
      </c>
    </row>
    <row r="6" spans="1:11" ht="15.75" customHeight="1">
      <c r="A6" s="91"/>
      <c r="B6" s="92"/>
      <c r="C6" s="91"/>
      <c r="D6" s="258"/>
    </row>
    <row r="7" spans="1:11" ht="14">
      <c r="A7" s="93"/>
      <c r="B7" s="94"/>
      <c r="C7" s="95"/>
      <c r="D7" s="96"/>
      <c r="G7" s="96"/>
    </row>
    <row r="8" spans="1:11" ht="14">
      <c r="A8" s="82" t="s">
        <v>337</v>
      </c>
      <c r="B8" s="97"/>
      <c r="C8" s="93"/>
      <c r="D8" s="262" t="s">
        <v>334</v>
      </c>
      <c r="E8" s="89" t="s">
        <v>335</v>
      </c>
      <c r="F8" s="89"/>
      <c r="G8" s="98" t="s">
        <v>338</v>
      </c>
    </row>
    <row r="9" spans="1:11" ht="14">
      <c r="A9" s="99" t="s">
        <v>339</v>
      </c>
      <c r="B9" s="92" t="s">
        <v>340</v>
      </c>
      <c r="C9" s="99" t="s">
        <v>118</v>
      </c>
      <c r="D9" s="100">
        <f t="shared" ref="D9:D40" si="0">G9*$J$5*(1+$D$3)</f>
        <v>12714.779219999999</v>
      </c>
      <c r="E9" s="84" t="s">
        <v>341</v>
      </c>
      <c r="G9" s="259">
        <v>8793.07</v>
      </c>
    </row>
    <row r="10" spans="1:11" ht="14">
      <c r="A10" s="99" t="s">
        <v>342</v>
      </c>
      <c r="B10" s="92" t="s">
        <v>343</v>
      </c>
      <c r="C10" s="99" t="s">
        <v>118</v>
      </c>
      <c r="D10" s="100">
        <f t="shared" si="0"/>
        <v>16457.504399999998</v>
      </c>
      <c r="E10" s="84" t="s">
        <v>341</v>
      </c>
      <c r="G10" s="259">
        <v>11381.4</v>
      </c>
    </row>
    <row r="11" spans="1:11" s="166" customFormat="1" ht="14">
      <c r="A11" s="162" t="s">
        <v>164</v>
      </c>
      <c r="B11" s="163" t="s">
        <v>165</v>
      </c>
      <c r="C11" s="162" t="s">
        <v>118</v>
      </c>
      <c r="D11" s="164">
        <f t="shared" si="0"/>
        <v>28428.388920000001</v>
      </c>
      <c r="E11" s="84" t="s">
        <v>341</v>
      </c>
      <c r="F11" s="165"/>
      <c r="G11" s="272">
        <v>19660.02</v>
      </c>
    </row>
    <row r="12" spans="1:11" ht="14">
      <c r="A12" s="99" t="s">
        <v>344</v>
      </c>
      <c r="B12" s="92" t="s">
        <v>345</v>
      </c>
      <c r="C12" s="99" t="s">
        <v>118</v>
      </c>
      <c r="D12" s="100">
        <f t="shared" si="0"/>
        <v>12772.546920000001</v>
      </c>
      <c r="E12" s="84" t="s">
        <v>341</v>
      </c>
      <c r="G12" s="259">
        <v>8833.02</v>
      </c>
    </row>
    <row r="13" spans="1:11" ht="14">
      <c r="A13" s="99" t="s">
        <v>244</v>
      </c>
      <c r="B13" s="92" t="s">
        <v>346</v>
      </c>
      <c r="C13" s="99" t="s">
        <v>118</v>
      </c>
      <c r="D13" s="100">
        <f t="shared" si="0"/>
        <v>15093.73842</v>
      </c>
      <c r="E13" s="84" t="s">
        <v>341</v>
      </c>
      <c r="G13" s="259">
        <v>10438.27</v>
      </c>
    </row>
    <row r="14" spans="1:11" ht="14">
      <c r="A14" s="99" t="s">
        <v>170</v>
      </c>
      <c r="B14" s="92" t="s">
        <v>347</v>
      </c>
      <c r="C14" s="99" t="s">
        <v>118</v>
      </c>
      <c r="D14" s="100">
        <f t="shared" si="0"/>
        <v>25699.020540000001</v>
      </c>
      <c r="E14" s="84" t="s">
        <v>341</v>
      </c>
      <c r="G14" s="259">
        <v>17772.490000000002</v>
      </c>
    </row>
    <row r="15" spans="1:11" ht="14">
      <c r="A15" s="99" t="s">
        <v>348</v>
      </c>
      <c r="B15" s="92" t="s">
        <v>349</v>
      </c>
      <c r="C15" s="99" t="s">
        <v>118</v>
      </c>
      <c r="D15" s="100">
        <f t="shared" si="0"/>
        <v>30586.746359999997</v>
      </c>
      <c r="E15" s="84" t="s">
        <v>341</v>
      </c>
      <c r="G15" s="259">
        <v>21152.66</v>
      </c>
    </row>
    <row r="16" spans="1:11" ht="14">
      <c r="A16" s="99" t="s">
        <v>350</v>
      </c>
      <c r="B16" s="92" t="s">
        <v>351</v>
      </c>
      <c r="C16" s="99" t="s">
        <v>118</v>
      </c>
      <c r="D16" s="100">
        <f t="shared" si="0"/>
        <v>31984.117379999996</v>
      </c>
      <c r="E16" s="84" t="s">
        <v>341</v>
      </c>
      <c r="G16" s="259">
        <v>22119.03</v>
      </c>
    </row>
    <row r="17" spans="1:7" ht="14">
      <c r="A17" s="99" t="s">
        <v>250</v>
      </c>
      <c r="B17" s="92" t="s">
        <v>352</v>
      </c>
      <c r="C17" s="99" t="s">
        <v>118</v>
      </c>
      <c r="D17" s="100">
        <f t="shared" si="0"/>
        <v>38462.125079999998</v>
      </c>
      <c r="E17" s="84" t="s">
        <v>341</v>
      </c>
      <c r="G17" s="259">
        <v>26598.98</v>
      </c>
    </row>
    <row r="18" spans="1:7" ht="14">
      <c r="A18" s="99" t="s">
        <v>353</v>
      </c>
      <c r="B18" s="92" t="s">
        <v>354</v>
      </c>
      <c r="C18" s="99" t="s">
        <v>118</v>
      </c>
      <c r="D18" s="100">
        <f t="shared" si="0"/>
        <v>9738.5931</v>
      </c>
      <c r="E18" s="84" t="s">
        <v>341</v>
      </c>
      <c r="G18" s="259">
        <v>6734.85</v>
      </c>
    </row>
    <row r="19" spans="1:7" ht="14">
      <c r="A19" s="99" t="s">
        <v>355</v>
      </c>
      <c r="B19" s="92" t="s">
        <v>356</v>
      </c>
      <c r="C19" s="99" t="s">
        <v>118</v>
      </c>
      <c r="D19" s="100">
        <f t="shared" si="0"/>
        <v>12430.698060000001</v>
      </c>
      <c r="E19" s="84" t="s">
        <v>341</v>
      </c>
      <c r="G19" s="259">
        <v>8596.61</v>
      </c>
    </row>
    <row r="20" spans="1:7" ht="14">
      <c r="A20" s="99" t="s">
        <v>357</v>
      </c>
      <c r="B20" s="92" t="s">
        <v>358</v>
      </c>
      <c r="C20" s="99" t="s">
        <v>118</v>
      </c>
      <c r="D20" s="100">
        <f t="shared" si="0"/>
        <v>19728.038280000001</v>
      </c>
      <c r="E20" s="84" t="s">
        <v>341</v>
      </c>
      <c r="G20" s="259">
        <v>13643.18</v>
      </c>
    </row>
    <row r="21" spans="1:7" ht="14">
      <c r="A21" s="99" t="s">
        <v>359</v>
      </c>
      <c r="B21" s="92" t="s">
        <v>360</v>
      </c>
      <c r="C21" s="99" t="s">
        <v>118</v>
      </c>
      <c r="D21" s="100">
        <f t="shared" si="0"/>
        <v>5604.2043599999997</v>
      </c>
      <c r="E21" s="84" t="s">
        <v>341</v>
      </c>
      <c r="G21" s="259">
        <v>3875.66</v>
      </c>
    </row>
    <row r="22" spans="1:7" ht="14">
      <c r="A22" s="99" t="s">
        <v>361</v>
      </c>
      <c r="B22" s="92" t="s">
        <v>362</v>
      </c>
      <c r="C22" s="99" t="s">
        <v>118</v>
      </c>
      <c r="D22" s="100">
        <f t="shared" si="0"/>
        <v>6287.2079999999996</v>
      </c>
      <c r="E22" s="84" t="s">
        <v>341</v>
      </c>
      <c r="G22" s="259">
        <v>4348</v>
      </c>
    </row>
    <row r="23" spans="1:7" ht="14">
      <c r="A23" s="99" t="s">
        <v>363</v>
      </c>
      <c r="B23" s="92" t="s">
        <v>364</v>
      </c>
      <c r="C23" s="99" t="s">
        <v>118</v>
      </c>
      <c r="D23" s="100">
        <f t="shared" si="0"/>
        <v>5974.2646799999993</v>
      </c>
      <c r="E23" s="84" t="s">
        <v>341</v>
      </c>
      <c r="G23" s="259">
        <v>4131.58</v>
      </c>
    </row>
    <row r="24" spans="1:7" ht="14">
      <c r="A24" s="99" t="s">
        <v>365</v>
      </c>
      <c r="B24" s="92" t="s">
        <v>366</v>
      </c>
      <c r="C24" s="99" t="s">
        <v>118</v>
      </c>
      <c r="D24" s="100">
        <f t="shared" si="0"/>
        <v>5590.9156199999998</v>
      </c>
      <c r="E24" s="84" t="s">
        <v>341</v>
      </c>
      <c r="G24" s="259">
        <v>3866.47</v>
      </c>
    </row>
    <row r="25" spans="1:7" ht="14">
      <c r="A25" s="99" t="s">
        <v>367</v>
      </c>
      <c r="B25" s="92" t="s">
        <v>368</v>
      </c>
      <c r="C25" s="99" t="s">
        <v>118</v>
      </c>
      <c r="D25" s="100">
        <f t="shared" si="0"/>
        <v>9893.4596999999994</v>
      </c>
      <c r="E25" s="84" t="s">
        <v>341</v>
      </c>
      <c r="G25" s="259">
        <v>6841.95</v>
      </c>
    </row>
    <row r="26" spans="1:7" ht="14">
      <c r="A26" s="99" t="s">
        <v>369</v>
      </c>
      <c r="B26" s="92" t="s">
        <v>370</v>
      </c>
      <c r="C26" s="99" t="s">
        <v>118</v>
      </c>
      <c r="D26" s="100">
        <f t="shared" si="0"/>
        <v>12645.703799999999</v>
      </c>
      <c r="E26" s="84" t="s">
        <v>341</v>
      </c>
      <c r="G26" s="259">
        <v>8745.2999999999993</v>
      </c>
    </row>
    <row r="27" spans="1:7" ht="14">
      <c r="A27" s="99" t="s">
        <v>371</v>
      </c>
      <c r="B27" s="92" t="s">
        <v>372</v>
      </c>
      <c r="C27" s="99" t="s">
        <v>118</v>
      </c>
      <c r="D27" s="100">
        <f t="shared" si="0"/>
        <v>21227.09202</v>
      </c>
      <c r="E27" s="84" t="s">
        <v>341</v>
      </c>
      <c r="G27" s="259">
        <v>14679.87</v>
      </c>
    </row>
    <row r="28" spans="1:7" ht="14">
      <c r="A28" s="99" t="s">
        <v>373</v>
      </c>
      <c r="B28" s="92" t="s">
        <v>374</v>
      </c>
      <c r="C28" s="99" t="s">
        <v>118</v>
      </c>
      <c r="D28" s="100">
        <f t="shared" si="0"/>
        <v>10159.22004</v>
      </c>
      <c r="E28" s="84" t="s">
        <v>341</v>
      </c>
      <c r="G28" s="259">
        <v>7025.74</v>
      </c>
    </row>
    <row r="29" spans="1:7" ht="14">
      <c r="A29" s="99" t="s">
        <v>375</v>
      </c>
      <c r="B29" s="92" t="s">
        <v>376</v>
      </c>
      <c r="C29" s="99" t="s">
        <v>118</v>
      </c>
      <c r="D29" s="100">
        <f t="shared" si="0"/>
        <v>12094.488600000001</v>
      </c>
      <c r="E29" s="84" t="s">
        <v>341</v>
      </c>
      <c r="G29" s="259">
        <v>8364.1</v>
      </c>
    </row>
    <row r="30" spans="1:7" ht="14">
      <c r="A30" s="99" t="s">
        <v>377</v>
      </c>
      <c r="B30" s="92" t="s">
        <v>378</v>
      </c>
      <c r="C30" s="99" t="s">
        <v>118</v>
      </c>
      <c r="D30" s="100">
        <f t="shared" si="0"/>
        <v>15642.582179999999</v>
      </c>
      <c r="E30" s="84" t="s">
        <v>341</v>
      </c>
      <c r="G30" s="259">
        <v>10817.83</v>
      </c>
    </row>
    <row r="31" spans="1:7" ht="14">
      <c r="A31" s="99" t="s">
        <v>379</v>
      </c>
      <c r="B31" s="92" t="s">
        <v>380</v>
      </c>
      <c r="C31" s="99" t="s">
        <v>118</v>
      </c>
      <c r="D31" s="100">
        <f t="shared" si="0"/>
        <v>28633.489559999998</v>
      </c>
      <c r="E31" s="84" t="s">
        <v>341</v>
      </c>
      <c r="G31" s="259">
        <v>19801.86</v>
      </c>
    </row>
    <row r="32" spans="1:7" ht="14">
      <c r="A32" s="99" t="s">
        <v>381</v>
      </c>
      <c r="B32" s="92" t="s">
        <v>382</v>
      </c>
      <c r="C32" s="99" t="s">
        <v>118</v>
      </c>
      <c r="D32" s="100">
        <f t="shared" si="0"/>
        <v>45543.216</v>
      </c>
      <c r="E32" s="84" t="s">
        <v>341</v>
      </c>
      <c r="G32" s="259">
        <v>31496</v>
      </c>
    </row>
    <row r="33" spans="1:7" ht="14">
      <c r="A33" s="99" t="s">
        <v>383</v>
      </c>
      <c r="B33" s="92" t="s">
        <v>384</v>
      </c>
      <c r="C33" s="99" t="s">
        <v>118</v>
      </c>
      <c r="D33" s="100">
        <f t="shared" si="0"/>
        <v>13712.215560000001</v>
      </c>
      <c r="E33" s="84" t="s">
        <v>341</v>
      </c>
      <c r="G33" s="259">
        <v>9482.86</v>
      </c>
    </row>
    <row r="34" spans="1:7" ht="14">
      <c r="A34" s="99" t="s">
        <v>245</v>
      </c>
      <c r="B34" s="92" t="s">
        <v>385</v>
      </c>
      <c r="C34" s="99" t="s">
        <v>118</v>
      </c>
      <c r="D34" s="100">
        <f t="shared" si="0"/>
        <v>17799.912960000001</v>
      </c>
      <c r="E34" s="84" t="s">
        <v>341</v>
      </c>
      <c r="G34" s="259">
        <v>12309.76</v>
      </c>
    </row>
    <row r="35" spans="1:7" s="166" customFormat="1" ht="14">
      <c r="A35" s="162" t="s">
        <v>161</v>
      </c>
      <c r="B35" s="163" t="s">
        <v>162</v>
      </c>
      <c r="C35" s="162" t="s">
        <v>118</v>
      </c>
      <c r="D35" s="164">
        <f t="shared" si="0"/>
        <v>29276.858339999999</v>
      </c>
      <c r="E35" s="84" t="s">
        <v>341</v>
      </c>
      <c r="F35" s="165"/>
      <c r="G35" s="272">
        <v>20246.79</v>
      </c>
    </row>
    <row r="36" spans="1:7" ht="14">
      <c r="A36" s="99" t="s">
        <v>386</v>
      </c>
      <c r="B36" s="92" t="s">
        <v>387</v>
      </c>
      <c r="C36" s="99" t="s">
        <v>118</v>
      </c>
      <c r="D36" s="100">
        <f t="shared" si="0"/>
        <v>30533.403419999999</v>
      </c>
      <c r="E36" s="84" t="s">
        <v>341</v>
      </c>
      <c r="G36" s="259">
        <v>21115.77</v>
      </c>
    </row>
    <row r="37" spans="1:7" ht="14">
      <c r="A37" s="99" t="s">
        <v>388</v>
      </c>
      <c r="B37" s="92" t="s">
        <v>389</v>
      </c>
      <c r="C37" s="99" t="s">
        <v>118</v>
      </c>
      <c r="D37" s="100">
        <f t="shared" si="0"/>
        <v>32141.67354</v>
      </c>
      <c r="E37" s="84" t="s">
        <v>341</v>
      </c>
      <c r="G37" s="259">
        <v>22227.99</v>
      </c>
    </row>
    <row r="38" spans="1:7" ht="14">
      <c r="A38" s="99" t="s">
        <v>390</v>
      </c>
      <c r="B38" s="92" t="s">
        <v>391</v>
      </c>
      <c r="C38" s="99" t="s">
        <v>118</v>
      </c>
      <c r="D38" s="100">
        <f t="shared" si="0"/>
        <v>36915.772680000002</v>
      </c>
      <c r="E38" s="84" t="s">
        <v>341</v>
      </c>
      <c r="G38" s="259">
        <v>25529.58</v>
      </c>
    </row>
    <row r="39" spans="1:7" ht="14">
      <c r="A39" s="99" t="s">
        <v>392</v>
      </c>
      <c r="B39" s="92" t="s">
        <v>393</v>
      </c>
      <c r="C39" s="99" t="s">
        <v>118</v>
      </c>
      <c r="D39" s="100">
        <f t="shared" si="0"/>
        <v>30632.772540000002</v>
      </c>
      <c r="E39" s="84" t="s">
        <v>341</v>
      </c>
      <c r="G39" s="259">
        <v>21184.49</v>
      </c>
    </row>
    <row r="40" spans="1:7" ht="14">
      <c r="A40" s="99" t="s">
        <v>394</v>
      </c>
      <c r="B40" s="92" t="s">
        <v>395</v>
      </c>
      <c r="C40" s="99" t="s">
        <v>118</v>
      </c>
      <c r="D40" s="100">
        <f t="shared" si="0"/>
        <v>31396.419599999997</v>
      </c>
      <c r="E40" s="84" t="s">
        <v>341</v>
      </c>
      <c r="G40" s="259">
        <v>21712.6</v>
      </c>
    </row>
    <row r="41" spans="1:7" ht="14">
      <c r="A41" s="99" t="s">
        <v>253</v>
      </c>
      <c r="B41" s="92" t="s">
        <v>396</v>
      </c>
      <c r="C41" s="99" t="s">
        <v>118</v>
      </c>
      <c r="D41" s="100">
        <f t="shared" ref="D41:D72" si="1">G41*$J$5*(1+$D$3)</f>
        <v>38279.263919999998</v>
      </c>
      <c r="E41" s="84" t="s">
        <v>341</v>
      </c>
      <c r="G41" s="259">
        <v>26472.52</v>
      </c>
    </row>
    <row r="42" spans="1:7" s="166" customFormat="1" ht="14">
      <c r="A42" s="162" t="s">
        <v>242</v>
      </c>
      <c r="B42" s="163" t="s">
        <v>397</v>
      </c>
      <c r="C42" s="162" t="s">
        <v>118</v>
      </c>
      <c r="D42" s="164">
        <f t="shared" si="1"/>
        <v>55594.954860000005</v>
      </c>
      <c r="E42" s="84" t="s">
        <v>341</v>
      </c>
      <c r="F42" s="165"/>
      <c r="G42" s="272">
        <v>38447.410000000003</v>
      </c>
    </row>
    <row r="43" spans="1:7" s="166" customFormat="1" ht="14">
      <c r="A43" s="162" t="s">
        <v>119</v>
      </c>
      <c r="B43" s="163" t="s">
        <v>398</v>
      </c>
      <c r="C43" s="162" t="s">
        <v>118</v>
      </c>
      <c r="D43" s="164">
        <f t="shared" si="1"/>
        <v>46576.570979999997</v>
      </c>
      <c r="E43" s="84" t="s">
        <v>341</v>
      </c>
      <c r="F43" s="165"/>
      <c r="G43" s="272">
        <v>32210.63</v>
      </c>
    </row>
    <row r="44" spans="1:7" ht="14">
      <c r="A44" s="99" t="s">
        <v>399</v>
      </c>
      <c r="B44" s="92" t="s">
        <v>400</v>
      </c>
      <c r="C44" s="99" t="s">
        <v>118</v>
      </c>
      <c r="D44" s="100">
        <f t="shared" si="1"/>
        <v>30757.417739999997</v>
      </c>
      <c r="E44" s="84" t="s">
        <v>341</v>
      </c>
      <c r="G44" s="259">
        <v>21270.69</v>
      </c>
    </row>
    <row r="45" spans="1:7" ht="14">
      <c r="A45" s="99" t="s">
        <v>401</v>
      </c>
      <c r="B45" s="92" t="s">
        <v>402</v>
      </c>
      <c r="C45" s="99" t="s">
        <v>118</v>
      </c>
      <c r="D45" s="100">
        <f t="shared" si="1"/>
        <v>32811.157079999997</v>
      </c>
      <c r="E45" s="84" t="s">
        <v>341</v>
      </c>
      <c r="G45" s="259">
        <v>22690.98</v>
      </c>
    </row>
    <row r="46" spans="1:7" ht="14">
      <c r="A46" s="99" t="s">
        <v>403</v>
      </c>
      <c r="B46" s="92" t="s">
        <v>404</v>
      </c>
      <c r="C46" s="99" t="s">
        <v>118</v>
      </c>
      <c r="D46" s="100">
        <f t="shared" si="1"/>
        <v>42859.801500000001</v>
      </c>
      <c r="E46" s="84" t="s">
        <v>341</v>
      </c>
      <c r="G46" s="259">
        <v>29640.25</v>
      </c>
    </row>
    <row r="47" spans="1:7" ht="14">
      <c r="A47" s="99" t="s">
        <v>243</v>
      </c>
      <c r="B47" s="92" t="s">
        <v>405</v>
      </c>
      <c r="C47" s="99" t="s">
        <v>118</v>
      </c>
      <c r="D47" s="100">
        <f t="shared" si="1"/>
        <v>30611.704319999997</v>
      </c>
      <c r="E47" s="84" t="s">
        <v>341</v>
      </c>
      <c r="G47" s="259">
        <v>21169.919999999998</v>
      </c>
    </row>
    <row r="48" spans="1:7" ht="14">
      <c r="A48" s="99" t="s">
        <v>406</v>
      </c>
      <c r="B48" s="92" t="s">
        <v>407</v>
      </c>
      <c r="C48" s="99" t="s">
        <v>118</v>
      </c>
      <c r="D48" s="100">
        <f t="shared" si="1"/>
        <v>32363.952659999999</v>
      </c>
      <c r="E48" s="84" t="s">
        <v>341</v>
      </c>
      <c r="G48" s="259">
        <v>22381.71</v>
      </c>
    </row>
    <row r="49" spans="1:7" s="166" customFormat="1" ht="14">
      <c r="A49" s="162" t="s">
        <v>167</v>
      </c>
      <c r="B49" s="163" t="s">
        <v>408</v>
      </c>
      <c r="C49" s="162" t="s">
        <v>118</v>
      </c>
      <c r="D49" s="164">
        <f t="shared" si="1"/>
        <v>40624.083059999997</v>
      </c>
      <c r="E49" s="84" t="s">
        <v>341</v>
      </c>
      <c r="F49" s="165"/>
      <c r="G49" s="272">
        <v>28094.11</v>
      </c>
    </row>
    <row r="50" spans="1:7" ht="14">
      <c r="A50" s="99" t="s">
        <v>409</v>
      </c>
      <c r="B50" s="92" t="s">
        <v>410</v>
      </c>
      <c r="C50" s="99" t="s">
        <v>118</v>
      </c>
      <c r="D50" s="100">
        <f t="shared" si="1"/>
        <v>30757.417739999997</v>
      </c>
      <c r="E50" s="84" t="s">
        <v>341</v>
      </c>
      <c r="G50" s="259">
        <v>21270.69</v>
      </c>
    </row>
    <row r="51" spans="1:7" ht="14">
      <c r="A51" s="99" t="s">
        <v>411</v>
      </c>
      <c r="B51" s="92" t="s">
        <v>412</v>
      </c>
      <c r="C51" s="99" t="s">
        <v>118</v>
      </c>
      <c r="D51" s="100">
        <f t="shared" si="1"/>
        <v>32811.157079999997</v>
      </c>
      <c r="E51" s="84" t="s">
        <v>341</v>
      </c>
      <c r="G51" s="259">
        <v>22690.98</v>
      </c>
    </row>
    <row r="52" spans="1:7" ht="14">
      <c r="A52" s="99" t="s">
        <v>413</v>
      </c>
      <c r="B52" s="92" t="s">
        <v>414</v>
      </c>
      <c r="C52" s="99" t="s">
        <v>118</v>
      </c>
      <c r="D52" s="100">
        <f t="shared" si="1"/>
        <v>42859.801500000001</v>
      </c>
      <c r="E52" s="84" t="s">
        <v>341</v>
      </c>
      <c r="G52" s="259">
        <v>29640.25</v>
      </c>
    </row>
    <row r="53" spans="1:7" ht="14">
      <c r="A53" s="99" t="s">
        <v>415</v>
      </c>
      <c r="B53" s="92" t="s">
        <v>416</v>
      </c>
      <c r="C53" s="99" t="s">
        <v>118</v>
      </c>
      <c r="D53" s="100">
        <f t="shared" si="1"/>
        <v>27531.854459999995</v>
      </c>
      <c r="E53" s="84" t="s">
        <v>341</v>
      </c>
      <c r="G53" s="259">
        <v>19040.009999999998</v>
      </c>
    </row>
    <row r="54" spans="1:7" ht="14">
      <c r="A54" s="99" t="s">
        <v>417</v>
      </c>
      <c r="B54" s="92" t="s">
        <v>418</v>
      </c>
      <c r="C54" s="99" t="s">
        <v>118</v>
      </c>
      <c r="D54" s="100">
        <f t="shared" si="1"/>
        <v>32526.15048</v>
      </c>
      <c r="E54" s="84" t="s">
        <v>341</v>
      </c>
      <c r="G54" s="259">
        <v>22493.88</v>
      </c>
    </row>
    <row r="55" spans="1:7" s="166" customFormat="1" ht="14">
      <c r="A55" s="162" t="s">
        <v>419</v>
      </c>
      <c r="B55" s="163" t="s">
        <v>420</v>
      </c>
      <c r="C55" s="162" t="s">
        <v>118</v>
      </c>
      <c r="D55" s="164">
        <f t="shared" si="1"/>
        <v>37520.446499999998</v>
      </c>
      <c r="E55" s="84" t="s">
        <v>341</v>
      </c>
      <c r="F55" s="165"/>
      <c r="G55" s="272">
        <v>25947.75</v>
      </c>
    </row>
    <row r="56" spans="1:7" ht="14">
      <c r="A56" s="99" t="s">
        <v>421</v>
      </c>
      <c r="B56" s="92" t="s">
        <v>422</v>
      </c>
      <c r="C56" s="99" t="s">
        <v>118</v>
      </c>
      <c r="D56" s="100">
        <f t="shared" si="1"/>
        <v>8943.9293399999988</v>
      </c>
      <c r="E56" s="84" t="s">
        <v>341</v>
      </c>
      <c r="G56" s="259">
        <v>6185.29</v>
      </c>
    </row>
    <row r="57" spans="1:7" ht="14">
      <c r="A57" s="99" t="s">
        <v>423</v>
      </c>
      <c r="B57" s="92" t="s">
        <v>424</v>
      </c>
      <c r="C57" s="99" t="s">
        <v>118</v>
      </c>
      <c r="D57" s="100">
        <f t="shared" si="1"/>
        <v>11336.480939999999</v>
      </c>
      <c r="E57" s="84" t="s">
        <v>341</v>
      </c>
      <c r="G57" s="259">
        <v>7839.89</v>
      </c>
    </row>
    <row r="58" spans="1:7" ht="14">
      <c r="A58" s="99" t="s">
        <v>425</v>
      </c>
      <c r="B58" s="92" t="s">
        <v>426</v>
      </c>
      <c r="C58" s="99" t="s">
        <v>118</v>
      </c>
      <c r="D58" s="100">
        <f t="shared" si="1"/>
        <v>20489.84892</v>
      </c>
      <c r="E58" s="84" t="s">
        <v>341</v>
      </c>
      <c r="G58" s="259">
        <v>14170.02</v>
      </c>
    </row>
    <row r="59" spans="1:7" ht="14">
      <c r="A59" s="99" t="s">
        <v>427</v>
      </c>
      <c r="B59" s="92" t="s">
        <v>428</v>
      </c>
      <c r="C59" s="99" t="s">
        <v>118</v>
      </c>
      <c r="D59" s="100">
        <f t="shared" si="1"/>
        <v>7351.7242800000004</v>
      </c>
      <c r="E59" s="84" t="s">
        <v>341</v>
      </c>
      <c r="G59" s="259">
        <v>5084.18</v>
      </c>
    </row>
    <row r="60" spans="1:7" ht="14">
      <c r="A60" s="99" t="s">
        <v>429</v>
      </c>
      <c r="B60" s="92" t="s">
        <v>430</v>
      </c>
      <c r="C60" s="99" t="s">
        <v>118</v>
      </c>
      <c r="D60" s="100">
        <f t="shared" si="1"/>
        <v>30563.35008</v>
      </c>
      <c r="E60" s="84" t="s">
        <v>341</v>
      </c>
      <c r="G60" s="259">
        <v>21136.48</v>
      </c>
    </row>
    <row r="61" spans="1:7" ht="14">
      <c r="A61" s="99" t="s">
        <v>431</v>
      </c>
      <c r="B61" s="92" t="s">
        <v>432</v>
      </c>
      <c r="C61" s="99" t="s">
        <v>118</v>
      </c>
      <c r="D61" s="100">
        <f t="shared" si="1"/>
        <v>14670.277319999999</v>
      </c>
      <c r="E61" s="84" t="s">
        <v>341</v>
      </c>
      <c r="G61" s="259">
        <v>10145.42</v>
      </c>
    </row>
    <row r="62" spans="1:7" ht="14">
      <c r="A62" s="99" t="s">
        <v>433</v>
      </c>
      <c r="B62" s="92" t="s">
        <v>434</v>
      </c>
      <c r="C62" s="99" t="s">
        <v>118</v>
      </c>
      <c r="D62" s="100">
        <f t="shared" si="1"/>
        <v>19064.946059999998</v>
      </c>
      <c r="E62" s="84" t="s">
        <v>341</v>
      </c>
      <c r="G62" s="259">
        <v>13184.61</v>
      </c>
    </row>
    <row r="63" spans="1:7" ht="14">
      <c r="A63" s="99" t="s">
        <v>435</v>
      </c>
      <c r="B63" s="92" t="s">
        <v>436</v>
      </c>
      <c r="C63" s="99" t="s">
        <v>118</v>
      </c>
      <c r="D63" s="100">
        <f t="shared" si="1"/>
        <v>31318.17654</v>
      </c>
      <c r="E63" s="84" t="s">
        <v>341</v>
      </c>
      <c r="G63" s="259">
        <v>21658.49</v>
      </c>
    </row>
    <row r="64" spans="1:7" ht="14">
      <c r="A64" s="99" t="s">
        <v>437</v>
      </c>
      <c r="B64" s="92" t="s">
        <v>438</v>
      </c>
      <c r="C64" s="99" t="s">
        <v>118</v>
      </c>
      <c r="D64" s="100">
        <f t="shared" si="1"/>
        <v>7357.1901600000001</v>
      </c>
      <c r="E64" s="84" t="s">
        <v>341</v>
      </c>
      <c r="G64" s="259">
        <v>5087.96</v>
      </c>
    </row>
    <row r="65" spans="1:7" ht="14">
      <c r="A65" s="99" t="s">
        <v>439</v>
      </c>
      <c r="B65" s="92" t="s">
        <v>440</v>
      </c>
      <c r="C65" s="99" t="s">
        <v>118</v>
      </c>
      <c r="D65" s="100">
        <f t="shared" si="1"/>
        <v>6778.6744799999997</v>
      </c>
      <c r="E65" s="84" t="s">
        <v>341</v>
      </c>
      <c r="G65" s="259">
        <v>4687.88</v>
      </c>
    </row>
    <row r="66" spans="1:7" ht="14">
      <c r="A66" s="99" t="s">
        <v>441</v>
      </c>
      <c r="B66" s="92" t="s">
        <v>442</v>
      </c>
      <c r="C66" s="99" t="s">
        <v>118</v>
      </c>
      <c r="D66" s="100">
        <f t="shared" si="1"/>
        <v>13819.971479999998</v>
      </c>
      <c r="E66" s="84" t="s">
        <v>341</v>
      </c>
      <c r="G66" s="259">
        <v>9557.3799999999992</v>
      </c>
    </row>
    <row r="67" spans="1:7" ht="14">
      <c r="A67" s="99" t="s">
        <v>443</v>
      </c>
      <c r="B67" s="92" t="s">
        <v>444</v>
      </c>
      <c r="C67" s="99" t="s">
        <v>118</v>
      </c>
      <c r="D67" s="100">
        <f t="shared" si="1"/>
        <v>17930.790420000001</v>
      </c>
      <c r="E67" s="84" t="s">
        <v>341</v>
      </c>
      <c r="G67" s="259">
        <v>12400.27</v>
      </c>
    </row>
    <row r="68" spans="1:7" ht="14">
      <c r="A68" s="99" t="s">
        <v>445</v>
      </c>
      <c r="B68" s="92" t="s">
        <v>446</v>
      </c>
      <c r="C68" s="99" t="s">
        <v>118</v>
      </c>
      <c r="D68" s="100">
        <f t="shared" si="1"/>
        <v>31249.20234</v>
      </c>
      <c r="E68" s="84" t="s">
        <v>341</v>
      </c>
      <c r="G68" s="259">
        <v>21610.79</v>
      </c>
    </row>
    <row r="69" spans="1:7" ht="14">
      <c r="A69" s="99" t="s">
        <v>447</v>
      </c>
      <c r="B69" s="92" t="s">
        <v>448</v>
      </c>
      <c r="C69" s="99" t="s">
        <v>118</v>
      </c>
      <c r="D69" s="100">
        <f t="shared" si="1"/>
        <v>7878.1405799999993</v>
      </c>
      <c r="E69" s="84" t="s">
        <v>341</v>
      </c>
      <c r="G69" s="259">
        <v>5448.23</v>
      </c>
    </row>
    <row r="70" spans="1:7" ht="14">
      <c r="A70" s="99" t="s">
        <v>449</v>
      </c>
      <c r="B70" s="92" t="s">
        <v>450</v>
      </c>
      <c r="C70" s="99" t="s">
        <v>118</v>
      </c>
      <c r="D70" s="100">
        <f t="shared" si="1"/>
        <v>9900.7330799999982</v>
      </c>
      <c r="E70" s="84" t="s">
        <v>341</v>
      </c>
      <c r="G70" s="259">
        <v>6846.98</v>
      </c>
    </row>
    <row r="71" spans="1:7" ht="14">
      <c r="A71" s="99" t="s">
        <v>451</v>
      </c>
      <c r="B71" s="92" t="s">
        <v>452</v>
      </c>
      <c r="C71" s="99" t="s">
        <v>118</v>
      </c>
      <c r="D71" s="100">
        <f t="shared" si="1"/>
        <v>14233.51302</v>
      </c>
      <c r="E71" s="84" t="s">
        <v>341</v>
      </c>
      <c r="G71" s="259">
        <v>9843.3700000000008</v>
      </c>
    </row>
    <row r="72" spans="1:7" ht="14">
      <c r="A72" s="99" t="s">
        <v>453</v>
      </c>
      <c r="B72" s="92" t="s">
        <v>454</v>
      </c>
      <c r="C72" s="99" t="s">
        <v>118</v>
      </c>
      <c r="D72" s="100">
        <f t="shared" si="1"/>
        <v>7968.5734200000006</v>
      </c>
      <c r="E72" s="84" t="s">
        <v>341</v>
      </c>
      <c r="G72" s="259">
        <v>5510.77</v>
      </c>
    </row>
    <row r="73" spans="1:7" ht="14">
      <c r="A73" s="99" t="s">
        <v>455</v>
      </c>
      <c r="B73" s="92" t="s">
        <v>456</v>
      </c>
      <c r="C73" s="99" t="s">
        <v>118</v>
      </c>
      <c r="D73" s="100">
        <f t="shared" ref="D73:D106" si="2">G73*$J$5*(1+$D$3)</f>
        <v>6636.6772799999999</v>
      </c>
      <c r="E73" s="84" t="s">
        <v>341</v>
      </c>
      <c r="G73" s="259">
        <v>4589.68</v>
      </c>
    </row>
    <row r="74" spans="1:7" ht="14">
      <c r="A74" s="99" t="s">
        <v>457</v>
      </c>
      <c r="B74" s="92" t="s">
        <v>458</v>
      </c>
      <c r="C74" s="99" t="s">
        <v>118</v>
      </c>
      <c r="D74" s="100">
        <f t="shared" si="2"/>
        <v>8755.4866199999997</v>
      </c>
      <c r="E74" s="84" t="s">
        <v>341</v>
      </c>
      <c r="G74" s="259">
        <v>6054.97</v>
      </c>
    </row>
    <row r="75" spans="1:7" ht="14">
      <c r="A75" s="99" t="s">
        <v>459</v>
      </c>
      <c r="B75" s="92" t="s">
        <v>460</v>
      </c>
      <c r="C75" s="99" t="s">
        <v>118</v>
      </c>
      <c r="D75" s="100">
        <f t="shared" si="2"/>
        <v>9701.7201000000005</v>
      </c>
      <c r="E75" s="84" t="s">
        <v>341</v>
      </c>
      <c r="G75" s="259">
        <v>6709.35</v>
      </c>
    </row>
    <row r="76" spans="1:7" ht="14">
      <c r="A76" s="99" t="s">
        <v>461</v>
      </c>
      <c r="B76" s="92" t="s">
        <v>462</v>
      </c>
      <c r="C76" s="99" t="s">
        <v>118</v>
      </c>
      <c r="D76" s="100">
        <f t="shared" si="2"/>
        <v>13141.76856</v>
      </c>
      <c r="E76" s="84" t="s">
        <v>341</v>
      </c>
      <c r="G76" s="259">
        <v>9088.36</v>
      </c>
    </row>
    <row r="77" spans="1:7" s="166" customFormat="1" ht="14">
      <c r="A77" s="162" t="s">
        <v>463</v>
      </c>
      <c r="B77" s="163" t="s">
        <v>464</v>
      </c>
      <c r="C77" s="162" t="s">
        <v>118</v>
      </c>
      <c r="D77" s="164">
        <f t="shared" si="2"/>
        <v>8482.2793799999999</v>
      </c>
      <c r="E77" s="84" t="s">
        <v>341</v>
      </c>
      <c r="F77" s="165"/>
      <c r="G77" s="272">
        <v>5866.03</v>
      </c>
    </row>
    <row r="78" spans="1:7" ht="14">
      <c r="A78" s="99" t="s">
        <v>246</v>
      </c>
      <c r="B78" s="92" t="s">
        <v>465</v>
      </c>
      <c r="C78" s="99" t="s">
        <v>118</v>
      </c>
      <c r="D78" s="100">
        <f t="shared" si="2"/>
        <v>12806.2821</v>
      </c>
      <c r="E78" s="84" t="s">
        <v>341</v>
      </c>
      <c r="G78" s="259">
        <v>8856.35</v>
      </c>
    </row>
    <row r="79" spans="1:7" ht="14">
      <c r="A79" s="99" t="s">
        <v>466</v>
      </c>
      <c r="B79" s="92" t="s">
        <v>467</v>
      </c>
      <c r="C79" s="99" t="s">
        <v>118</v>
      </c>
      <c r="D79" s="100">
        <f t="shared" si="2"/>
        <v>7674.5582399999994</v>
      </c>
      <c r="E79" s="84" t="s">
        <v>341</v>
      </c>
      <c r="G79" s="259">
        <v>5307.44</v>
      </c>
    </row>
    <row r="80" spans="1:7" ht="14">
      <c r="A80" s="99" t="s">
        <v>468</v>
      </c>
      <c r="B80" s="92" t="s">
        <v>469</v>
      </c>
      <c r="C80" s="99" t="s">
        <v>118</v>
      </c>
      <c r="D80" s="100">
        <f t="shared" si="2"/>
        <v>7516.9153200000001</v>
      </c>
      <c r="E80" s="84" t="s">
        <v>341</v>
      </c>
      <c r="G80" s="259">
        <v>5198.42</v>
      </c>
    </row>
    <row r="81" spans="1:7" ht="14">
      <c r="A81" s="99" t="s">
        <v>470</v>
      </c>
      <c r="B81" s="92" t="s">
        <v>471</v>
      </c>
      <c r="C81" s="99" t="s">
        <v>118</v>
      </c>
      <c r="D81" s="100">
        <f t="shared" si="2"/>
        <v>9433.0966799999987</v>
      </c>
      <c r="E81" s="84" t="s">
        <v>341</v>
      </c>
      <c r="G81" s="259">
        <v>6523.58</v>
      </c>
    </row>
    <row r="82" spans="1:7" ht="14">
      <c r="A82" s="99" t="s">
        <v>472</v>
      </c>
      <c r="B82" s="92" t="s">
        <v>473</v>
      </c>
      <c r="C82" s="99" t="s">
        <v>118</v>
      </c>
      <c r="D82" s="100">
        <f t="shared" si="2"/>
        <v>13847.951579999999</v>
      </c>
      <c r="E82" s="84" t="s">
        <v>341</v>
      </c>
      <c r="G82" s="259">
        <v>9576.73</v>
      </c>
    </row>
    <row r="83" spans="1:7" ht="14">
      <c r="A83" s="99" t="s">
        <v>474</v>
      </c>
      <c r="B83" s="92" t="s">
        <v>475</v>
      </c>
      <c r="C83" s="99" t="s">
        <v>118</v>
      </c>
      <c r="D83" s="100">
        <f t="shared" si="2"/>
        <v>9799.0792799999999</v>
      </c>
      <c r="E83" s="84" t="s">
        <v>341</v>
      </c>
      <c r="G83" s="259">
        <v>6776.68</v>
      </c>
    </row>
    <row r="84" spans="1:7" ht="14">
      <c r="A84" s="99" t="s">
        <v>476</v>
      </c>
      <c r="B84" s="92" t="s">
        <v>477</v>
      </c>
      <c r="C84" s="99" t="s">
        <v>118</v>
      </c>
      <c r="D84" s="100">
        <f t="shared" si="2"/>
        <v>12528.823619999999</v>
      </c>
      <c r="E84" s="84" t="s">
        <v>341</v>
      </c>
      <c r="G84" s="259">
        <v>8664.4699999999993</v>
      </c>
    </row>
    <row r="85" spans="1:7" ht="14">
      <c r="A85" s="99" t="s">
        <v>251</v>
      </c>
      <c r="B85" s="92" t="s">
        <v>478</v>
      </c>
      <c r="C85" s="99" t="s">
        <v>118</v>
      </c>
      <c r="D85" s="100">
        <f t="shared" si="2"/>
        <v>21039.777180000001</v>
      </c>
      <c r="E85" s="84" t="s">
        <v>341</v>
      </c>
      <c r="G85" s="259">
        <v>14550.33</v>
      </c>
    </row>
    <row r="86" spans="1:7" ht="14">
      <c r="A86" s="99" t="s">
        <v>479</v>
      </c>
      <c r="B86" s="92" t="s">
        <v>480</v>
      </c>
      <c r="C86" s="99" t="s">
        <v>118</v>
      </c>
      <c r="D86" s="100">
        <f t="shared" si="2"/>
        <v>30624.024239999999</v>
      </c>
      <c r="E86" s="84" t="s">
        <v>341</v>
      </c>
      <c r="G86" s="259">
        <v>21178.44</v>
      </c>
    </row>
    <row r="87" spans="1:7" ht="14">
      <c r="A87" s="99" t="s">
        <v>481</v>
      </c>
      <c r="B87" s="92" t="s">
        <v>482</v>
      </c>
      <c r="C87" s="99" t="s">
        <v>118</v>
      </c>
      <c r="D87" s="100">
        <f t="shared" si="2"/>
        <v>31748.882099999995</v>
      </c>
      <c r="E87" s="84" t="s">
        <v>341</v>
      </c>
      <c r="G87" s="259">
        <v>21956.35</v>
      </c>
    </row>
    <row r="88" spans="1:7" ht="14">
      <c r="A88" s="99" t="s">
        <v>483</v>
      </c>
      <c r="B88" s="92" t="s">
        <v>484</v>
      </c>
      <c r="C88" s="99" t="s">
        <v>118</v>
      </c>
      <c r="D88" s="100">
        <f t="shared" si="2"/>
        <v>35486.502899999999</v>
      </c>
      <c r="E88" s="84" t="s">
        <v>341</v>
      </c>
      <c r="G88" s="259">
        <v>24541.15</v>
      </c>
    </row>
    <row r="89" spans="1:7" ht="14">
      <c r="A89" s="99" t="s">
        <v>485</v>
      </c>
      <c r="B89" s="92" t="s">
        <v>486</v>
      </c>
      <c r="C89" s="99" t="s">
        <v>118</v>
      </c>
      <c r="D89" s="100">
        <f t="shared" si="2"/>
        <v>10694.890739999999</v>
      </c>
      <c r="E89" s="84" t="s">
        <v>341</v>
      </c>
      <c r="G89" s="265">
        <v>7396.19</v>
      </c>
    </row>
    <row r="90" spans="1:7" ht="14">
      <c r="A90" s="99" t="s">
        <v>252</v>
      </c>
      <c r="B90" s="92" t="s">
        <v>487</v>
      </c>
      <c r="C90" s="99" t="s">
        <v>118</v>
      </c>
      <c r="D90" s="100">
        <f t="shared" si="2"/>
        <v>13751.850420000001</v>
      </c>
      <c r="E90" s="84" t="s">
        <v>341</v>
      </c>
      <c r="G90" s="265">
        <v>9510.27</v>
      </c>
    </row>
    <row r="91" spans="1:7" s="166" customFormat="1" ht="14">
      <c r="A91" s="162" t="s">
        <v>182</v>
      </c>
      <c r="B91" s="163" t="s">
        <v>488</v>
      </c>
      <c r="C91" s="162" t="s">
        <v>118</v>
      </c>
      <c r="D91" s="164">
        <f t="shared" si="2"/>
        <v>25049.607480000002</v>
      </c>
      <c r="E91" s="84" t="s">
        <v>341</v>
      </c>
      <c r="F91" s="165"/>
      <c r="G91" s="272">
        <v>17323.38</v>
      </c>
    </row>
    <row r="92" spans="1:7" ht="14">
      <c r="A92" s="99" t="s">
        <v>489</v>
      </c>
      <c r="B92" s="92" t="s">
        <v>490</v>
      </c>
      <c r="C92" s="99" t="s">
        <v>118</v>
      </c>
      <c r="D92" s="100">
        <f t="shared" si="2"/>
        <v>9555.3559800000003</v>
      </c>
      <c r="E92" s="84" t="s">
        <v>341</v>
      </c>
      <c r="G92" s="259">
        <v>6608.13</v>
      </c>
    </row>
    <row r="93" spans="1:7" ht="14">
      <c r="A93" s="99" t="s">
        <v>491</v>
      </c>
      <c r="B93" s="92" t="s">
        <v>492</v>
      </c>
      <c r="C93" s="99" t="s">
        <v>118</v>
      </c>
      <c r="D93" s="100">
        <f t="shared" si="2"/>
        <v>12173.729399999998</v>
      </c>
      <c r="E93" s="84" t="s">
        <v>341</v>
      </c>
      <c r="G93" s="265">
        <v>8418.9</v>
      </c>
    </row>
    <row r="94" spans="1:7" ht="14">
      <c r="A94" s="99" t="s">
        <v>493</v>
      </c>
      <c r="B94" s="92" t="s">
        <v>494</v>
      </c>
      <c r="C94" s="99" t="s">
        <v>118</v>
      </c>
      <c r="D94" s="100">
        <f t="shared" si="2"/>
        <v>17407.381799999999</v>
      </c>
      <c r="E94" s="84" t="s">
        <v>341</v>
      </c>
      <c r="G94" s="265">
        <v>12038.3</v>
      </c>
    </row>
    <row r="95" spans="1:7" ht="14">
      <c r="A95" s="99" t="s">
        <v>495</v>
      </c>
      <c r="B95" s="92" t="s">
        <v>496</v>
      </c>
      <c r="C95" s="99" t="s">
        <v>118</v>
      </c>
      <c r="D95" s="100">
        <f t="shared" si="2"/>
        <v>9053.1312600000001</v>
      </c>
      <c r="E95" s="84" t="s">
        <v>341</v>
      </c>
      <c r="G95" s="265">
        <v>6260.81</v>
      </c>
    </row>
    <row r="96" spans="1:7" ht="14">
      <c r="A96" s="99" t="s">
        <v>497</v>
      </c>
      <c r="B96" s="92" t="s">
        <v>498</v>
      </c>
      <c r="C96" s="99" t="s">
        <v>118</v>
      </c>
      <c r="D96" s="100">
        <f t="shared" si="2"/>
        <v>11485.59246</v>
      </c>
      <c r="E96" s="84" t="s">
        <v>341</v>
      </c>
      <c r="G96" s="265">
        <v>7943.01</v>
      </c>
    </row>
    <row r="97" spans="1:10" ht="14">
      <c r="A97" s="99" t="s">
        <v>499</v>
      </c>
      <c r="B97" s="92" t="s">
        <v>500</v>
      </c>
      <c r="C97" s="99" t="s">
        <v>118</v>
      </c>
      <c r="D97" s="100">
        <f t="shared" si="2"/>
        <v>16477.893</v>
      </c>
      <c r="E97" s="84" t="s">
        <v>341</v>
      </c>
      <c r="G97" s="265">
        <v>11395.5</v>
      </c>
    </row>
    <row r="98" spans="1:10" ht="14">
      <c r="A98" s="99" t="s">
        <v>501</v>
      </c>
      <c r="B98" s="92" t="s">
        <v>502</v>
      </c>
      <c r="C98" s="99" t="s">
        <v>118</v>
      </c>
      <c r="D98" s="100">
        <f t="shared" si="2"/>
        <v>10910.402579999998</v>
      </c>
      <c r="E98" s="84" t="s">
        <v>341</v>
      </c>
      <c r="G98" s="265">
        <v>7545.23</v>
      </c>
    </row>
    <row r="99" spans="1:10" ht="14">
      <c r="A99" s="99" t="s">
        <v>503</v>
      </c>
      <c r="B99" s="92" t="s">
        <v>504</v>
      </c>
      <c r="C99" s="99" t="s">
        <v>118</v>
      </c>
      <c r="D99" s="100">
        <f t="shared" si="2"/>
        <v>14040.153899999999</v>
      </c>
      <c r="E99" s="84" t="s">
        <v>341</v>
      </c>
      <c r="G99" s="265">
        <v>9709.65</v>
      </c>
    </row>
    <row r="100" spans="1:10" ht="14">
      <c r="A100" s="99" t="s">
        <v>505</v>
      </c>
      <c r="B100" s="92" t="s">
        <v>506</v>
      </c>
      <c r="C100" s="99" t="s">
        <v>118</v>
      </c>
      <c r="D100" s="100">
        <f t="shared" si="2"/>
        <v>21575.433420000001</v>
      </c>
      <c r="E100" s="84" t="s">
        <v>341</v>
      </c>
      <c r="G100" s="265">
        <v>14920.77</v>
      </c>
    </row>
    <row r="101" spans="1:10" ht="14">
      <c r="A101" s="99" t="s">
        <v>507</v>
      </c>
      <c r="B101" s="92" t="s">
        <v>508</v>
      </c>
      <c r="C101" s="99" t="s">
        <v>118</v>
      </c>
      <c r="D101" s="100">
        <f t="shared" si="2"/>
        <v>9555.3559800000003</v>
      </c>
      <c r="E101" s="84" t="s">
        <v>341</v>
      </c>
      <c r="G101" s="265">
        <v>6608.13</v>
      </c>
    </row>
    <row r="102" spans="1:10" ht="14">
      <c r="A102" s="99" t="s">
        <v>509</v>
      </c>
      <c r="B102" s="92" t="s">
        <v>510</v>
      </c>
      <c r="C102" s="99" t="s">
        <v>118</v>
      </c>
      <c r="D102" s="100">
        <f t="shared" si="2"/>
        <v>12173.729399999998</v>
      </c>
      <c r="E102" s="84" t="s">
        <v>341</v>
      </c>
      <c r="G102" s="265">
        <v>8418.9</v>
      </c>
    </row>
    <row r="103" spans="1:10" ht="14">
      <c r="A103" s="99" t="s">
        <v>511</v>
      </c>
      <c r="B103" s="92" t="s">
        <v>512</v>
      </c>
      <c r="C103" s="99" t="s">
        <v>118</v>
      </c>
      <c r="D103" s="100">
        <f t="shared" si="2"/>
        <v>17407.381799999999</v>
      </c>
      <c r="E103" s="84" t="s">
        <v>341</v>
      </c>
      <c r="G103" s="265">
        <v>12038.3</v>
      </c>
    </row>
    <row r="104" spans="1:10" ht="14">
      <c r="A104" s="99" t="s">
        <v>513</v>
      </c>
      <c r="B104" s="92" t="s">
        <v>514</v>
      </c>
      <c r="C104" s="99" t="s">
        <v>118</v>
      </c>
      <c r="D104" s="100">
        <f t="shared" si="2"/>
        <v>11482.093139999999</v>
      </c>
      <c r="E104" s="84" t="s">
        <v>341</v>
      </c>
      <c r="G104" s="265">
        <v>7940.59</v>
      </c>
    </row>
    <row r="105" spans="1:10" ht="14">
      <c r="A105" s="99" t="s">
        <v>515</v>
      </c>
      <c r="B105" s="92" t="s">
        <v>516</v>
      </c>
      <c r="C105" s="99" t="s">
        <v>118</v>
      </c>
      <c r="D105" s="100">
        <f t="shared" si="2"/>
        <v>14812.404659999998</v>
      </c>
      <c r="E105" s="84" t="s">
        <v>341</v>
      </c>
      <c r="G105" s="265">
        <v>10243.709999999999</v>
      </c>
    </row>
    <row r="106" spans="1:10" ht="14">
      <c r="A106" s="99" t="s">
        <v>517</v>
      </c>
      <c r="B106" s="92" t="s">
        <v>518</v>
      </c>
      <c r="C106" s="99" t="s">
        <v>118</v>
      </c>
      <c r="D106" s="100">
        <f t="shared" si="2"/>
        <v>22132.128959999998</v>
      </c>
      <c r="E106" s="84" t="s">
        <v>341</v>
      </c>
      <c r="G106" s="265">
        <v>15305.76</v>
      </c>
    </row>
    <row r="107" spans="1:10" ht="14">
      <c r="A107" s="99" t="s">
        <v>519</v>
      </c>
      <c r="B107" s="92" t="s">
        <v>520</v>
      </c>
      <c r="C107" s="99" t="s">
        <v>521</v>
      </c>
      <c r="D107" s="100"/>
      <c r="E107" s="84" t="s">
        <v>341</v>
      </c>
      <c r="G107" s="265">
        <v>25.34</v>
      </c>
    </row>
    <row r="108" spans="1:10" ht="14">
      <c r="A108" s="99"/>
      <c r="B108" s="92"/>
      <c r="C108" s="99"/>
      <c r="D108" s="100"/>
      <c r="G108" s="265"/>
    </row>
    <row r="109" spans="1:10" ht="14">
      <c r="A109" s="82" t="s">
        <v>522</v>
      </c>
      <c r="B109" s="92"/>
      <c r="C109" s="99"/>
      <c r="D109" s="262" t="s">
        <v>334</v>
      </c>
      <c r="E109" s="89" t="s">
        <v>335</v>
      </c>
      <c r="F109" s="89"/>
      <c r="G109" s="98" t="s">
        <v>338</v>
      </c>
      <c r="I109" s="88" t="s">
        <v>523</v>
      </c>
      <c r="J109" s="88" t="s">
        <v>524</v>
      </c>
    </row>
    <row r="110" spans="1:10" ht="14">
      <c r="A110" s="99" t="s">
        <v>525</v>
      </c>
      <c r="B110" s="92" t="s">
        <v>526</v>
      </c>
      <c r="C110" s="99" t="s">
        <v>527</v>
      </c>
      <c r="D110" s="100">
        <f>G110*$J$5*(1+$D$3)</f>
        <v>192.19112853526218</v>
      </c>
      <c r="E110" s="84" t="s">
        <v>341</v>
      </c>
      <c r="G110" s="259">
        <f>(((I110*66)+(J110*116.49))/182.49)*8</f>
        <v>132.91226039783001</v>
      </c>
      <c r="I110" s="122">
        <v>34.43</v>
      </c>
      <c r="J110" s="122">
        <v>6.52</v>
      </c>
    </row>
    <row r="111" spans="1:10" ht="14">
      <c r="A111" s="99" t="s">
        <v>528</v>
      </c>
      <c r="B111" s="92" t="s">
        <v>529</v>
      </c>
      <c r="C111" s="99" t="s">
        <v>527</v>
      </c>
      <c r="D111" s="100">
        <f>G111*$J$5*(1+$D$3)</f>
        <v>552.40881678119342</v>
      </c>
      <c r="E111" s="84" t="s">
        <v>341</v>
      </c>
      <c r="G111" s="259">
        <f>(((I111*66)+(J111*116.49))/182.49)*8</f>
        <v>382.02546112115726</v>
      </c>
      <c r="I111" s="122">
        <v>83.2</v>
      </c>
      <c r="J111" s="122">
        <v>27.67</v>
      </c>
    </row>
    <row r="112" spans="1:10" ht="14">
      <c r="A112" s="99" t="s">
        <v>530</v>
      </c>
      <c r="B112" s="92" t="s">
        <v>531</v>
      </c>
      <c r="C112" s="99" t="s">
        <v>527</v>
      </c>
      <c r="D112" s="100">
        <f>G112*$J$5*(1+$D$3)</f>
        <v>675.85966784810125</v>
      </c>
      <c r="E112" s="84" t="s">
        <v>341</v>
      </c>
      <c r="G112" s="259">
        <f>(((I112*66)+(J112*116.49))/182.49)*8</f>
        <v>467.3994936708861</v>
      </c>
      <c r="I112" s="122">
        <v>82.42</v>
      </c>
      <c r="J112" s="122">
        <v>44.83</v>
      </c>
    </row>
    <row r="113" spans="1:7" ht="14">
      <c r="A113" s="99"/>
      <c r="B113" s="92"/>
      <c r="C113" s="99"/>
      <c r="D113" s="100"/>
      <c r="G113" s="259"/>
    </row>
    <row r="114" spans="1:7" ht="14">
      <c r="A114" s="99"/>
      <c r="B114" s="92"/>
      <c r="C114" s="99"/>
      <c r="D114" s="100"/>
      <c r="G114" s="259"/>
    </row>
    <row r="115" spans="1:7" ht="14">
      <c r="A115" s="82" t="s">
        <v>532</v>
      </c>
      <c r="D115" s="262" t="s">
        <v>334</v>
      </c>
      <c r="E115" s="89" t="s">
        <v>335</v>
      </c>
      <c r="F115" s="89"/>
      <c r="G115" s="98" t="s">
        <v>338</v>
      </c>
    </row>
    <row r="116" spans="1:7" ht="14">
      <c r="A116" s="99" t="s">
        <v>265</v>
      </c>
      <c r="B116" s="81" t="s">
        <v>533</v>
      </c>
      <c r="C116" s="99" t="s">
        <v>264</v>
      </c>
      <c r="D116" s="264">
        <f t="shared" ref="D116:D125" si="3">G116*$J$5*(1+$D$3)</f>
        <v>68.670540000000003</v>
      </c>
      <c r="E116" s="84" t="s">
        <v>341</v>
      </c>
      <c r="G116" s="105">
        <v>47.49</v>
      </c>
    </row>
    <row r="117" spans="1:7" ht="14">
      <c r="A117" s="99" t="s">
        <v>534</v>
      </c>
      <c r="B117" s="81" t="s">
        <v>535</v>
      </c>
      <c r="C117" s="99" t="s">
        <v>264</v>
      </c>
      <c r="D117" s="264">
        <f t="shared" si="3"/>
        <v>44.898299999999999</v>
      </c>
      <c r="E117" s="84" t="s">
        <v>341</v>
      </c>
      <c r="G117" s="105">
        <v>31.05</v>
      </c>
    </row>
    <row r="118" spans="1:7" ht="14">
      <c r="A118" s="99" t="s">
        <v>268</v>
      </c>
      <c r="B118" s="81" t="s">
        <v>536</v>
      </c>
      <c r="C118" s="99" t="s">
        <v>267</v>
      </c>
      <c r="D118" s="264">
        <f t="shared" si="3"/>
        <v>713.76005999999995</v>
      </c>
      <c r="E118" s="84" t="s">
        <v>341</v>
      </c>
      <c r="G118" s="105">
        <v>493.61</v>
      </c>
    </row>
    <row r="119" spans="1:7" ht="14">
      <c r="A119" s="99" t="s">
        <v>537</v>
      </c>
      <c r="B119" s="81" t="s">
        <v>538</v>
      </c>
      <c r="C119" s="99" t="s">
        <v>267</v>
      </c>
      <c r="D119" s="264">
        <f t="shared" si="3"/>
        <v>63.464939999999999</v>
      </c>
      <c r="E119" s="84" t="s">
        <v>341</v>
      </c>
      <c r="G119" s="105">
        <v>43.89</v>
      </c>
    </row>
    <row r="120" spans="1:7" ht="14">
      <c r="A120" s="99" t="s">
        <v>539</v>
      </c>
      <c r="B120" s="81" t="s">
        <v>540</v>
      </c>
      <c r="C120" s="99" t="s">
        <v>118</v>
      </c>
      <c r="D120" s="264">
        <f t="shared" si="3"/>
        <v>7556.7092399999992</v>
      </c>
      <c r="E120" s="84" t="s">
        <v>341</v>
      </c>
      <c r="G120" s="105">
        <v>5225.9399999999996</v>
      </c>
    </row>
    <row r="121" spans="1:7" ht="14">
      <c r="A121" s="99" t="s">
        <v>541</v>
      </c>
      <c r="B121" s="81" t="s">
        <v>542</v>
      </c>
      <c r="C121" s="99" t="s">
        <v>118</v>
      </c>
      <c r="D121" s="264">
        <f t="shared" si="3"/>
        <v>6240.74802</v>
      </c>
      <c r="E121" s="84" t="s">
        <v>341</v>
      </c>
      <c r="G121" s="105">
        <v>4315.87</v>
      </c>
    </row>
    <row r="122" spans="1:7" ht="14">
      <c r="A122" s="99" t="s">
        <v>543</v>
      </c>
      <c r="B122" s="81" t="s">
        <v>544</v>
      </c>
      <c r="C122" s="99" t="s">
        <v>118</v>
      </c>
      <c r="D122" s="264">
        <f t="shared" si="3"/>
        <v>6043.0653599999996</v>
      </c>
      <c r="E122" s="84" t="s">
        <v>341</v>
      </c>
      <c r="G122" s="105">
        <v>4179.16</v>
      </c>
    </row>
    <row r="123" spans="1:7" ht="14">
      <c r="A123" s="99" t="s">
        <v>545</v>
      </c>
      <c r="B123" s="81" t="s">
        <v>546</v>
      </c>
      <c r="C123" s="99" t="s">
        <v>118</v>
      </c>
      <c r="D123" s="264">
        <f t="shared" si="3"/>
        <v>4620.6640799999996</v>
      </c>
      <c r="E123" s="84" t="s">
        <v>341</v>
      </c>
      <c r="G123" s="105">
        <v>3195.48</v>
      </c>
    </row>
    <row r="124" spans="1:7" ht="14">
      <c r="A124" s="99" t="s">
        <v>269</v>
      </c>
      <c r="B124" s="81" t="s">
        <v>536</v>
      </c>
      <c r="C124" s="99" t="s">
        <v>267</v>
      </c>
      <c r="D124" s="264">
        <f t="shared" si="3"/>
        <v>191.05998</v>
      </c>
      <c r="E124" s="84" t="s">
        <v>341</v>
      </c>
      <c r="G124" s="105">
        <v>132.13</v>
      </c>
    </row>
    <row r="125" spans="1:7" ht="14">
      <c r="A125" s="99" t="s">
        <v>547</v>
      </c>
      <c r="B125" s="81" t="s">
        <v>538</v>
      </c>
      <c r="C125" s="99" t="s">
        <v>267</v>
      </c>
      <c r="D125" s="264">
        <f t="shared" si="3"/>
        <v>302.67671999999999</v>
      </c>
      <c r="E125" s="84" t="s">
        <v>341</v>
      </c>
      <c r="G125" s="105">
        <v>209.32</v>
      </c>
    </row>
    <row r="126" spans="1:7" ht="14">
      <c r="A126" s="99"/>
      <c r="B126" s="92"/>
      <c r="C126" s="99"/>
      <c r="D126" s="100"/>
      <c r="G126" s="259"/>
    </row>
    <row r="127" spans="1:7" ht="14">
      <c r="A127" s="82" t="s">
        <v>548</v>
      </c>
      <c r="B127" s="92"/>
      <c r="C127" s="99"/>
      <c r="D127" s="262" t="s">
        <v>334</v>
      </c>
      <c r="E127" s="89" t="s">
        <v>335</v>
      </c>
      <c r="F127" s="89"/>
      <c r="G127" s="259"/>
    </row>
    <row r="128" spans="1:7" ht="14">
      <c r="A128" s="99" t="s">
        <v>549</v>
      </c>
      <c r="B128" s="92" t="s">
        <v>550</v>
      </c>
      <c r="C128" s="99" t="s">
        <v>527</v>
      </c>
      <c r="D128" s="261">
        <v>381</v>
      </c>
      <c r="E128" s="84" t="s">
        <v>551</v>
      </c>
    </row>
    <row r="129" spans="1:11" ht="14">
      <c r="A129" s="99" t="s">
        <v>552</v>
      </c>
      <c r="B129" s="92" t="s">
        <v>553</v>
      </c>
      <c r="C129" s="99" t="s">
        <v>527</v>
      </c>
      <c r="D129" s="261">
        <v>381</v>
      </c>
      <c r="E129" s="84" t="s">
        <v>551</v>
      </c>
    </row>
    <row r="130" spans="1:11" s="84" customFormat="1" ht="14">
      <c r="A130" s="99" t="s">
        <v>554</v>
      </c>
      <c r="B130" s="92" t="s">
        <v>555</v>
      </c>
      <c r="C130" s="99" t="s">
        <v>527</v>
      </c>
      <c r="D130" s="261">
        <v>381</v>
      </c>
      <c r="E130" s="84" t="s">
        <v>551</v>
      </c>
      <c r="G130" s="81"/>
      <c r="H130" s="81"/>
      <c r="I130" s="81"/>
      <c r="J130" s="81"/>
      <c r="K130" s="81"/>
    </row>
    <row r="131" spans="1:11" s="84" customFormat="1" ht="14">
      <c r="A131" s="99" t="s">
        <v>556</v>
      </c>
      <c r="B131" s="92" t="s">
        <v>557</v>
      </c>
      <c r="C131" s="99" t="s">
        <v>527</v>
      </c>
      <c r="D131" s="261">
        <v>341</v>
      </c>
      <c r="E131" s="84" t="s">
        <v>551</v>
      </c>
      <c r="G131" s="81"/>
      <c r="H131" s="81"/>
      <c r="I131" s="81"/>
      <c r="J131" s="81"/>
      <c r="K131" s="81"/>
    </row>
    <row r="132" spans="1:11" s="84" customFormat="1" ht="14">
      <c r="A132" s="99" t="s">
        <v>558</v>
      </c>
      <c r="B132" s="92" t="s">
        <v>559</v>
      </c>
      <c r="C132" s="99" t="s">
        <v>527</v>
      </c>
      <c r="D132" s="261">
        <v>341</v>
      </c>
      <c r="E132" s="84" t="s">
        <v>551</v>
      </c>
      <c r="G132" s="81"/>
      <c r="H132" s="81"/>
      <c r="I132" s="81"/>
      <c r="J132" s="81"/>
      <c r="K132" s="81"/>
    </row>
    <row r="133" spans="1:11" s="84" customFormat="1" ht="14">
      <c r="A133" s="99" t="s">
        <v>560</v>
      </c>
      <c r="B133" s="92" t="s">
        <v>561</v>
      </c>
      <c r="C133" s="99" t="s">
        <v>527</v>
      </c>
      <c r="D133" s="261">
        <v>341</v>
      </c>
      <c r="E133" s="84" t="s">
        <v>551</v>
      </c>
      <c r="G133" s="81"/>
      <c r="H133" s="81"/>
      <c r="I133" s="81"/>
      <c r="J133" s="81"/>
      <c r="K133" s="81"/>
    </row>
    <row r="134" spans="1:11" s="84" customFormat="1" ht="14">
      <c r="A134" s="99" t="s">
        <v>562</v>
      </c>
      <c r="B134" s="92" t="s">
        <v>563</v>
      </c>
      <c r="C134" s="99" t="s">
        <v>527</v>
      </c>
      <c r="D134" s="261">
        <v>341</v>
      </c>
      <c r="E134" s="84" t="s">
        <v>551</v>
      </c>
      <c r="G134" s="81"/>
      <c r="H134" s="81"/>
      <c r="I134" s="81"/>
      <c r="J134" s="81"/>
      <c r="K134" s="81"/>
    </row>
    <row r="135" spans="1:11" s="84" customFormat="1" ht="14">
      <c r="A135" s="99" t="s">
        <v>564</v>
      </c>
      <c r="B135" s="92" t="s">
        <v>565</v>
      </c>
      <c r="C135" s="99" t="s">
        <v>527</v>
      </c>
      <c r="D135" s="261">
        <v>341</v>
      </c>
      <c r="E135" s="84" t="s">
        <v>551</v>
      </c>
      <c r="G135" s="81"/>
      <c r="H135" s="81"/>
      <c r="I135" s="81"/>
      <c r="J135" s="81"/>
      <c r="K135" s="81"/>
    </row>
    <row r="136" spans="1:11" s="84" customFormat="1" ht="14">
      <c r="A136" s="99" t="s">
        <v>566</v>
      </c>
      <c r="B136" s="92" t="s">
        <v>567</v>
      </c>
      <c r="C136" s="99" t="s">
        <v>527</v>
      </c>
      <c r="D136" s="261">
        <v>381</v>
      </c>
      <c r="E136" s="84" t="s">
        <v>551</v>
      </c>
      <c r="G136" s="81"/>
      <c r="H136" s="81"/>
      <c r="I136" s="81"/>
      <c r="J136" s="81"/>
      <c r="K136" s="81"/>
    </row>
    <row r="137" spans="1:11" s="84" customFormat="1" ht="14">
      <c r="A137" s="99" t="s">
        <v>568</v>
      </c>
      <c r="B137" s="92" t="s">
        <v>569</v>
      </c>
      <c r="C137" s="99" t="s">
        <v>527</v>
      </c>
      <c r="D137" s="261">
        <v>341</v>
      </c>
      <c r="E137" s="84" t="s">
        <v>551</v>
      </c>
      <c r="G137" s="81"/>
      <c r="H137" s="81"/>
      <c r="I137" s="81"/>
      <c r="J137" s="81"/>
      <c r="K137" s="81"/>
    </row>
    <row r="138" spans="1:11" s="84" customFormat="1" ht="14">
      <c r="A138" s="99" t="s">
        <v>570</v>
      </c>
      <c r="B138" s="92" t="s">
        <v>571</v>
      </c>
      <c r="C138" s="99" t="s">
        <v>527</v>
      </c>
      <c r="D138" s="261">
        <v>341</v>
      </c>
      <c r="E138" s="84" t="s">
        <v>551</v>
      </c>
      <c r="G138" s="81"/>
      <c r="H138" s="81"/>
      <c r="I138" s="81"/>
      <c r="J138" s="81"/>
      <c r="K138" s="81"/>
    </row>
    <row r="139" spans="1:11" s="84" customFormat="1" ht="14">
      <c r="A139" s="99" t="s">
        <v>572</v>
      </c>
      <c r="B139" s="92" t="s">
        <v>573</v>
      </c>
      <c r="C139" s="99" t="s">
        <v>527</v>
      </c>
      <c r="D139" s="261">
        <v>341</v>
      </c>
      <c r="E139" s="84" t="s">
        <v>551</v>
      </c>
      <c r="G139" s="81"/>
      <c r="H139" s="81"/>
      <c r="I139" s="81"/>
      <c r="J139" s="81"/>
      <c r="K139" s="81"/>
    </row>
    <row r="140" spans="1:11" s="84" customFormat="1" ht="14">
      <c r="A140" s="99" t="s">
        <v>574</v>
      </c>
      <c r="B140" s="92" t="s">
        <v>575</v>
      </c>
      <c r="C140" s="99" t="s">
        <v>527</v>
      </c>
      <c r="D140" s="261">
        <v>341</v>
      </c>
      <c r="E140" s="84" t="s">
        <v>551</v>
      </c>
      <c r="G140" s="81"/>
      <c r="H140" s="81"/>
      <c r="I140" s="81"/>
      <c r="J140" s="81"/>
      <c r="K140" s="81"/>
    </row>
    <row r="141" spans="1:11" s="84" customFormat="1" ht="14">
      <c r="A141" s="99" t="s">
        <v>576</v>
      </c>
      <c r="B141" s="92" t="s">
        <v>577</v>
      </c>
      <c r="C141" s="99" t="s">
        <v>527</v>
      </c>
      <c r="D141" s="261">
        <v>341</v>
      </c>
      <c r="E141" s="84" t="s">
        <v>551</v>
      </c>
      <c r="G141" s="81"/>
      <c r="H141" s="81"/>
      <c r="I141" s="81"/>
      <c r="J141" s="81"/>
      <c r="K141" s="81"/>
    </row>
    <row r="142" spans="1:11" s="84" customFormat="1" ht="14">
      <c r="A142" s="99" t="s">
        <v>578</v>
      </c>
      <c r="B142" s="92" t="s">
        <v>579</v>
      </c>
      <c r="C142" s="99" t="s">
        <v>527</v>
      </c>
      <c r="D142" s="261">
        <v>341</v>
      </c>
      <c r="E142" s="84" t="s">
        <v>551</v>
      </c>
      <c r="G142" s="81"/>
      <c r="H142" s="81"/>
      <c r="I142" s="81"/>
      <c r="J142" s="81"/>
      <c r="K142" s="81"/>
    </row>
    <row r="143" spans="1:11" s="84" customFormat="1" ht="14">
      <c r="A143" s="99" t="s">
        <v>580</v>
      </c>
      <c r="B143" s="92" t="s">
        <v>581</v>
      </c>
      <c r="C143" s="99" t="s">
        <v>527</v>
      </c>
      <c r="D143" s="261">
        <v>341</v>
      </c>
      <c r="E143" s="84" t="s">
        <v>551</v>
      </c>
      <c r="G143" s="81"/>
      <c r="H143" s="81"/>
      <c r="I143" s="81"/>
      <c r="J143" s="81"/>
      <c r="K143" s="81"/>
    </row>
    <row r="144" spans="1:11" s="84" customFormat="1" ht="14">
      <c r="A144" s="99" t="s">
        <v>582</v>
      </c>
      <c r="B144" s="92" t="s">
        <v>583</v>
      </c>
      <c r="C144" s="99" t="s">
        <v>527</v>
      </c>
      <c r="D144" s="261">
        <v>341</v>
      </c>
      <c r="E144" s="84" t="s">
        <v>551</v>
      </c>
      <c r="G144" s="81"/>
      <c r="H144" s="81"/>
      <c r="I144" s="81"/>
      <c r="J144" s="81"/>
      <c r="K144" s="81"/>
    </row>
    <row r="145" spans="1:11" s="84" customFormat="1" ht="14">
      <c r="A145" s="99" t="s">
        <v>584</v>
      </c>
      <c r="B145" s="92" t="s">
        <v>585</v>
      </c>
      <c r="C145" s="99" t="s">
        <v>527</v>
      </c>
      <c r="D145" s="261">
        <v>341</v>
      </c>
      <c r="E145" s="84" t="s">
        <v>551</v>
      </c>
      <c r="G145" s="81"/>
      <c r="H145" s="81"/>
      <c r="I145" s="81"/>
      <c r="J145" s="81"/>
      <c r="K145" s="81"/>
    </row>
    <row r="146" spans="1:11" ht="14">
      <c r="A146" s="99" t="s">
        <v>586</v>
      </c>
      <c r="B146" s="92" t="s">
        <v>587</v>
      </c>
      <c r="C146" s="99" t="s">
        <v>527</v>
      </c>
      <c r="D146" s="261">
        <v>341</v>
      </c>
      <c r="E146" s="84" t="s">
        <v>551</v>
      </c>
    </row>
    <row r="147" spans="1:11" ht="14">
      <c r="A147" s="99" t="s">
        <v>588</v>
      </c>
      <c r="B147" s="92" t="s">
        <v>589</v>
      </c>
      <c r="C147" s="99" t="s">
        <v>527</v>
      </c>
      <c r="D147" s="261">
        <v>341</v>
      </c>
      <c r="E147" s="84" t="s">
        <v>551</v>
      </c>
    </row>
    <row r="148" spans="1:11" ht="14">
      <c r="A148" s="99" t="s">
        <v>590</v>
      </c>
      <c r="B148" s="92" t="s">
        <v>591</v>
      </c>
      <c r="C148" s="99" t="s">
        <v>527</v>
      </c>
      <c r="D148" s="261">
        <v>341</v>
      </c>
      <c r="E148" s="84" t="s">
        <v>551</v>
      </c>
    </row>
    <row r="149" spans="1:11" ht="14">
      <c r="A149" s="99" t="s">
        <v>592</v>
      </c>
      <c r="B149" s="92" t="s">
        <v>593</v>
      </c>
      <c r="C149" s="99" t="s">
        <v>527</v>
      </c>
      <c r="D149" s="261">
        <v>341</v>
      </c>
      <c r="E149" s="84" t="s">
        <v>551</v>
      </c>
    </row>
    <row r="150" spans="1:11" ht="14">
      <c r="A150" s="99" t="s">
        <v>594</v>
      </c>
      <c r="B150" s="92" t="s">
        <v>595</v>
      </c>
      <c r="C150" s="99" t="s">
        <v>527</v>
      </c>
      <c r="D150" s="261">
        <v>341</v>
      </c>
      <c r="E150" s="84" t="s">
        <v>551</v>
      </c>
    </row>
    <row r="151" spans="1:11" ht="14">
      <c r="A151" s="99" t="s">
        <v>596</v>
      </c>
      <c r="B151" s="92" t="s">
        <v>597</v>
      </c>
      <c r="C151" s="99" t="s">
        <v>527</v>
      </c>
      <c r="D151" s="261">
        <v>341</v>
      </c>
      <c r="E151" s="84" t="s">
        <v>551</v>
      </c>
    </row>
    <row r="152" spans="1:11" ht="14">
      <c r="A152" s="99" t="s">
        <v>598</v>
      </c>
      <c r="B152" s="92" t="s">
        <v>599</v>
      </c>
      <c r="C152" s="99" t="s">
        <v>527</v>
      </c>
      <c r="D152" s="261">
        <v>341</v>
      </c>
      <c r="E152" s="84" t="s">
        <v>551</v>
      </c>
    </row>
    <row r="153" spans="1:11" ht="14">
      <c r="A153" s="99" t="s">
        <v>600</v>
      </c>
      <c r="B153" s="92" t="s">
        <v>601</v>
      </c>
      <c r="C153" s="99" t="s">
        <v>527</v>
      </c>
      <c r="D153" s="261">
        <v>341</v>
      </c>
      <c r="E153" s="84" t="s">
        <v>551</v>
      </c>
    </row>
    <row r="154" spans="1:11" ht="14">
      <c r="A154" s="99" t="s">
        <v>602</v>
      </c>
      <c r="B154" s="92" t="s">
        <v>603</v>
      </c>
      <c r="C154" s="99" t="s">
        <v>527</v>
      </c>
      <c r="D154" s="261">
        <v>341</v>
      </c>
      <c r="E154" s="84" t="s">
        <v>551</v>
      </c>
    </row>
    <row r="155" spans="1:11" ht="14.5">
      <c r="A155" s="99"/>
      <c r="B155" s="92"/>
      <c r="C155" s="99"/>
      <c r="D155" s="262"/>
      <c r="E155" s="89"/>
      <c r="F155" s="89"/>
      <c r="I155" s="101" t="s">
        <v>604</v>
      </c>
      <c r="J155" s="101" t="s">
        <v>605</v>
      </c>
      <c r="K155" s="101" t="s">
        <v>606</v>
      </c>
    </row>
    <row r="156" spans="1:11" ht="14.5">
      <c r="A156" s="99" t="s">
        <v>607</v>
      </c>
      <c r="B156" s="92" t="s">
        <v>608</v>
      </c>
      <c r="C156" s="99" t="s">
        <v>609</v>
      </c>
      <c r="D156" s="261">
        <f>MIN(I156:K156)</f>
        <v>1999.9</v>
      </c>
      <c r="E156" s="84" t="s">
        <v>610</v>
      </c>
      <c r="I156" s="263">
        <v>2358.2399999999998</v>
      </c>
      <c r="J156" s="263">
        <v>2158.92</v>
      </c>
      <c r="K156" s="263">
        <v>1999.9</v>
      </c>
    </row>
    <row r="157" spans="1:11" ht="14">
      <c r="A157" s="99"/>
      <c r="B157" s="92"/>
      <c r="C157" s="99"/>
      <c r="D157" s="262"/>
      <c r="E157" s="89"/>
      <c r="F157" s="89"/>
      <c r="I157" s="99" t="s">
        <v>611</v>
      </c>
      <c r="J157" s="99" t="s">
        <v>612</v>
      </c>
      <c r="K157" s="99" t="s">
        <v>613</v>
      </c>
    </row>
    <row r="158" spans="1:11" ht="14">
      <c r="A158" s="99" t="s">
        <v>614</v>
      </c>
      <c r="B158" s="92" t="s">
        <v>615</v>
      </c>
      <c r="C158" s="99" t="s">
        <v>616</v>
      </c>
      <c r="D158" s="261">
        <v>961.25</v>
      </c>
      <c r="E158" s="84" t="s">
        <v>610</v>
      </c>
    </row>
    <row r="159" spans="1:11" ht="14">
      <c r="A159" s="99" t="s">
        <v>617</v>
      </c>
      <c r="B159" s="92" t="s">
        <v>618</v>
      </c>
      <c r="C159" s="99" t="s">
        <v>616</v>
      </c>
      <c r="D159" s="261"/>
      <c r="E159" s="84" t="s">
        <v>610</v>
      </c>
    </row>
    <row r="160" spans="1:11" ht="14">
      <c r="A160" s="99" t="s">
        <v>619</v>
      </c>
      <c r="B160" s="92" t="s">
        <v>620</v>
      </c>
      <c r="C160" s="99" t="s">
        <v>616</v>
      </c>
      <c r="D160" s="261">
        <v>754.75</v>
      </c>
      <c r="E160" s="84" t="s">
        <v>610</v>
      </c>
    </row>
    <row r="161" spans="1:11" ht="14">
      <c r="A161" s="99" t="s">
        <v>621</v>
      </c>
      <c r="B161" s="92" t="s">
        <v>622</v>
      </c>
      <c r="C161" s="99" t="s">
        <v>616</v>
      </c>
      <c r="D161" s="261"/>
      <c r="E161" s="84" t="s">
        <v>610</v>
      </c>
    </row>
    <row r="162" spans="1:11" s="84" customFormat="1" ht="14">
      <c r="A162" s="99" t="s">
        <v>623</v>
      </c>
      <c r="B162" s="92" t="s">
        <v>624</v>
      </c>
      <c r="C162" s="99" t="s">
        <v>616</v>
      </c>
      <c r="D162" s="261"/>
      <c r="E162" s="84" t="s">
        <v>610</v>
      </c>
      <c r="G162" s="81"/>
      <c r="H162" s="81"/>
      <c r="I162" s="81"/>
      <c r="J162" s="81"/>
      <c r="K162" s="81"/>
    </row>
    <row r="163" spans="1:11" s="84" customFormat="1" ht="14">
      <c r="A163" s="99" t="s">
        <v>625</v>
      </c>
      <c r="B163" s="92" t="s">
        <v>626</v>
      </c>
      <c r="C163" s="99" t="s">
        <v>616</v>
      </c>
      <c r="D163" s="261"/>
      <c r="E163" s="84" t="s">
        <v>610</v>
      </c>
      <c r="G163" s="81"/>
      <c r="H163" s="81"/>
      <c r="I163" s="81"/>
      <c r="J163" s="81"/>
      <c r="K163" s="81"/>
    </row>
    <row r="164" spans="1:11" s="84" customFormat="1" ht="14">
      <c r="A164" s="99" t="s">
        <v>627</v>
      </c>
      <c r="B164" s="92" t="s">
        <v>628</v>
      </c>
      <c r="C164" s="99" t="s">
        <v>616</v>
      </c>
      <c r="D164" s="261"/>
      <c r="E164" s="84" t="s">
        <v>610</v>
      </c>
      <c r="G164" s="81"/>
      <c r="H164" s="81"/>
      <c r="I164" s="81"/>
      <c r="J164" s="81"/>
      <c r="K164" s="81"/>
    </row>
    <row r="165" spans="1:11" s="84" customFormat="1" ht="14">
      <c r="A165" s="99" t="s">
        <v>629</v>
      </c>
      <c r="B165" s="92" t="s">
        <v>630</v>
      </c>
      <c r="C165" s="99" t="s">
        <v>616</v>
      </c>
      <c r="D165" s="261"/>
      <c r="E165" s="84" t="s">
        <v>610</v>
      </c>
      <c r="G165" s="81"/>
      <c r="H165" s="81"/>
      <c r="I165" s="81"/>
      <c r="J165" s="81"/>
      <c r="K165" s="81"/>
    </row>
    <row r="166" spans="1:11" s="84" customFormat="1" ht="14">
      <c r="A166" s="99" t="s">
        <v>631</v>
      </c>
      <c r="B166" s="92" t="s">
        <v>632</v>
      </c>
      <c r="C166" s="99" t="s">
        <v>616</v>
      </c>
      <c r="D166" s="261"/>
      <c r="E166" s="84" t="s">
        <v>610</v>
      </c>
      <c r="G166" s="81"/>
      <c r="H166" s="81"/>
      <c r="I166" s="81"/>
      <c r="J166" s="81"/>
      <c r="K166" s="81"/>
    </row>
    <row r="167" spans="1:11" s="84" customFormat="1" ht="14">
      <c r="A167" s="99" t="s">
        <v>633</v>
      </c>
      <c r="B167" s="92" t="s">
        <v>634</v>
      </c>
      <c r="C167" s="99" t="s">
        <v>616</v>
      </c>
      <c r="D167" s="261"/>
      <c r="E167" s="84" t="s">
        <v>610</v>
      </c>
      <c r="G167" s="81"/>
      <c r="H167" s="81"/>
      <c r="I167" s="81"/>
      <c r="J167" s="81"/>
      <c r="K167" s="81"/>
    </row>
    <row r="168" spans="1:11" s="84" customFormat="1" ht="14">
      <c r="A168" s="99" t="s">
        <v>635</v>
      </c>
      <c r="B168" s="92" t="s">
        <v>636</v>
      </c>
      <c r="C168" s="99" t="s">
        <v>616</v>
      </c>
      <c r="D168" s="261"/>
      <c r="E168" s="84" t="s">
        <v>610</v>
      </c>
      <c r="G168" s="81"/>
      <c r="H168" s="81"/>
      <c r="I168" s="81"/>
      <c r="J168" s="81"/>
      <c r="K168" s="81"/>
    </row>
    <row r="169" spans="1:11" s="84" customFormat="1" ht="14">
      <c r="A169" s="99" t="s">
        <v>637</v>
      </c>
      <c r="B169" s="92" t="s">
        <v>638</v>
      </c>
      <c r="C169" s="99" t="s">
        <v>616</v>
      </c>
      <c r="D169" s="261"/>
      <c r="E169" s="84" t="s">
        <v>610</v>
      </c>
      <c r="G169" s="81"/>
      <c r="H169" s="81"/>
      <c r="I169" s="81"/>
      <c r="J169" s="81"/>
      <c r="K169" s="81"/>
    </row>
    <row r="170" spans="1:11" s="84" customFormat="1" ht="14">
      <c r="A170" s="99" t="s">
        <v>639</v>
      </c>
      <c r="B170" s="92" t="s">
        <v>640</v>
      </c>
      <c r="C170" s="99" t="s">
        <v>616</v>
      </c>
      <c r="D170" s="261"/>
      <c r="E170" s="84" t="s">
        <v>610</v>
      </c>
      <c r="G170" s="81"/>
      <c r="H170" s="81"/>
      <c r="I170" s="81"/>
      <c r="J170" s="81"/>
      <c r="K170" s="81"/>
    </row>
    <row r="171" spans="1:11" s="84" customFormat="1" ht="14">
      <c r="A171" s="99" t="s">
        <v>641</v>
      </c>
      <c r="B171" s="92" t="s">
        <v>642</v>
      </c>
      <c r="C171" s="99" t="s">
        <v>616</v>
      </c>
      <c r="D171" s="261"/>
      <c r="E171" s="84" t="s">
        <v>610</v>
      </c>
      <c r="G171" s="81"/>
      <c r="H171" s="81"/>
      <c r="I171" s="81"/>
      <c r="J171" s="81"/>
      <c r="K171" s="81"/>
    </row>
    <row r="172" spans="1:11" s="84" customFormat="1" ht="14">
      <c r="A172" s="99" t="s">
        <v>643</v>
      </c>
      <c r="B172" s="92" t="s">
        <v>644</v>
      </c>
      <c r="C172" s="99" t="s">
        <v>616</v>
      </c>
      <c r="D172" s="261"/>
      <c r="E172" s="84" t="s">
        <v>610</v>
      </c>
      <c r="G172" s="81"/>
      <c r="H172" s="81"/>
      <c r="I172" s="81"/>
      <c r="J172" s="81"/>
      <c r="K172" s="81"/>
    </row>
    <row r="173" spans="1:11" s="84" customFormat="1" ht="14">
      <c r="A173" s="99" t="s">
        <v>645</v>
      </c>
      <c r="B173" s="92" t="s">
        <v>646</v>
      </c>
      <c r="C173" s="99" t="s">
        <v>616</v>
      </c>
      <c r="D173" s="261">
        <v>824.7</v>
      </c>
      <c r="E173" s="84" t="s">
        <v>610</v>
      </c>
      <c r="G173" s="81"/>
      <c r="H173" s="81"/>
      <c r="I173" s="81"/>
      <c r="J173" s="81"/>
      <c r="K173" s="81"/>
    </row>
    <row r="174" spans="1:11" s="84" customFormat="1" ht="14">
      <c r="A174" s="99" t="s">
        <v>647</v>
      </c>
      <c r="B174" s="92" t="s">
        <v>648</v>
      </c>
      <c r="C174" s="99" t="s">
        <v>616</v>
      </c>
      <c r="D174" s="261"/>
      <c r="E174" s="84" t="s">
        <v>610</v>
      </c>
      <c r="G174" s="81"/>
      <c r="H174" s="81"/>
      <c r="I174" s="81"/>
      <c r="J174" s="81"/>
      <c r="K174" s="81"/>
    </row>
    <row r="175" spans="1:11" s="84" customFormat="1" ht="14">
      <c r="A175" s="99" t="s">
        <v>649</v>
      </c>
      <c r="B175" s="92" t="s">
        <v>650</v>
      </c>
      <c r="C175" s="99" t="s">
        <v>616</v>
      </c>
      <c r="D175" s="261"/>
      <c r="E175" s="84" t="s">
        <v>610</v>
      </c>
      <c r="G175" s="81"/>
      <c r="H175" s="81"/>
      <c r="I175" s="81"/>
      <c r="J175" s="81"/>
      <c r="K175" s="81"/>
    </row>
    <row r="176" spans="1:11" s="84" customFormat="1" ht="14">
      <c r="A176" s="99" t="s">
        <v>651</v>
      </c>
      <c r="B176" s="92" t="s">
        <v>652</v>
      </c>
      <c r="C176" s="99" t="s">
        <v>616</v>
      </c>
      <c r="D176" s="261"/>
      <c r="E176" s="84" t="s">
        <v>610</v>
      </c>
      <c r="G176" s="81"/>
      <c r="H176" s="81"/>
      <c r="I176" s="81"/>
      <c r="J176" s="81"/>
      <c r="K176" s="81"/>
    </row>
    <row r="177" spans="1:11" s="84" customFormat="1" ht="14">
      <c r="A177" s="99" t="s">
        <v>653</v>
      </c>
      <c r="B177" s="92" t="s">
        <v>654</v>
      </c>
      <c r="C177" s="99" t="s">
        <v>616</v>
      </c>
      <c r="D177" s="261"/>
      <c r="E177" s="84" t="s">
        <v>610</v>
      </c>
      <c r="G177" s="81"/>
      <c r="H177" s="81"/>
      <c r="I177" s="81"/>
      <c r="J177" s="81"/>
      <c r="K177" s="81"/>
    </row>
    <row r="178" spans="1:11" ht="14">
      <c r="A178" s="99" t="s">
        <v>655</v>
      </c>
      <c r="B178" s="92" t="s">
        <v>656</v>
      </c>
      <c r="C178" s="99" t="s">
        <v>616</v>
      </c>
      <c r="D178" s="261"/>
      <c r="E178" s="84" t="s">
        <v>610</v>
      </c>
    </row>
    <row r="179" spans="1:11" ht="14">
      <c r="A179" s="99" t="s">
        <v>657</v>
      </c>
      <c r="B179" s="92" t="s">
        <v>658</v>
      </c>
      <c r="C179" s="99" t="s">
        <v>616</v>
      </c>
      <c r="D179" s="261"/>
      <c r="E179" s="84" t="s">
        <v>610</v>
      </c>
    </row>
    <row r="180" spans="1:11" ht="14">
      <c r="A180" s="99" t="s">
        <v>659</v>
      </c>
      <c r="B180" s="92" t="s">
        <v>660</v>
      </c>
      <c r="C180" s="99" t="s">
        <v>616</v>
      </c>
      <c r="D180" s="261"/>
      <c r="E180" s="84" t="s">
        <v>610</v>
      </c>
    </row>
    <row r="181" spans="1:11" ht="14">
      <c r="A181" s="99" t="s">
        <v>661</v>
      </c>
      <c r="B181" s="92" t="s">
        <v>662</v>
      </c>
      <c r="C181" s="99" t="s">
        <v>616</v>
      </c>
      <c r="D181" s="261"/>
      <c r="E181" s="84" t="s">
        <v>610</v>
      </c>
    </row>
    <row r="182" spans="1:11" ht="14">
      <c r="A182" s="99" t="s">
        <v>663</v>
      </c>
      <c r="B182" s="92" t="s">
        <v>664</v>
      </c>
      <c r="C182" s="99" t="s">
        <v>616</v>
      </c>
      <c r="D182" s="261"/>
      <c r="E182" s="84" t="s">
        <v>610</v>
      </c>
    </row>
    <row r="183" spans="1:11" ht="14">
      <c r="A183" s="99" t="s">
        <v>665</v>
      </c>
      <c r="B183" s="92" t="s">
        <v>666</v>
      </c>
      <c r="C183" s="99" t="s">
        <v>616</v>
      </c>
      <c r="D183" s="261"/>
      <c r="E183" s="84" t="s">
        <v>610</v>
      </c>
    </row>
    <row r="184" spans="1:11" ht="14">
      <c r="A184" s="99" t="s">
        <v>667</v>
      </c>
      <c r="B184" s="92" t="s">
        <v>668</v>
      </c>
      <c r="C184" s="99" t="s">
        <v>616</v>
      </c>
      <c r="D184" s="261"/>
      <c r="E184" s="84" t="s">
        <v>610</v>
      </c>
    </row>
    <row r="185" spans="1:11" ht="14">
      <c r="A185" s="102" t="s">
        <v>669</v>
      </c>
      <c r="B185" s="103" t="s">
        <v>670</v>
      </c>
      <c r="C185" s="102" t="s">
        <v>616</v>
      </c>
      <c r="D185" s="260">
        <v>754.75</v>
      </c>
      <c r="E185" s="104" t="s">
        <v>610</v>
      </c>
    </row>
    <row r="186" spans="1:11" ht="14">
      <c r="A186" s="99" t="s">
        <v>671</v>
      </c>
      <c r="B186" s="92" t="s">
        <v>672</v>
      </c>
      <c r="C186" s="99" t="s">
        <v>616</v>
      </c>
      <c r="D186" s="259">
        <v>824.7</v>
      </c>
      <c r="E186" s="84" t="s">
        <v>610</v>
      </c>
    </row>
    <row r="187" spans="1:11" ht="14">
      <c r="A187" s="91"/>
      <c r="B187" s="92"/>
      <c r="C187" s="91"/>
      <c r="D187" s="258"/>
    </row>
    <row r="188" spans="1:11" ht="14.5">
      <c r="A188" s="81" t="s">
        <v>215</v>
      </c>
      <c r="B188" s="81" t="s">
        <v>673</v>
      </c>
      <c r="C188" s="81" t="s">
        <v>674</v>
      </c>
      <c r="D188" s="126">
        <f>33253.13/36</f>
        <v>923.69805555555547</v>
      </c>
      <c r="E188" s="81" t="s">
        <v>675</v>
      </c>
      <c r="F188" s="81"/>
    </row>
    <row r="189" spans="1:11" s="225" customFormat="1" ht="14.5">
      <c r="A189" s="226" t="s">
        <v>217</v>
      </c>
      <c r="B189" s="226" t="s">
        <v>676</v>
      </c>
      <c r="C189" s="81" t="s">
        <v>674</v>
      </c>
      <c r="D189" s="227">
        <f>233350/36</f>
        <v>6481.9444444444443</v>
      </c>
      <c r="E189" s="226" t="s">
        <v>677</v>
      </c>
    </row>
    <row r="190" spans="1:11" ht="14.5">
      <c r="A190" s="226" t="s">
        <v>219</v>
      </c>
      <c r="B190" s="226" t="s">
        <v>678</v>
      </c>
      <c r="C190" s="81" t="s">
        <v>674</v>
      </c>
      <c r="D190" s="228">
        <f>788.75/12</f>
        <v>65.729166666666671</v>
      </c>
      <c r="E190" s="226" t="s">
        <v>679</v>
      </c>
      <c r="F190" s="81"/>
    </row>
    <row r="191" spans="1:11" ht="14.5">
      <c r="A191" s="226" t="s">
        <v>221</v>
      </c>
      <c r="B191" s="226" t="s">
        <v>680</v>
      </c>
      <c r="C191" s="81" t="s">
        <v>674</v>
      </c>
      <c r="D191" s="228">
        <f>5*99</f>
        <v>495</v>
      </c>
      <c r="E191" s="226" t="s">
        <v>681</v>
      </c>
      <c r="F191" s="81"/>
    </row>
    <row r="192" spans="1:11" ht="14.5">
      <c r="A192" s="226" t="s">
        <v>223</v>
      </c>
      <c r="B192" s="226" t="s">
        <v>682</v>
      </c>
      <c r="C192" s="81" t="s">
        <v>674</v>
      </c>
      <c r="D192" s="228">
        <f>5*17940/36</f>
        <v>2491.6666666666665</v>
      </c>
      <c r="E192" s="226" t="s">
        <v>683</v>
      </c>
      <c r="F192" s="81"/>
    </row>
    <row r="193" spans="1:6" ht="14">
      <c r="D193" s="81"/>
      <c r="E193" s="81"/>
      <c r="F193" s="81"/>
    </row>
    <row r="194" spans="1:6" ht="14">
      <c r="D194" s="81"/>
      <c r="E194" s="81"/>
      <c r="F194" s="81"/>
    </row>
    <row r="195" spans="1:6" ht="14">
      <c r="A195" s="91"/>
      <c r="B195" s="92"/>
      <c r="C195" s="91"/>
      <c r="D195" s="258"/>
    </row>
  </sheetData>
  <pageMargins left="0.511811024" right="0.511811024" top="0.78740157499999996" bottom="0.78740157499999996" header="0.31496062000000002" footer="0.31496062000000002"/>
  <pageSetup paperSize="9" orientation="portrait" horizontalDpi="200" verticalDpi="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7846A-FABF-4AA6-9EF8-133A4ACC8879}">
  <sheetPr>
    <tabColor theme="9" tint="-0.249977111117893"/>
  </sheetPr>
  <dimension ref="A1:E19"/>
  <sheetViews>
    <sheetView workbookViewId="0">
      <selection activeCell="J16" sqref="J16"/>
    </sheetView>
  </sheetViews>
  <sheetFormatPr defaultColWidth="9.1796875" defaultRowHeight="12.5"/>
  <cols>
    <col min="1" max="1" width="19.81640625" style="80" customWidth="1"/>
    <col min="2" max="2" width="20.81640625" style="80" bestFit="1" customWidth="1"/>
    <col min="3" max="4" width="13" style="80" customWidth="1"/>
    <col min="5" max="16384" width="9.1796875" style="80"/>
  </cols>
  <sheetData>
    <row r="1" spans="1:5">
      <c r="A1" s="106" t="s">
        <v>684</v>
      </c>
      <c r="B1" s="107"/>
      <c r="C1" s="107"/>
      <c r="D1" s="107"/>
      <c r="E1" s="108"/>
    </row>
    <row r="2" spans="1:5">
      <c r="A2" s="109" t="s">
        <v>685</v>
      </c>
      <c r="B2" s="110"/>
      <c r="C2" s="111" t="s">
        <v>686</v>
      </c>
      <c r="D2" s="112" t="s">
        <v>687</v>
      </c>
      <c r="E2" s="108"/>
    </row>
    <row r="3" spans="1:5">
      <c r="A3" s="113" t="s">
        <v>688</v>
      </c>
      <c r="B3" s="356" t="s">
        <v>689</v>
      </c>
      <c r="C3" s="357">
        <v>6.92</v>
      </c>
      <c r="D3" s="358">
        <v>10</v>
      </c>
      <c r="E3" s="108"/>
    </row>
    <row r="4" spans="1:5">
      <c r="A4" s="114" t="s">
        <v>690</v>
      </c>
      <c r="B4" s="359" t="s">
        <v>691</v>
      </c>
      <c r="C4" s="360">
        <v>0.78</v>
      </c>
      <c r="D4" s="361">
        <v>1.1299999999999999</v>
      </c>
      <c r="E4" s="108"/>
    </row>
    <row r="5" spans="1:5">
      <c r="A5" s="114" t="s">
        <v>692</v>
      </c>
      <c r="B5" s="359" t="s">
        <v>693</v>
      </c>
      <c r="C5" s="360">
        <v>0.5</v>
      </c>
      <c r="D5" s="361">
        <v>0.72</v>
      </c>
      <c r="E5" s="108"/>
    </row>
    <row r="6" spans="1:5">
      <c r="A6" s="115" t="s">
        <v>694</v>
      </c>
      <c r="B6" s="362" t="s">
        <v>695</v>
      </c>
      <c r="C6" s="363">
        <v>0.1</v>
      </c>
      <c r="D6" s="364">
        <v>0.14000000000000001</v>
      </c>
      <c r="E6" s="108"/>
    </row>
    <row r="7" spans="1:5">
      <c r="B7" s="365" t="s">
        <v>696</v>
      </c>
      <c r="C7" s="366">
        <v>8.3000000000000007</v>
      </c>
      <c r="D7" s="367">
        <v>11.99</v>
      </c>
      <c r="E7" s="108"/>
    </row>
    <row r="8" spans="1:5">
      <c r="A8" s="109" t="s">
        <v>697</v>
      </c>
      <c r="B8" s="368"/>
      <c r="C8" s="369" t="s">
        <v>686</v>
      </c>
      <c r="D8" s="370" t="s">
        <v>687</v>
      </c>
      <c r="E8" s="108"/>
    </row>
    <row r="9" spans="1:5">
      <c r="A9" s="116" t="s">
        <v>698</v>
      </c>
      <c r="B9" s="371" t="s">
        <v>689</v>
      </c>
      <c r="C9" s="372">
        <v>8.3000000000000007</v>
      </c>
      <c r="D9" s="373">
        <v>12</v>
      </c>
      <c r="E9" s="108"/>
    </row>
    <row r="10" spans="1:5">
      <c r="B10" s="365" t="s">
        <v>699</v>
      </c>
      <c r="C10" s="366">
        <v>8.3000000000000007</v>
      </c>
      <c r="D10" s="367">
        <v>12</v>
      </c>
      <c r="E10" s="108"/>
    </row>
    <row r="11" spans="1:5">
      <c r="A11" s="109" t="s">
        <v>700</v>
      </c>
      <c r="B11" s="368"/>
      <c r="C11" s="369" t="s">
        <v>686</v>
      </c>
      <c r="D11" s="370" t="s">
        <v>687</v>
      </c>
      <c r="E11" s="108"/>
    </row>
    <row r="12" spans="1:5">
      <c r="A12" s="117" t="s">
        <v>701</v>
      </c>
      <c r="B12" s="374" t="s">
        <v>702</v>
      </c>
      <c r="C12" s="357">
        <v>1.65</v>
      </c>
      <c r="D12" s="358">
        <v>2.39</v>
      </c>
      <c r="E12" s="108"/>
    </row>
    <row r="13" spans="1:5">
      <c r="A13" s="114" t="s">
        <v>703</v>
      </c>
      <c r="B13" s="359" t="s">
        <v>704</v>
      </c>
      <c r="C13" s="360">
        <v>7.6</v>
      </c>
      <c r="D13" s="361">
        <v>10.99</v>
      </c>
      <c r="E13" s="108"/>
    </row>
    <row r="14" spans="1:5">
      <c r="A14" s="115" t="s">
        <v>705</v>
      </c>
      <c r="B14" s="362" t="s">
        <v>706</v>
      </c>
      <c r="C14" s="363">
        <v>5</v>
      </c>
      <c r="D14" s="364">
        <v>7.23</v>
      </c>
      <c r="E14" s="108"/>
    </row>
    <row r="15" spans="1:5">
      <c r="B15" s="365" t="s">
        <v>707</v>
      </c>
      <c r="C15" s="366">
        <v>14.25</v>
      </c>
      <c r="D15" s="367">
        <v>20.61</v>
      </c>
      <c r="E15" s="108"/>
    </row>
    <row r="16" spans="1:5">
      <c r="A16" s="106" t="s">
        <v>708</v>
      </c>
      <c r="B16" s="118"/>
      <c r="C16" s="119">
        <v>30.84</v>
      </c>
      <c r="D16" s="119">
        <v>44.6</v>
      </c>
      <c r="E16" s="108"/>
    </row>
    <row r="17" spans="1:5">
      <c r="A17" s="120" t="s">
        <v>709</v>
      </c>
      <c r="B17" s="121"/>
      <c r="C17" s="121"/>
      <c r="D17" s="121"/>
      <c r="E17" s="121"/>
    </row>
    <row r="19" spans="1:5">
      <c r="A19" s="80" t="s">
        <v>710</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6E14A-62AB-41D3-A04A-A8CDD84B88FC}">
  <sheetPr>
    <tabColor theme="7" tint="0.79998168889431442"/>
  </sheetPr>
  <dimension ref="B1:H15"/>
  <sheetViews>
    <sheetView workbookViewId="0"/>
  </sheetViews>
  <sheetFormatPr defaultRowHeight="14.5"/>
  <cols>
    <col min="2" max="2" width="69.453125" style="10" bestFit="1" customWidth="1"/>
    <col min="3" max="3" width="52.1796875" style="9" bestFit="1" customWidth="1"/>
    <col min="4" max="4" width="62.453125" bestFit="1" customWidth="1"/>
    <col min="5" max="5" width="111.1796875" customWidth="1"/>
    <col min="6" max="6" width="43.81640625" customWidth="1"/>
    <col min="7" max="7" width="20.26953125" bestFit="1" customWidth="1"/>
  </cols>
  <sheetData>
    <row r="1" spans="2:8" ht="29">
      <c r="B1" s="15" t="s">
        <v>20</v>
      </c>
      <c r="C1" s="16" t="s">
        <v>21</v>
      </c>
      <c r="D1" s="16" t="s">
        <v>22</v>
      </c>
      <c r="E1" s="16" t="s">
        <v>23</v>
      </c>
      <c r="F1" s="16" t="s">
        <v>24</v>
      </c>
      <c r="G1" s="17" t="s">
        <v>25</v>
      </c>
    </row>
    <row r="2" spans="2:8" ht="129.75" customHeight="1">
      <c r="B2" s="18" t="s">
        <v>26</v>
      </c>
      <c r="C2" s="11" t="s">
        <v>4</v>
      </c>
      <c r="D2" s="7" t="s">
        <v>27</v>
      </c>
      <c r="E2" s="7" t="s">
        <v>28</v>
      </c>
      <c r="F2" s="14" t="s">
        <v>9</v>
      </c>
      <c r="G2" s="19">
        <v>1920</v>
      </c>
      <c r="H2">
        <v>1</v>
      </c>
    </row>
    <row r="3" spans="2:8" ht="143.25" customHeight="1">
      <c r="B3" s="18" t="s">
        <v>26</v>
      </c>
      <c r="C3" s="11" t="s">
        <v>5</v>
      </c>
      <c r="D3" s="7" t="s">
        <v>29</v>
      </c>
      <c r="E3" s="7" t="s">
        <v>30</v>
      </c>
      <c r="F3" s="14" t="s">
        <v>9</v>
      </c>
      <c r="G3" s="19">
        <v>1920</v>
      </c>
      <c r="H3">
        <v>1</v>
      </c>
    </row>
    <row r="4" spans="2:8" ht="169.5" customHeight="1">
      <c r="B4" s="18" t="s">
        <v>26</v>
      </c>
      <c r="C4" s="11" t="s">
        <v>8</v>
      </c>
      <c r="D4" s="7" t="s">
        <v>31</v>
      </c>
      <c r="E4" s="7" t="s">
        <v>32</v>
      </c>
      <c r="F4" s="14" t="s">
        <v>9</v>
      </c>
      <c r="G4" s="19">
        <v>1920</v>
      </c>
      <c r="H4">
        <v>1</v>
      </c>
    </row>
    <row r="5" spans="2:8" ht="150" customHeight="1">
      <c r="B5" s="18" t="s">
        <v>26</v>
      </c>
      <c r="C5" s="12" t="s">
        <v>5</v>
      </c>
      <c r="D5" s="7" t="s">
        <v>29</v>
      </c>
      <c r="E5" s="7" t="s">
        <v>33</v>
      </c>
      <c r="F5" s="11" t="s">
        <v>10</v>
      </c>
      <c r="G5" s="19">
        <v>1920</v>
      </c>
    </row>
    <row r="6" spans="2:8" ht="132.75" customHeight="1">
      <c r="B6" s="18" t="s">
        <v>26</v>
      </c>
      <c r="C6" s="11" t="s">
        <v>6</v>
      </c>
      <c r="D6" s="41" t="s">
        <v>34</v>
      </c>
      <c r="E6" s="7" t="s">
        <v>35</v>
      </c>
      <c r="F6" s="11" t="s">
        <v>10</v>
      </c>
      <c r="G6" s="19">
        <v>1920</v>
      </c>
    </row>
    <row r="7" spans="2:8" ht="143.25" customHeight="1">
      <c r="B7" s="18" t="s">
        <v>26</v>
      </c>
      <c r="C7" s="11" t="s">
        <v>6</v>
      </c>
      <c r="D7" s="41" t="s">
        <v>36</v>
      </c>
      <c r="E7" s="7" t="s">
        <v>37</v>
      </c>
      <c r="F7" s="11" t="s">
        <v>11</v>
      </c>
      <c r="G7" s="19">
        <v>1920</v>
      </c>
    </row>
    <row r="8" spans="2:8" ht="87">
      <c r="B8" s="18" t="s">
        <v>26</v>
      </c>
      <c r="C8" s="12" t="s">
        <v>5</v>
      </c>
      <c r="D8" s="7" t="s">
        <v>38</v>
      </c>
      <c r="E8" s="7" t="s">
        <v>39</v>
      </c>
      <c r="F8" s="11" t="s">
        <v>12</v>
      </c>
      <c r="G8" s="19">
        <v>1920</v>
      </c>
    </row>
    <row r="9" spans="2:8" ht="130.5" customHeight="1">
      <c r="B9" s="18" t="s">
        <v>26</v>
      </c>
      <c r="C9" s="13" t="s">
        <v>8</v>
      </c>
      <c r="D9" s="7" t="s">
        <v>40</v>
      </c>
      <c r="E9" s="7" t="s">
        <v>41</v>
      </c>
      <c r="F9" s="11" t="s">
        <v>12</v>
      </c>
      <c r="G9" s="19">
        <v>1920</v>
      </c>
    </row>
    <row r="10" spans="2:8" ht="43.5">
      <c r="B10" s="18" t="s">
        <v>26</v>
      </c>
      <c r="C10" s="12" t="s">
        <v>7</v>
      </c>
      <c r="D10" s="7" t="s">
        <v>42</v>
      </c>
      <c r="E10" s="7" t="s">
        <v>43</v>
      </c>
      <c r="F10" s="14" t="s">
        <v>13</v>
      </c>
      <c r="G10" s="19">
        <v>1920</v>
      </c>
    </row>
    <row r="11" spans="2:8" ht="72.5">
      <c r="B11" s="18" t="s">
        <v>44</v>
      </c>
      <c r="C11" s="12" t="s">
        <v>5</v>
      </c>
      <c r="D11" s="7" t="s">
        <v>45</v>
      </c>
      <c r="E11" s="7" t="s">
        <v>46</v>
      </c>
      <c r="F11" s="14" t="s">
        <v>15</v>
      </c>
      <c r="G11" s="19">
        <v>1920</v>
      </c>
    </row>
    <row r="12" spans="2:8" ht="145">
      <c r="B12" s="18" t="s">
        <v>44</v>
      </c>
      <c r="C12" s="12" t="s">
        <v>6</v>
      </c>
      <c r="D12" s="41" t="s">
        <v>47</v>
      </c>
      <c r="E12" s="7" t="s">
        <v>48</v>
      </c>
      <c r="F12" s="14" t="s">
        <v>15</v>
      </c>
      <c r="G12" s="19">
        <v>1920</v>
      </c>
    </row>
    <row r="13" spans="2:8" ht="145">
      <c r="B13" s="18" t="s">
        <v>44</v>
      </c>
      <c r="C13" s="12" t="s">
        <v>8</v>
      </c>
      <c r="D13" s="7" t="s">
        <v>31</v>
      </c>
      <c r="E13" s="7" t="s">
        <v>48</v>
      </c>
      <c r="F13" s="14" t="s">
        <v>15</v>
      </c>
      <c r="G13" s="19">
        <v>1920</v>
      </c>
    </row>
    <row r="14" spans="2:8" ht="72.5">
      <c r="B14" s="18" t="s">
        <v>26</v>
      </c>
      <c r="C14" s="11" t="s">
        <v>6</v>
      </c>
      <c r="D14" s="41" t="s">
        <v>34</v>
      </c>
      <c r="E14" s="41" t="s">
        <v>49</v>
      </c>
      <c r="F14" s="14" t="s">
        <v>16</v>
      </c>
      <c r="G14" s="19">
        <v>1920</v>
      </c>
    </row>
    <row r="15" spans="2:8" ht="58">
      <c r="B15" s="18" t="s">
        <v>26</v>
      </c>
      <c r="C15" s="14" t="s">
        <v>8</v>
      </c>
      <c r="D15" s="7" t="s">
        <v>31</v>
      </c>
      <c r="E15" s="41" t="s">
        <v>50</v>
      </c>
      <c r="F15" s="14" t="s">
        <v>16</v>
      </c>
      <c r="G15" s="19">
        <v>1920</v>
      </c>
    </row>
  </sheetData>
  <pageMargins left="0.511811024" right="0.511811024" top="0.78740157499999996" bottom="0.78740157499999996" header="0.31496062000000002" footer="0.31496062000000002"/>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ED389-632E-4557-BE44-AA153D566B5E}">
  <sheetPr>
    <tabColor theme="7" tint="0.59999389629810485"/>
  </sheetPr>
  <dimension ref="A1:F11"/>
  <sheetViews>
    <sheetView workbookViewId="0"/>
  </sheetViews>
  <sheetFormatPr defaultRowHeight="14.5"/>
  <cols>
    <col min="1" max="1" width="69.453125" bestFit="1" customWidth="1"/>
    <col min="2" max="2" width="45.26953125" customWidth="1"/>
    <col min="3" max="3" width="52" customWidth="1"/>
    <col min="4" max="4" width="151.81640625" bestFit="1" customWidth="1"/>
    <col min="5" max="5" width="45.26953125" customWidth="1"/>
    <col min="6" max="6" width="48.54296875" bestFit="1" customWidth="1"/>
  </cols>
  <sheetData>
    <row r="1" spans="1:6">
      <c r="A1" s="15" t="s">
        <v>20</v>
      </c>
      <c r="B1" s="16" t="s">
        <v>21</v>
      </c>
      <c r="C1" s="16" t="s">
        <v>22</v>
      </c>
      <c r="D1" s="16" t="s">
        <v>23</v>
      </c>
      <c r="E1" s="27" t="s">
        <v>24</v>
      </c>
    </row>
    <row r="2" spans="1:6" ht="43.5">
      <c r="A2" s="18" t="s">
        <v>26</v>
      </c>
      <c r="B2" s="24" t="s">
        <v>51</v>
      </c>
      <c r="C2" s="45" t="s">
        <v>52</v>
      </c>
      <c r="D2" s="7" t="s">
        <v>53</v>
      </c>
      <c r="E2" s="46" t="s">
        <v>54</v>
      </c>
      <c r="F2" s="46"/>
    </row>
    <row r="3" spans="1:6" ht="43.5">
      <c r="A3" s="18" t="s">
        <v>44</v>
      </c>
      <c r="B3" s="24" t="s">
        <v>51</v>
      </c>
      <c r="C3" s="45" t="s">
        <v>55</v>
      </c>
      <c r="D3" s="7" t="s">
        <v>53</v>
      </c>
      <c r="E3" s="46" t="s">
        <v>13</v>
      </c>
      <c r="F3" s="46"/>
    </row>
    <row r="4" spans="1:6" ht="43.5">
      <c r="A4" s="18" t="s">
        <v>26</v>
      </c>
      <c r="B4" s="24" t="s">
        <v>51</v>
      </c>
      <c r="C4" s="45" t="s">
        <v>56</v>
      </c>
      <c r="D4" s="7" t="s">
        <v>53</v>
      </c>
      <c r="E4" s="33" t="s">
        <v>57</v>
      </c>
      <c r="F4" s="33"/>
    </row>
    <row r="5" spans="1:6" ht="43.5">
      <c r="A5" s="18" t="s">
        <v>44</v>
      </c>
      <c r="B5" s="24" t="s">
        <v>51</v>
      </c>
      <c r="C5" s="45" t="s">
        <v>58</v>
      </c>
      <c r="D5" s="7" t="s">
        <v>53</v>
      </c>
      <c r="E5" s="33" t="s">
        <v>59</v>
      </c>
      <c r="F5" s="33"/>
    </row>
    <row r="6" spans="1:6" ht="43.5">
      <c r="A6" s="18" t="s">
        <v>26</v>
      </c>
      <c r="B6" s="24" t="s">
        <v>51</v>
      </c>
      <c r="C6" s="45" t="s">
        <v>60</v>
      </c>
      <c r="D6" s="7" t="s">
        <v>53</v>
      </c>
      <c r="E6" s="46" t="s">
        <v>61</v>
      </c>
      <c r="F6" s="46"/>
    </row>
    <row r="7" spans="1:6">
      <c r="A7" s="18" t="s">
        <v>26</v>
      </c>
      <c r="B7" s="11" t="s">
        <v>62</v>
      </c>
      <c r="C7" s="45" t="s">
        <v>63</v>
      </c>
      <c r="D7" s="7" t="s">
        <v>64</v>
      </c>
      <c r="E7" s="46" t="s">
        <v>65</v>
      </c>
      <c r="F7" s="46"/>
    </row>
    <row r="8" spans="1:6">
      <c r="A8" s="18" t="s">
        <v>44</v>
      </c>
      <c r="B8" s="11" t="s">
        <v>62</v>
      </c>
      <c r="C8" s="45" t="s">
        <v>66</v>
      </c>
      <c r="D8" s="7" t="s">
        <v>64</v>
      </c>
      <c r="E8" s="46" t="s">
        <v>13</v>
      </c>
      <c r="F8" s="46"/>
    </row>
    <row r="9" spans="1:6">
      <c r="A9" s="18" t="s">
        <v>26</v>
      </c>
      <c r="B9" s="11" t="s">
        <v>62</v>
      </c>
      <c r="C9" s="45" t="s">
        <v>67</v>
      </c>
      <c r="D9" s="7" t="s">
        <v>64</v>
      </c>
      <c r="E9" s="33" t="s">
        <v>57</v>
      </c>
      <c r="F9" s="33"/>
    </row>
    <row r="10" spans="1:6">
      <c r="A10" s="18" t="s">
        <v>44</v>
      </c>
      <c r="B10" s="11" t="s">
        <v>62</v>
      </c>
      <c r="C10" s="45" t="s">
        <v>68</v>
      </c>
      <c r="D10" s="7" t="s">
        <v>64</v>
      </c>
      <c r="E10" s="33" t="s">
        <v>59</v>
      </c>
      <c r="F10" s="33"/>
    </row>
    <row r="11" spans="1:6" ht="15" thickBot="1">
      <c r="A11" s="20" t="s">
        <v>26</v>
      </c>
      <c r="B11" s="29" t="s">
        <v>62</v>
      </c>
      <c r="C11" s="45" t="s">
        <v>69</v>
      </c>
      <c r="D11" s="22" t="s">
        <v>64</v>
      </c>
      <c r="E11" s="47" t="s">
        <v>12</v>
      </c>
      <c r="F11" s="47"/>
    </row>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7A1FE-9E5C-478A-91C7-98AA538BBEF8}">
  <sheetPr>
    <tabColor theme="7" tint="0.39997558519241921"/>
  </sheetPr>
  <dimension ref="A1:G8"/>
  <sheetViews>
    <sheetView workbookViewId="0"/>
  </sheetViews>
  <sheetFormatPr defaultRowHeight="14.5"/>
  <cols>
    <col min="1" max="1" width="81.81640625" bestFit="1" customWidth="1"/>
    <col min="2" max="2" width="51.54296875" bestFit="1" customWidth="1"/>
    <col min="3" max="3" width="205.54296875" bestFit="1" customWidth="1"/>
    <col min="4" max="4" width="198.81640625" bestFit="1" customWidth="1"/>
    <col min="5" max="5" width="62.81640625" bestFit="1" customWidth="1"/>
    <col min="6" max="6" width="61.54296875" bestFit="1" customWidth="1"/>
    <col min="7" max="7" width="17.453125" bestFit="1" customWidth="1"/>
  </cols>
  <sheetData>
    <row r="1" spans="1:7" ht="29.5" thickBot="1">
      <c r="A1" s="34" t="s">
        <v>20</v>
      </c>
      <c r="B1" s="35" t="s">
        <v>70</v>
      </c>
      <c r="C1" s="35" t="s">
        <v>71</v>
      </c>
      <c r="D1" s="35" t="s">
        <v>72</v>
      </c>
      <c r="E1" s="16" t="s">
        <v>23</v>
      </c>
      <c r="F1" s="34" t="s">
        <v>24</v>
      </c>
      <c r="G1" s="35" t="s">
        <v>25</v>
      </c>
    </row>
    <row r="2" spans="1:7" ht="29">
      <c r="A2" s="42" t="s">
        <v>73</v>
      </c>
      <c r="B2" s="24" t="s">
        <v>74</v>
      </c>
      <c r="C2" s="43" t="s">
        <v>75</v>
      </c>
      <c r="D2" s="7" t="s">
        <v>76</v>
      </c>
      <c r="E2" s="44" t="s">
        <v>77</v>
      </c>
      <c r="F2" s="32" t="s">
        <v>78</v>
      </c>
      <c r="G2" s="18">
        <v>1920</v>
      </c>
    </row>
    <row r="3" spans="1:7" ht="29">
      <c r="A3" s="42" t="s">
        <v>73</v>
      </c>
      <c r="B3" s="24" t="s">
        <v>79</v>
      </c>
      <c r="C3" s="43" t="s">
        <v>80</v>
      </c>
      <c r="D3" s="44" t="s">
        <v>81</v>
      </c>
      <c r="E3" s="44" t="s">
        <v>77</v>
      </c>
      <c r="F3" s="33" t="s">
        <v>78</v>
      </c>
      <c r="G3" s="18">
        <v>960</v>
      </c>
    </row>
    <row r="4" spans="1:7" ht="29">
      <c r="A4" s="42" t="s">
        <v>73</v>
      </c>
      <c r="B4" s="24" t="s">
        <v>82</v>
      </c>
      <c r="C4" s="43" t="s">
        <v>83</v>
      </c>
      <c r="D4" s="44" t="s">
        <v>84</v>
      </c>
      <c r="E4" s="44" t="s">
        <v>77</v>
      </c>
      <c r="F4" s="33" t="s">
        <v>85</v>
      </c>
      <c r="G4" s="18">
        <v>960</v>
      </c>
    </row>
    <row r="5" spans="1:7" ht="29">
      <c r="A5" s="42" t="s">
        <v>73</v>
      </c>
      <c r="B5" s="24" t="s">
        <v>74</v>
      </c>
      <c r="C5" s="43" t="s">
        <v>75</v>
      </c>
      <c r="D5" s="44" t="s">
        <v>86</v>
      </c>
      <c r="E5" s="44" t="s">
        <v>77</v>
      </c>
      <c r="F5" s="33" t="s">
        <v>87</v>
      </c>
      <c r="G5" s="18">
        <v>1920</v>
      </c>
    </row>
    <row r="6" spans="1:7" ht="29">
      <c r="A6" s="42" t="s">
        <v>73</v>
      </c>
      <c r="B6" s="24" t="s">
        <v>79</v>
      </c>
      <c r="C6" s="43" t="s">
        <v>80</v>
      </c>
      <c r="D6" s="7" t="s">
        <v>81</v>
      </c>
      <c r="E6" s="44" t="s">
        <v>77</v>
      </c>
      <c r="F6" s="33" t="s">
        <v>88</v>
      </c>
      <c r="G6" s="18">
        <v>960</v>
      </c>
    </row>
    <row r="7" spans="1:7" ht="29">
      <c r="A7" s="42" t="s">
        <v>73</v>
      </c>
      <c r="B7" s="11" t="s">
        <v>74</v>
      </c>
      <c r="C7" s="43" t="s">
        <v>75</v>
      </c>
      <c r="D7" s="44" t="s">
        <v>86</v>
      </c>
      <c r="E7" s="44" t="s">
        <v>77</v>
      </c>
      <c r="F7" s="28" t="s">
        <v>15</v>
      </c>
      <c r="G7" s="18">
        <v>1920</v>
      </c>
    </row>
    <row r="8" spans="1:7" ht="29">
      <c r="A8" s="42" t="s">
        <v>73</v>
      </c>
      <c r="B8" s="11" t="s">
        <v>79</v>
      </c>
      <c r="C8" s="43" t="s">
        <v>80</v>
      </c>
      <c r="D8" s="7" t="s">
        <v>89</v>
      </c>
      <c r="E8" s="44" t="s">
        <v>77</v>
      </c>
      <c r="F8" s="28" t="s">
        <v>15</v>
      </c>
      <c r="G8" s="18">
        <v>960</v>
      </c>
    </row>
  </sheetData>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DDAB3-1617-48C9-A2D7-DCBCB43F32B7}">
  <sheetPr>
    <tabColor theme="7" tint="-0.249977111117893"/>
  </sheetPr>
  <dimension ref="A1:G21"/>
  <sheetViews>
    <sheetView workbookViewId="0"/>
  </sheetViews>
  <sheetFormatPr defaultRowHeight="14.5"/>
  <cols>
    <col min="1" max="1" width="69.453125" bestFit="1" customWidth="1"/>
    <col min="2" max="2" width="47.453125" customWidth="1"/>
    <col min="3" max="3" width="31.81640625" customWidth="1"/>
    <col min="4" max="4" width="56.54296875" customWidth="1"/>
    <col min="5" max="5" width="115.7265625" customWidth="1"/>
    <col min="6" max="6" width="41.1796875" customWidth="1"/>
  </cols>
  <sheetData>
    <row r="1" spans="1:7" ht="58.5" thickBot="1">
      <c r="A1" s="34" t="s">
        <v>20</v>
      </c>
      <c r="B1" s="35" t="s">
        <v>70</v>
      </c>
      <c r="C1" s="35" t="s">
        <v>71</v>
      </c>
      <c r="D1" s="35" t="s">
        <v>72</v>
      </c>
      <c r="E1" s="38" t="s">
        <v>23</v>
      </c>
      <c r="F1" s="34" t="s">
        <v>24</v>
      </c>
      <c r="G1" s="35" t="s">
        <v>25</v>
      </c>
    </row>
    <row r="2" spans="1:7" ht="124.5" customHeight="1" thickBot="1">
      <c r="A2" s="57" t="s">
        <v>26</v>
      </c>
      <c r="B2" s="58" t="s">
        <v>90</v>
      </c>
      <c r="C2" s="59" t="s">
        <v>91</v>
      </c>
      <c r="D2" s="60" t="s">
        <v>92</v>
      </c>
      <c r="E2" s="61" t="s">
        <v>93</v>
      </c>
      <c r="F2" s="62" t="s">
        <v>78</v>
      </c>
      <c r="G2" s="63">
        <v>1920</v>
      </c>
    </row>
    <row r="3" spans="1:7" ht="124.5" customHeight="1" thickBot="1">
      <c r="A3" s="57" t="s">
        <v>26</v>
      </c>
      <c r="B3" s="58" t="s">
        <v>90</v>
      </c>
      <c r="C3" s="59" t="s">
        <v>91</v>
      </c>
      <c r="D3" s="60" t="s">
        <v>92</v>
      </c>
      <c r="E3" s="61" t="s">
        <v>93</v>
      </c>
      <c r="F3" s="62" t="s">
        <v>78</v>
      </c>
      <c r="G3" s="63">
        <v>1920</v>
      </c>
    </row>
    <row r="4" spans="1:7" ht="124.5" customHeight="1" thickBot="1">
      <c r="A4" s="57" t="s">
        <v>26</v>
      </c>
      <c r="B4" s="58" t="s">
        <v>90</v>
      </c>
      <c r="C4" s="59" t="s">
        <v>91</v>
      </c>
      <c r="D4" s="60" t="s">
        <v>92</v>
      </c>
      <c r="E4" s="61" t="s">
        <v>93</v>
      </c>
      <c r="F4" s="62" t="s">
        <v>78</v>
      </c>
      <c r="G4" s="63">
        <v>1920</v>
      </c>
    </row>
    <row r="5" spans="1:7" ht="124.5" customHeight="1" thickBot="1">
      <c r="A5" s="57" t="s">
        <v>26</v>
      </c>
      <c r="B5" s="58" t="s">
        <v>90</v>
      </c>
      <c r="C5" s="59" t="s">
        <v>91</v>
      </c>
      <c r="D5" s="60" t="s">
        <v>92</v>
      </c>
      <c r="E5" s="61" t="s">
        <v>93</v>
      </c>
      <c r="F5" s="62" t="s">
        <v>78</v>
      </c>
      <c r="G5" s="63">
        <v>1920</v>
      </c>
    </row>
    <row r="6" spans="1:7" ht="124.5" customHeight="1" thickBot="1">
      <c r="A6" s="57" t="s">
        <v>26</v>
      </c>
      <c r="B6" s="58" t="s">
        <v>90</v>
      </c>
      <c r="C6" s="59" t="s">
        <v>91</v>
      </c>
      <c r="D6" s="60" t="s">
        <v>92</v>
      </c>
      <c r="E6" s="61" t="s">
        <v>93</v>
      </c>
      <c r="F6" s="62" t="s">
        <v>78</v>
      </c>
      <c r="G6" s="63">
        <v>1920</v>
      </c>
    </row>
    <row r="7" spans="1:7" ht="124.5" customHeight="1" thickBot="1">
      <c r="A7" s="57" t="s">
        <v>26</v>
      </c>
      <c r="B7" s="58" t="s">
        <v>90</v>
      </c>
      <c r="C7" s="59" t="s">
        <v>91</v>
      </c>
      <c r="D7" s="60" t="s">
        <v>92</v>
      </c>
      <c r="E7" s="61" t="s">
        <v>93</v>
      </c>
      <c r="F7" s="62" t="s">
        <v>78</v>
      </c>
      <c r="G7" s="63">
        <v>1920</v>
      </c>
    </row>
    <row r="8" spans="1:7" ht="124.5" customHeight="1" thickBot="1">
      <c r="A8" s="57" t="s">
        <v>26</v>
      </c>
      <c r="B8" s="58" t="s">
        <v>90</v>
      </c>
      <c r="C8" s="59" t="s">
        <v>91</v>
      </c>
      <c r="D8" s="60" t="s">
        <v>92</v>
      </c>
      <c r="E8" s="61" t="s">
        <v>93</v>
      </c>
      <c r="F8" s="62" t="s">
        <v>78</v>
      </c>
      <c r="G8" s="63">
        <v>1920</v>
      </c>
    </row>
    <row r="9" spans="1:7" ht="127" customHeight="1" thickBot="1">
      <c r="A9" s="64" t="s">
        <v>26</v>
      </c>
      <c r="B9" s="65" t="s">
        <v>94</v>
      </c>
      <c r="C9" s="66" t="s">
        <v>91</v>
      </c>
      <c r="D9" s="67" t="s">
        <v>95</v>
      </c>
      <c r="E9" s="68" t="s">
        <v>93</v>
      </c>
      <c r="F9" s="69" t="s">
        <v>78</v>
      </c>
      <c r="G9" s="70">
        <v>1920</v>
      </c>
    </row>
    <row r="10" spans="1:7" ht="127" customHeight="1" thickBot="1">
      <c r="A10" s="64" t="s">
        <v>26</v>
      </c>
      <c r="B10" s="65" t="s">
        <v>94</v>
      </c>
      <c r="C10" s="66" t="s">
        <v>91</v>
      </c>
      <c r="D10" s="67" t="s">
        <v>95</v>
      </c>
      <c r="E10" s="68" t="s">
        <v>93</v>
      </c>
      <c r="F10" s="69" t="s">
        <v>78</v>
      </c>
      <c r="G10" s="70">
        <v>1920</v>
      </c>
    </row>
    <row r="11" spans="1:7" ht="127" customHeight="1" thickBot="1">
      <c r="A11" s="64" t="s">
        <v>26</v>
      </c>
      <c r="B11" s="65" t="s">
        <v>94</v>
      </c>
      <c r="C11" s="66" t="s">
        <v>91</v>
      </c>
      <c r="D11" s="67" t="s">
        <v>95</v>
      </c>
      <c r="E11" s="68" t="s">
        <v>93</v>
      </c>
      <c r="F11" s="69" t="s">
        <v>78</v>
      </c>
      <c r="G11" s="70">
        <v>1920</v>
      </c>
    </row>
    <row r="12" spans="1:7" ht="127" customHeight="1" thickBot="1">
      <c r="A12" s="64" t="s">
        <v>26</v>
      </c>
      <c r="B12" s="65" t="s">
        <v>94</v>
      </c>
      <c r="C12" s="66" t="s">
        <v>91</v>
      </c>
      <c r="D12" s="67" t="s">
        <v>95</v>
      </c>
      <c r="E12" s="68" t="s">
        <v>93</v>
      </c>
      <c r="F12" s="69" t="s">
        <v>78</v>
      </c>
      <c r="G12" s="70">
        <v>1920</v>
      </c>
    </row>
    <row r="13" spans="1:7" ht="127" customHeight="1" thickBot="1">
      <c r="A13" s="64" t="s">
        <v>26</v>
      </c>
      <c r="B13" s="65" t="s">
        <v>94</v>
      </c>
      <c r="C13" s="66" t="s">
        <v>91</v>
      </c>
      <c r="D13" s="67" t="s">
        <v>95</v>
      </c>
      <c r="E13" s="68" t="s">
        <v>93</v>
      </c>
      <c r="F13" s="69" t="s">
        <v>78</v>
      </c>
      <c r="G13" s="70">
        <v>1920</v>
      </c>
    </row>
    <row r="14" spans="1:7" ht="127" customHeight="1" thickBot="1">
      <c r="A14" s="64" t="s">
        <v>26</v>
      </c>
      <c r="B14" s="65" t="s">
        <v>94</v>
      </c>
      <c r="C14" s="66" t="s">
        <v>91</v>
      </c>
      <c r="D14" s="67" t="s">
        <v>95</v>
      </c>
      <c r="E14" s="68" t="s">
        <v>93</v>
      </c>
      <c r="F14" s="69" t="s">
        <v>78</v>
      </c>
      <c r="G14" s="70">
        <v>1920</v>
      </c>
    </row>
    <row r="15" spans="1:7" ht="127" customHeight="1" thickBot="1">
      <c r="A15" s="64" t="s">
        <v>26</v>
      </c>
      <c r="B15" s="65" t="s">
        <v>94</v>
      </c>
      <c r="C15" s="66" t="s">
        <v>91</v>
      </c>
      <c r="D15" s="67" t="s">
        <v>95</v>
      </c>
      <c r="E15" s="68" t="s">
        <v>93</v>
      </c>
      <c r="F15" s="69" t="s">
        <v>78</v>
      </c>
      <c r="G15" s="70">
        <v>1920</v>
      </c>
    </row>
    <row r="16" spans="1:7" ht="127" customHeight="1" thickBot="1">
      <c r="A16" s="71" t="s">
        <v>44</v>
      </c>
      <c r="B16" s="72" t="s">
        <v>90</v>
      </c>
      <c r="C16" s="73" t="s">
        <v>91</v>
      </c>
      <c r="D16" s="74" t="s">
        <v>96</v>
      </c>
      <c r="E16" s="75" t="s">
        <v>93</v>
      </c>
      <c r="F16" s="76" t="s">
        <v>15</v>
      </c>
      <c r="G16" s="77">
        <v>960</v>
      </c>
    </row>
    <row r="17" spans="1:7" ht="117" customHeight="1" thickBot="1">
      <c r="A17" s="71" t="s">
        <v>44</v>
      </c>
      <c r="B17" s="72" t="s">
        <v>90</v>
      </c>
      <c r="C17" s="73" t="s">
        <v>91</v>
      </c>
      <c r="D17" s="74" t="s">
        <v>96</v>
      </c>
      <c r="E17" s="75" t="s">
        <v>93</v>
      </c>
      <c r="F17" s="76" t="s">
        <v>15</v>
      </c>
      <c r="G17" s="77">
        <v>960</v>
      </c>
    </row>
    <row r="18" spans="1:7">
      <c r="E18" s="36"/>
    </row>
    <row r="19" spans="1:7">
      <c r="E19" s="36"/>
    </row>
    <row r="20" spans="1:7">
      <c r="E20" s="36"/>
    </row>
    <row r="21" spans="1:7">
      <c r="E21" s="36"/>
    </row>
  </sheetData>
  <phoneticPr fontId="13" type="noConversion"/>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4B58D-C7BC-468E-B066-E7F9B2DAC476}">
  <sheetPr>
    <tabColor theme="7" tint="-0.499984740745262"/>
  </sheetPr>
  <dimension ref="A1:F8"/>
  <sheetViews>
    <sheetView workbookViewId="0"/>
  </sheetViews>
  <sheetFormatPr defaultRowHeight="14.5"/>
  <cols>
    <col min="1" max="1" width="69.453125" bestFit="1" customWidth="1"/>
    <col min="2" max="2" width="52.1796875" bestFit="1" customWidth="1"/>
    <col min="3" max="3" width="62.453125" bestFit="1" customWidth="1"/>
    <col min="4" max="4" width="126.453125" bestFit="1" customWidth="1"/>
    <col min="5" max="5" width="45.1796875" bestFit="1" customWidth="1"/>
    <col min="6" max="6" width="20.26953125" bestFit="1" customWidth="1"/>
  </cols>
  <sheetData>
    <row r="1" spans="1:6" ht="29">
      <c r="A1" s="15" t="s">
        <v>20</v>
      </c>
      <c r="B1" s="16" t="s">
        <v>21</v>
      </c>
      <c r="C1" s="16" t="s">
        <v>22</v>
      </c>
      <c r="D1" s="16" t="s">
        <v>23</v>
      </c>
      <c r="E1" s="16" t="s">
        <v>24</v>
      </c>
      <c r="F1" s="17" t="s">
        <v>25</v>
      </c>
    </row>
    <row r="2" spans="1:6" ht="72.5">
      <c r="A2" s="18" t="s">
        <v>26</v>
      </c>
      <c r="B2" s="11" t="s">
        <v>97</v>
      </c>
      <c r="C2" s="7" t="s">
        <v>76</v>
      </c>
      <c r="D2" s="25" t="s">
        <v>98</v>
      </c>
      <c r="E2" s="11" t="s">
        <v>57</v>
      </c>
      <c r="F2" s="19">
        <v>1920</v>
      </c>
    </row>
    <row r="3" spans="1:6" ht="72.5">
      <c r="A3" s="18" t="s">
        <v>26</v>
      </c>
      <c r="B3" s="11" t="s">
        <v>99</v>
      </c>
      <c r="C3" s="7" t="s">
        <v>76</v>
      </c>
      <c r="D3" s="25" t="s">
        <v>98</v>
      </c>
      <c r="E3" s="11" t="s">
        <v>100</v>
      </c>
      <c r="F3" s="19">
        <v>1920</v>
      </c>
    </row>
    <row r="4" spans="1:6" ht="72.5">
      <c r="A4" s="18" t="s">
        <v>26</v>
      </c>
      <c r="B4" s="11" t="s">
        <v>101</v>
      </c>
      <c r="C4" s="7" t="s">
        <v>76</v>
      </c>
      <c r="D4" s="25" t="s">
        <v>98</v>
      </c>
      <c r="E4" s="31" t="s">
        <v>78</v>
      </c>
      <c r="F4" s="19">
        <v>1920</v>
      </c>
    </row>
    <row r="5" spans="1:6" ht="72.5">
      <c r="A5" s="18" t="s">
        <v>26</v>
      </c>
      <c r="B5" s="11" t="s">
        <v>101</v>
      </c>
      <c r="C5" s="7" t="s">
        <v>76</v>
      </c>
      <c r="D5" s="25" t="s">
        <v>98</v>
      </c>
      <c r="E5" s="31" t="s">
        <v>78</v>
      </c>
      <c r="F5" s="19">
        <v>1920</v>
      </c>
    </row>
    <row r="6" spans="1:6" ht="72.5">
      <c r="A6" s="18" t="s">
        <v>26</v>
      </c>
      <c r="B6" s="11" t="s">
        <v>101</v>
      </c>
      <c r="C6" s="7" t="s">
        <v>76</v>
      </c>
      <c r="D6" s="25" t="s">
        <v>98</v>
      </c>
      <c r="E6" s="31" t="s">
        <v>78</v>
      </c>
      <c r="F6" s="19">
        <v>1920</v>
      </c>
    </row>
    <row r="7" spans="1:6" ht="72.5">
      <c r="A7" s="18" t="s">
        <v>44</v>
      </c>
      <c r="B7" s="14" t="s">
        <v>102</v>
      </c>
      <c r="C7" s="7" t="s">
        <v>45</v>
      </c>
      <c r="D7" s="25" t="s">
        <v>103</v>
      </c>
      <c r="E7" s="14" t="s">
        <v>15</v>
      </c>
      <c r="F7" s="19">
        <v>1920</v>
      </c>
    </row>
    <row r="8" spans="1:6" ht="73" thickBot="1">
      <c r="A8" s="20" t="s">
        <v>44</v>
      </c>
      <c r="B8" s="37" t="s">
        <v>102</v>
      </c>
      <c r="C8" s="39" t="s">
        <v>47</v>
      </c>
      <c r="D8" s="30" t="s">
        <v>46</v>
      </c>
      <c r="E8" s="21" t="s">
        <v>15</v>
      </c>
      <c r="F8" s="23">
        <v>1920</v>
      </c>
    </row>
  </sheetData>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7E28-6791-4BC9-B74F-8019C263B912}">
  <sheetPr>
    <tabColor theme="9" tint="-0.499984740745262"/>
  </sheetPr>
  <dimension ref="A1:U62"/>
  <sheetViews>
    <sheetView showGridLines="0" tabSelected="1" zoomScale="60" zoomScaleNormal="60" workbookViewId="0">
      <selection activeCell="A5" sqref="A2:XFD5"/>
    </sheetView>
  </sheetViews>
  <sheetFormatPr defaultColWidth="8.7265625" defaultRowHeight="13"/>
  <cols>
    <col min="1" max="1" width="1.7265625" style="278" customWidth="1"/>
    <col min="2" max="2" width="66.54296875" style="278" bestFit="1" customWidth="1"/>
    <col min="3" max="3" width="60.81640625" style="278" bestFit="1" customWidth="1"/>
    <col min="4" max="4" width="71.81640625" style="278" customWidth="1"/>
    <col min="5" max="5" width="27.453125" style="278" bestFit="1" customWidth="1"/>
    <col min="6" max="6" width="25.1796875" style="278" customWidth="1"/>
    <col min="7" max="7" width="22.1796875" style="278" bestFit="1" customWidth="1"/>
    <col min="8" max="8" width="78.54296875" style="278" bestFit="1" customWidth="1"/>
    <col min="9" max="9" width="15.54296875" style="278" bestFit="1" customWidth="1"/>
    <col min="10" max="10" width="16.1796875" style="278" bestFit="1" customWidth="1"/>
    <col min="11" max="11" width="21" style="278" bestFit="1" customWidth="1"/>
    <col min="12" max="12" width="67.453125" style="278" bestFit="1" customWidth="1"/>
    <col min="13" max="13" width="67.453125" style="278" customWidth="1"/>
    <col min="14" max="14" width="21.54296875" style="278" bestFit="1" customWidth="1"/>
    <col min="15" max="15" width="13.1796875" style="278" bestFit="1" customWidth="1"/>
    <col min="16" max="16" width="28.54296875" style="297" bestFit="1" customWidth="1"/>
    <col min="17" max="17" width="28.453125" style="278" customWidth="1"/>
    <col min="18" max="18" width="13.1796875" style="277" bestFit="1" customWidth="1"/>
    <col min="19" max="19" width="13.54296875" style="277" bestFit="1" customWidth="1"/>
    <col min="20" max="21" width="8.7265625" style="277"/>
    <col min="22" max="16384" width="8.7265625" style="278"/>
  </cols>
  <sheetData>
    <row r="1" spans="2:18" ht="5.15" customHeight="1"/>
    <row r="2" spans="2:18" ht="23.5" hidden="1">
      <c r="B2" s="381"/>
      <c r="C2" s="382"/>
      <c r="D2" s="382"/>
      <c r="E2" s="382"/>
      <c r="F2" s="382"/>
      <c r="G2" s="382"/>
      <c r="H2" s="382"/>
      <c r="I2" s="382"/>
      <c r="J2" s="382"/>
      <c r="K2" s="382"/>
      <c r="L2" s="382"/>
      <c r="M2" s="382"/>
      <c r="N2" s="382"/>
      <c r="O2" s="382"/>
      <c r="P2" s="382"/>
      <c r="Q2" s="383"/>
    </row>
    <row r="3" spans="2:18" ht="26.15" hidden="1" customHeight="1">
      <c r="B3" s="353"/>
      <c r="C3" s="353"/>
      <c r="D3" s="353"/>
      <c r="E3" s="353"/>
      <c r="F3" s="353"/>
      <c r="G3" s="353"/>
      <c r="H3" s="348"/>
      <c r="I3" s="353"/>
      <c r="J3" s="353"/>
      <c r="K3" s="354"/>
      <c r="L3" s="354"/>
      <c r="M3" s="354"/>
      <c r="N3" s="354"/>
      <c r="O3" s="354"/>
      <c r="P3" s="355"/>
      <c r="Q3" s="354"/>
    </row>
    <row r="4" spans="2:18" ht="226.5" hidden="1" customHeight="1">
      <c r="B4" s="325"/>
      <c r="C4" s="326"/>
      <c r="D4" s="326"/>
      <c r="E4" s="325"/>
      <c r="F4" s="325"/>
      <c r="G4" s="325"/>
      <c r="H4" s="326"/>
      <c r="I4" s="325"/>
      <c r="J4" s="325"/>
      <c r="K4" s="279"/>
      <c r="L4" s="375"/>
      <c r="M4" s="315"/>
      <c r="N4" s="280"/>
      <c r="O4" s="279"/>
      <c r="P4" s="281"/>
      <c r="Q4" s="281"/>
    </row>
    <row r="5" spans="2:18" ht="25" hidden="1" customHeight="1">
      <c r="B5" s="317"/>
      <c r="C5" s="319"/>
      <c r="D5" s="318"/>
      <c r="E5" s="319"/>
      <c r="F5" s="319"/>
      <c r="G5" s="319"/>
      <c r="H5" s="319"/>
      <c r="I5" s="319"/>
      <c r="J5" s="319"/>
      <c r="K5" s="283"/>
      <c r="L5" s="425"/>
      <c r="M5" s="425"/>
      <c r="N5" s="425"/>
      <c r="O5" s="425"/>
      <c r="P5" s="425"/>
      <c r="Q5" s="284">
        <f>Q4</f>
        <v>0</v>
      </c>
      <c r="R5" s="308"/>
    </row>
    <row r="6" spans="2:18" s="277" customFormat="1" ht="10" customHeight="1">
      <c r="B6" s="320"/>
      <c r="C6" s="320"/>
      <c r="D6" s="278"/>
      <c r="E6" s="320"/>
      <c r="F6" s="320"/>
      <c r="G6" s="320"/>
      <c r="H6" s="320"/>
      <c r="I6" s="320"/>
      <c r="J6" s="320"/>
      <c r="K6" s="285"/>
      <c r="L6" s="286"/>
      <c r="M6" s="286"/>
      <c r="N6" s="286"/>
      <c r="O6" s="286"/>
      <c r="P6" s="287"/>
      <c r="Q6" s="287"/>
    </row>
    <row r="7" spans="2:18" ht="30" customHeight="1">
      <c r="B7" s="421" t="s">
        <v>120</v>
      </c>
      <c r="C7" s="422"/>
      <c r="D7" s="422"/>
      <c r="E7" s="422"/>
      <c r="F7" s="422"/>
      <c r="G7" s="422"/>
      <c r="H7" s="422"/>
      <c r="I7" s="422"/>
      <c r="J7" s="422"/>
      <c r="K7" s="422"/>
      <c r="L7" s="422"/>
      <c r="M7" s="422"/>
      <c r="N7" s="422"/>
      <c r="O7" s="422"/>
      <c r="P7" s="422"/>
      <c r="Q7" s="423"/>
    </row>
    <row r="8" spans="2:18" ht="26">
      <c r="B8" s="348" t="s">
        <v>21</v>
      </c>
      <c r="C8" s="348" t="s">
        <v>20</v>
      </c>
      <c r="D8" s="348" t="s">
        <v>104</v>
      </c>
      <c r="E8" s="348" t="s">
        <v>105</v>
      </c>
      <c r="F8" s="348" t="s">
        <v>106</v>
      </c>
      <c r="G8" s="348" t="s">
        <v>107</v>
      </c>
      <c r="H8" s="348" t="s">
        <v>108</v>
      </c>
      <c r="I8" s="348" t="s">
        <v>109</v>
      </c>
      <c r="J8" s="348" t="s">
        <v>110</v>
      </c>
      <c r="K8" s="349" t="s">
        <v>111</v>
      </c>
      <c r="L8" s="350" t="s">
        <v>24</v>
      </c>
      <c r="M8" s="352" t="s">
        <v>112</v>
      </c>
      <c r="N8" s="349" t="s">
        <v>113</v>
      </c>
      <c r="O8" s="349" t="s">
        <v>114</v>
      </c>
      <c r="P8" s="351" t="s">
        <v>115</v>
      </c>
      <c r="Q8" s="349" t="s">
        <v>116</v>
      </c>
    </row>
    <row r="9" spans="2:18" ht="52" customHeight="1">
      <c r="B9" s="389" t="s">
        <v>121</v>
      </c>
      <c r="C9" s="386" t="s">
        <v>711</v>
      </c>
      <c r="D9" s="386" t="s">
        <v>712</v>
      </c>
      <c r="E9" s="379" t="s">
        <v>122</v>
      </c>
      <c r="F9" s="379" t="s">
        <v>122</v>
      </c>
      <c r="G9" s="379" t="s">
        <v>122</v>
      </c>
      <c r="H9" s="386" t="s">
        <v>717</v>
      </c>
      <c r="I9" s="379" t="s">
        <v>124</v>
      </c>
      <c r="J9" s="379" t="s">
        <v>118</v>
      </c>
      <c r="K9" s="299" t="str">
        <f>LEFT(L9,5)</f>
        <v>P8061</v>
      </c>
      <c r="L9" s="288" t="s">
        <v>125</v>
      </c>
      <c r="M9" s="288" t="s">
        <v>126</v>
      </c>
      <c r="N9" s="290">
        <v>1</v>
      </c>
      <c r="O9" s="290">
        <v>24</v>
      </c>
      <c r="P9" s="291">
        <f>_xlfn.XLOOKUP(K9,TPU!A:A,TPU!D:D,,0)</f>
        <v>46576.570979999997</v>
      </c>
      <c r="Q9" s="292">
        <f>N9*O9*P9</f>
        <v>1117837.70352</v>
      </c>
    </row>
    <row r="10" spans="2:18" ht="26">
      <c r="B10" s="384"/>
      <c r="C10" s="387"/>
      <c r="D10" s="387"/>
      <c r="E10" s="380"/>
      <c r="F10" s="380"/>
      <c r="G10" s="380"/>
      <c r="H10" s="387"/>
      <c r="I10" s="390"/>
      <c r="J10" s="390"/>
      <c r="K10" s="299" t="str">
        <f t="shared" ref="K10:K20" si="0">LEFT(L10,5)</f>
        <v>P8060</v>
      </c>
      <c r="L10" s="288" t="s">
        <v>128</v>
      </c>
      <c r="M10" s="289" t="s">
        <v>129</v>
      </c>
      <c r="N10" s="290">
        <v>1</v>
      </c>
      <c r="O10" s="293">
        <v>24</v>
      </c>
      <c r="P10" s="294">
        <f>_xlfn.XLOOKUP(K10,TPU!A:A,TPU!D:D,,0)</f>
        <v>55594.954860000005</v>
      </c>
      <c r="Q10" s="292">
        <f t="shared" ref="Q10:Q20" si="1">N10*O10*P10</f>
        <v>1334278.9166400002</v>
      </c>
    </row>
    <row r="11" spans="2:18" ht="26">
      <c r="B11" s="384"/>
      <c r="C11" s="387"/>
      <c r="D11" s="387"/>
      <c r="E11" s="379" t="s">
        <v>127</v>
      </c>
      <c r="F11" s="379" t="s">
        <v>127</v>
      </c>
      <c r="G11" s="379" t="s">
        <v>127</v>
      </c>
      <c r="H11" s="387"/>
      <c r="I11" s="390"/>
      <c r="J11" s="390"/>
      <c r="K11" s="299" t="str">
        <f t="shared" si="0"/>
        <v>P8067</v>
      </c>
      <c r="L11" s="288" t="s">
        <v>131</v>
      </c>
      <c r="M11" s="289" t="s">
        <v>132</v>
      </c>
      <c r="N11" s="290">
        <v>1</v>
      </c>
      <c r="O11" s="293">
        <v>24</v>
      </c>
      <c r="P11" s="294">
        <f>_xlfn.XLOOKUP(K11,TPU!A:A,TPU!D:D,,0)</f>
        <v>40624.083059999997</v>
      </c>
      <c r="Q11" s="292">
        <f t="shared" si="1"/>
        <v>974977.99343999987</v>
      </c>
    </row>
    <row r="12" spans="2:18" ht="26">
      <c r="B12" s="384"/>
      <c r="C12" s="387"/>
      <c r="D12" s="387"/>
      <c r="E12" s="380"/>
      <c r="F12" s="380"/>
      <c r="G12" s="380"/>
      <c r="H12" s="387"/>
      <c r="I12" s="390"/>
      <c r="J12" s="390"/>
      <c r="K12" s="299" t="str">
        <f t="shared" si="0"/>
        <v>P8065</v>
      </c>
      <c r="L12" s="288" t="s">
        <v>133</v>
      </c>
      <c r="M12" s="289" t="s">
        <v>134</v>
      </c>
      <c r="N12" s="290">
        <v>1</v>
      </c>
      <c r="O12" s="293">
        <v>24</v>
      </c>
      <c r="P12" s="294">
        <f>_xlfn.XLOOKUP(K12,TPU!A:A,TPU!D:D,,0)</f>
        <v>30611.704319999997</v>
      </c>
      <c r="Q12" s="292">
        <f t="shared" si="1"/>
        <v>734680.90367999999</v>
      </c>
    </row>
    <row r="13" spans="2:18" ht="26">
      <c r="B13" s="384"/>
      <c r="C13" s="387"/>
      <c r="D13" s="387"/>
      <c r="E13" s="379" t="s">
        <v>130</v>
      </c>
      <c r="F13" s="379" t="s">
        <v>130</v>
      </c>
      <c r="G13" s="379" t="s">
        <v>130</v>
      </c>
      <c r="H13" s="387"/>
      <c r="I13" s="390"/>
      <c r="J13" s="390"/>
      <c r="K13" s="299" t="str">
        <f t="shared" si="0"/>
        <v>P8009</v>
      </c>
      <c r="L13" s="288" t="s">
        <v>135</v>
      </c>
      <c r="M13" s="289" t="s">
        <v>136</v>
      </c>
      <c r="N13" s="290">
        <v>1</v>
      </c>
      <c r="O13" s="293">
        <v>24</v>
      </c>
      <c r="P13" s="294">
        <f>_xlfn.XLOOKUP(K13,TPU!A:A,TPU!D:D,,0)</f>
        <v>25699.020540000001</v>
      </c>
      <c r="Q13" s="292">
        <f t="shared" si="1"/>
        <v>616776.49296000006</v>
      </c>
    </row>
    <row r="14" spans="2:18" ht="26">
      <c r="B14" s="384"/>
      <c r="C14" s="387"/>
      <c r="D14" s="387"/>
      <c r="E14" s="380"/>
      <c r="F14" s="380"/>
      <c r="G14" s="380"/>
      <c r="H14" s="387"/>
      <c r="I14" s="390"/>
      <c r="J14" s="390"/>
      <c r="K14" s="299" t="str">
        <f t="shared" si="0"/>
        <v>P8008</v>
      </c>
      <c r="L14" s="288" t="s">
        <v>137</v>
      </c>
      <c r="M14" s="289" t="s">
        <v>138</v>
      </c>
      <c r="N14" s="290">
        <v>1</v>
      </c>
      <c r="O14" s="293">
        <v>24</v>
      </c>
      <c r="P14" s="294">
        <f>_xlfn.XLOOKUP(K14,TPU!A:A,TPU!D:D,,0)</f>
        <v>15093.73842</v>
      </c>
      <c r="Q14" s="292">
        <f t="shared" si="1"/>
        <v>362249.72207999998</v>
      </c>
    </row>
    <row r="15" spans="2:18" ht="75.5" customHeight="1">
      <c r="B15" s="384"/>
      <c r="C15" s="387"/>
      <c r="D15" s="387"/>
      <c r="E15" s="379" t="s">
        <v>713</v>
      </c>
      <c r="F15" s="379" t="s">
        <v>713</v>
      </c>
      <c r="G15" s="379" t="s">
        <v>713</v>
      </c>
      <c r="H15" s="387"/>
      <c r="I15" s="390"/>
      <c r="J15" s="390"/>
      <c r="K15" s="299" t="str">
        <f t="shared" si="0"/>
        <v>P8046</v>
      </c>
      <c r="L15" s="288" t="s">
        <v>139</v>
      </c>
      <c r="M15" s="289" t="s">
        <v>140</v>
      </c>
      <c r="N15" s="290">
        <v>1</v>
      </c>
      <c r="O15" s="293">
        <v>24</v>
      </c>
      <c r="P15" s="294">
        <f>_xlfn.XLOOKUP(K15,TPU!A:A,TPU!D:D,,0)</f>
        <v>17799.912960000001</v>
      </c>
      <c r="Q15" s="292">
        <f t="shared" si="1"/>
        <v>427197.91104000004</v>
      </c>
    </row>
    <row r="16" spans="2:18" ht="196.5" customHeight="1">
      <c r="B16" s="384"/>
      <c r="C16" s="387"/>
      <c r="D16" s="387"/>
      <c r="E16" s="380"/>
      <c r="F16" s="380"/>
      <c r="G16" s="380"/>
      <c r="H16" s="387"/>
      <c r="I16" s="390"/>
      <c r="J16" s="390"/>
      <c r="K16" s="299" t="str">
        <f t="shared" si="0"/>
        <v>P8185</v>
      </c>
      <c r="L16" s="288" t="s">
        <v>141</v>
      </c>
      <c r="M16" s="289" t="s">
        <v>142</v>
      </c>
      <c r="N16" s="290">
        <v>1</v>
      </c>
      <c r="O16" s="293">
        <v>24</v>
      </c>
      <c r="P16" s="294">
        <f>_xlfn.XLOOKUP(K16,TPU!A:A,TPU!D:D,,0)</f>
        <v>25049.607480000002</v>
      </c>
      <c r="Q16" s="292">
        <f t="shared" si="1"/>
        <v>601190.57952000003</v>
      </c>
    </row>
    <row r="17" spans="2:19" ht="76.5" customHeight="1">
      <c r="B17" s="379" t="s">
        <v>729</v>
      </c>
      <c r="C17" s="386" t="s">
        <v>730</v>
      </c>
      <c r="D17" s="386" t="s">
        <v>718</v>
      </c>
      <c r="E17" s="316" t="s">
        <v>719</v>
      </c>
      <c r="F17" s="316" t="s">
        <v>720</v>
      </c>
      <c r="G17" s="316" t="s">
        <v>721</v>
      </c>
      <c r="H17" s="386" t="s">
        <v>731</v>
      </c>
      <c r="I17" s="379" t="s">
        <v>124</v>
      </c>
      <c r="J17" s="379" t="s">
        <v>118</v>
      </c>
      <c r="K17" s="299" t="str">
        <f t="shared" si="0"/>
        <v>P8015</v>
      </c>
      <c r="L17" s="288" t="s">
        <v>145</v>
      </c>
      <c r="M17" s="289" t="s">
        <v>146</v>
      </c>
      <c r="N17" s="295">
        <v>1</v>
      </c>
      <c r="O17" s="293">
        <v>24</v>
      </c>
      <c r="P17" s="294">
        <f>_xlfn.XLOOKUP(K17,TPU!A:A,TPU!D:D,,0)</f>
        <v>38462.125079999998</v>
      </c>
      <c r="Q17" s="292">
        <f t="shared" si="1"/>
        <v>923091.00191999995</v>
      </c>
    </row>
    <row r="18" spans="2:19" ht="74.5" customHeight="1">
      <c r="B18" s="384"/>
      <c r="C18" s="387"/>
      <c r="D18" s="387"/>
      <c r="E18" s="316" t="s">
        <v>722</v>
      </c>
      <c r="F18" s="316" t="s">
        <v>722</v>
      </c>
      <c r="G18" s="316" t="s">
        <v>723</v>
      </c>
      <c r="H18" s="387"/>
      <c r="I18" s="390"/>
      <c r="J18" s="390"/>
      <c r="K18" s="299" t="str">
        <f t="shared" si="0"/>
        <v>P8175</v>
      </c>
      <c r="L18" s="288" t="s">
        <v>147</v>
      </c>
      <c r="M18" s="289" t="s">
        <v>148</v>
      </c>
      <c r="N18" s="295">
        <v>1</v>
      </c>
      <c r="O18" s="293">
        <v>24</v>
      </c>
      <c r="P18" s="294">
        <f>_xlfn.XLOOKUP(K18,TPU!A:A,TPU!D:D,,0)</f>
        <v>21039.777180000001</v>
      </c>
      <c r="Q18" s="292">
        <f t="shared" si="1"/>
        <v>504954.65231999999</v>
      </c>
    </row>
    <row r="19" spans="2:19" ht="144" customHeight="1">
      <c r="B19" s="384"/>
      <c r="C19" s="387"/>
      <c r="D19" s="387"/>
      <c r="E19" s="316" t="s">
        <v>724</v>
      </c>
      <c r="F19" s="316" t="s">
        <v>725</v>
      </c>
      <c r="G19" s="316" t="s">
        <v>726</v>
      </c>
      <c r="H19" s="387"/>
      <c r="I19" s="390"/>
      <c r="J19" s="390"/>
      <c r="K19" s="299" t="str">
        <f t="shared" si="0"/>
        <v>P8184</v>
      </c>
      <c r="L19" s="288" t="s">
        <v>149</v>
      </c>
      <c r="M19" s="289" t="s">
        <v>150</v>
      </c>
      <c r="N19" s="295">
        <v>1</v>
      </c>
      <c r="O19" s="293">
        <v>24</v>
      </c>
      <c r="P19" s="294">
        <f>_xlfn.XLOOKUP(K19,TPU!A:A,TPU!D:D,,0)</f>
        <v>13751.850420000001</v>
      </c>
      <c r="Q19" s="292">
        <f t="shared" si="1"/>
        <v>330044.41008</v>
      </c>
    </row>
    <row r="20" spans="2:19" ht="106" customHeight="1">
      <c r="B20" s="385"/>
      <c r="C20" s="388"/>
      <c r="D20" s="388"/>
      <c r="E20" s="316" t="s">
        <v>727</v>
      </c>
      <c r="F20" s="316" t="s">
        <v>727</v>
      </c>
      <c r="G20" s="316" t="s">
        <v>728</v>
      </c>
      <c r="H20" s="388"/>
      <c r="I20" s="380"/>
      <c r="J20" s="380"/>
      <c r="K20" s="299" t="str">
        <f t="shared" si="0"/>
        <v>P8059</v>
      </c>
      <c r="L20" s="288" t="s">
        <v>151</v>
      </c>
      <c r="M20" s="289" t="s">
        <v>152</v>
      </c>
      <c r="N20" s="295">
        <v>1</v>
      </c>
      <c r="O20" s="293">
        <v>24</v>
      </c>
      <c r="P20" s="294">
        <f>_xlfn.XLOOKUP(K20,TPU!A:A,TPU!D:D,,0)</f>
        <v>38279.263919999998</v>
      </c>
      <c r="Q20" s="292">
        <f t="shared" si="1"/>
        <v>918702.33407999994</v>
      </c>
    </row>
    <row r="21" spans="2:19" ht="30" customHeight="1">
      <c r="B21" s="317"/>
      <c r="C21" s="319"/>
      <c r="D21" s="318"/>
      <c r="E21" s="319"/>
      <c r="F21" s="319"/>
      <c r="G21" s="319"/>
      <c r="H21" s="319"/>
      <c r="I21" s="319"/>
      <c r="J21" s="319"/>
      <c r="K21" s="283"/>
      <c r="L21" s="425" t="s">
        <v>153</v>
      </c>
      <c r="M21" s="425"/>
      <c r="N21" s="425"/>
      <c r="O21" s="425"/>
      <c r="P21" s="425"/>
      <c r="Q21" s="284">
        <f>SUM(Q9:Q20)</f>
        <v>8845982.6212799996</v>
      </c>
      <c r="R21" s="309"/>
      <c r="S21" s="308"/>
    </row>
    <row r="22" spans="2:19" s="277" customFormat="1" ht="10" customHeight="1">
      <c r="B22" s="320"/>
      <c r="C22" s="320"/>
      <c r="D22" s="278"/>
      <c r="E22" s="320"/>
      <c r="F22" s="320"/>
      <c r="G22" s="320"/>
      <c r="H22" s="320"/>
      <c r="I22" s="320"/>
      <c r="J22" s="320"/>
      <c r="K22" s="285"/>
      <c r="L22" s="286"/>
      <c r="M22" s="286"/>
      <c r="N22" s="286"/>
      <c r="O22" s="286"/>
      <c r="P22" s="287"/>
      <c r="Q22" s="287"/>
    </row>
    <row r="23" spans="2:19" ht="30" customHeight="1">
      <c r="B23" s="421" t="s">
        <v>154</v>
      </c>
      <c r="C23" s="422"/>
      <c r="D23" s="422"/>
      <c r="E23" s="422"/>
      <c r="F23" s="422"/>
      <c r="G23" s="422"/>
      <c r="H23" s="422"/>
      <c r="I23" s="422"/>
      <c r="J23" s="422"/>
      <c r="K23" s="422"/>
      <c r="L23" s="422"/>
      <c r="M23" s="422"/>
      <c r="N23" s="422"/>
      <c r="O23" s="422"/>
      <c r="P23" s="422"/>
      <c r="Q23" s="423"/>
      <c r="R23" s="310"/>
      <c r="S23" s="310"/>
    </row>
    <row r="24" spans="2:19" ht="26">
      <c r="B24" s="348" t="s">
        <v>21</v>
      </c>
      <c r="C24" s="348" t="s">
        <v>20</v>
      </c>
      <c r="D24" s="348" t="s">
        <v>104</v>
      </c>
      <c r="E24" s="348" t="s">
        <v>105</v>
      </c>
      <c r="F24" s="348" t="s">
        <v>106</v>
      </c>
      <c r="G24" s="348" t="s">
        <v>107</v>
      </c>
      <c r="H24" s="348" t="s">
        <v>108</v>
      </c>
      <c r="I24" s="348" t="s">
        <v>109</v>
      </c>
      <c r="J24" s="348" t="s">
        <v>110</v>
      </c>
      <c r="K24" s="349" t="s">
        <v>111</v>
      </c>
      <c r="L24" s="350" t="s">
        <v>155</v>
      </c>
      <c r="M24" s="350" t="s">
        <v>112</v>
      </c>
      <c r="N24" s="349" t="s">
        <v>113</v>
      </c>
      <c r="O24" s="349" t="s">
        <v>114</v>
      </c>
      <c r="P24" s="351" t="s">
        <v>115</v>
      </c>
      <c r="Q24" s="349" t="s">
        <v>116</v>
      </c>
      <c r="R24" s="310"/>
      <c r="S24" s="310"/>
    </row>
    <row r="25" spans="2:19" ht="78">
      <c r="B25" s="379" t="s">
        <v>156</v>
      </c>
      <c r="C25" s="418" t="s">
        <v>157</v>
      </c>
      <c r="D25" s="418" t="s">
        <v>158</v>
      </c>
      <c r="E25" s="418" t="s">
        <v>159</v>
      </c>
      <c r="F25" s="418" t="s">
        <v>159</v>
      </c>
      <c r="G25" s="418" t="s">
        <v>160</v>
      </c>
      <c r="H25" s="420" t="s">
        <v>714</v>
      </c>
      <c r="I25" s="395" t="s">
        <v>117</v>
      </c>
      <c r="J25" s="395" t="s">
        <v>118</v>
      </c>
      <c r="K25" s="295" t="s">
        <v>161</v>
      </c>
      <c r="L25" s="288" t="s">
        <v>162</v>
      </c>
      <c r="M25" s="341" t="s">
        <v>163</v>
      </c>
      <c r="N25" s="290">
        <v>2</v>
      </c>
      <c r="O25" s="295">
        <v>24</v>
      </c>
      <c r="P25" s="296">
        <f>_xlfn.XLOOKUP(K25,TPU!A:A,TPU!D:D,,0)</f>
        <v>29276.858339999999</v>
      </c>
      <c r="Q25" s="296">
        <f>N25*O25*P25</f>
        <v>1405289.2003199998</v>
      </c>
      <c r="R25" s="310"/>
      <c r="S25" s="310"/>
    </row>
    <row r="26" spans="2:19" ht="38.5" customHeight="1">
      <c r="B26" s="390"/>
      <c r="C26" s="418"/>
      <c r="D26" s="418"/>
      <c r="E26" s="418"/>
      <c r="F26" s="418"/>
      <c r="G26" s="418"/>
      <c r="H26" s="420"/>
      <c r="I26" s="395"/>
      <c r="J26" s="395"/>
      <c r="K26" s="295" t="s">
        <v>164</v>
      </c>
      <c r="L26" s="288" t="s">
        <v>165</v>
      </c>
      <c r="M26" s="341" t="s">
        <v>166</v>
      </c>
      <c r="N26" s="290">
        <v>1</v>
      </c>
      <c r="O26" s="295">
        <v>24</v>
      </c>
      <c r="P26" s="296">
        <f>_xlfn.XLOOKUP(K26,TPU!A:A,TPU!D:D,,0)</f>
        <v>28428.388920000001</v>
      </c>
      <c r="Q26" s="296">
        <f t="shared" ref="Q26:Q34" si="2">N26*O26*P26</f>
        <v>682281.33408000006</v>
      </c>
      <c r="R26" s="310"/>
      <c r="S26" s="310"/>
    </row>
    <row r="27" spans="2:19" ht="38.15" customHeight="1">
      <c r="B27" s="390"/>
      <c r="C27" s="418"/>
      <c r="D27" s="418"/>
      <c r="E27" s="418"/>
      <c r="F27" s="418"/>
      <c r="G27" s="418"/>
      <c r="H27" s="420"/>
      <c r="I27" s="395"/>
      <c r="J27" s="395"/>
      <c r="K27" s="295" t="s">
        <v>167</v>
      </c>
      <c r="L27" s="288" t="s">
        <v>168</v>
      </c>
      <c r="M27" s="341" t="s">
        <v>169</v>
      </c>
      <c r="N27" s="290">
        <v>1</v>
      </c>
      <c r="O27" s="295">
        <v>24</v>
      </c>
      <c r="P27" s="296">
        <f>_xlfn.XLOOKUP(K27,TPU!A:A,TPU!D:D,,0)</f>
        <v>40624.083059999997</v>
      </c>
      <c r="Q27" s="296">
        <f t="shared" si="2"/>
        <v>974977.99343999987</v>
      </c>
      <c r="R27" s="310"/>
      <c r="S27" s="310"/>
    </row>
    <row r="28" spans="2:19" ht="29.15" customHeight="1">
      <c r="B28" s="380"/>
      <c r="C28" s="418"/>
      <c r="D28" s="418"/>
      <c r="E28" s="418"/>
      <c r="F28" s="418"/>
      <c r="G28" s="418"/>
      <c r="H28" s="420"/>
      <c r="I28" s="395"/>
      <c r="J28" s="395"/>
      <c r="K28" s="295" t="s">
        <v>170</v>
      </c>
      <c r="L28" s="288" t="s">
        <v>171</v>
      </c>
      <c r="M28" s="314" t="s">
        <v>172</v>
      </c>
      <c r="N28" s="290">
        <v>1</v>
      </c>
      <c r="O28" s="295">
        <v>24</v>
      </c>
      <c r="P28" s="296">
        <f>_xlfn.XLOOKUP(K28,TPU!A:A,TPU!D:D,,0)</f>
        <v>25699.020540000001</v>
      </c>
      <c r="Q28" s="296">
        <f t="shared" si="2"/>
        <v>616776.49296000006</v>
      </c>
      <c r="R28" s="310"/>
      <c r="S28" s="310"/>
    </row>
    <row r="29" spans="2:19" ht="31" customHeight="1">
      <c r="B29" s="395" t="s">
        <v>173</v>
      </c>
      <c r="C29" s="418" t="s">
        <v>174</v>
      </c>
      <c r="D29" s="418" t="s">
        <v>175</v>
      </c>
      <c r="E29" s="418" t="s">
        <v>176</v>
      </c>
      <c r="F29" s="418" t="s">
        <v>176</v>
      </c>
      <c r="G29" s="418" t="s">
        <v>177</v>
      </c>
      <c r="H29" s="420" t="s">
        <v>715</v>
      </c>
      <c r="I29" s="395" t="s">
        <v>117</v>
      </c>
      <c r="J29" s="395" t="s">
        <v>118</v>
      </c>
      <c r="K29" s="295" t="s">
        <v>167</v>
      </c>
      <c r="L29" s="288" t="s">
        <v>178</v>
      </c>
      <c r="M29" s="314" t="s">
        <v>179</v>
      </c>
      <c r="N29" s="290">
        <v>1</v>
      </c>
      <c r="O29" s="295">
        <v>24</v>
      </c>
      <c r="P29" s="296">
        <f>_xlfn.XLOOKUP(K29,TPU!A:A,TPU!D:D,,0)</f>
        <v>40624.083059999997</v>
      </c>
      <c r="Q29" s="296">
        <f t="shared" si="2"/>
        <v>974977.99343999987</v>
      </c>
      <c r="R29" s="310"/>
      <c r="S29" s="310"/>
    </row>
    <row r="30" spans="2:19" ht="34.5" customHeight="1">
      <c r="B30" s="395"/>
      <c r="C30" s="418"/>
      <c r="D30" s="418"/>
      <c r="E30" s="418"/>
      <c r="F30" s="418"/>
      <c r="G30" s="418"/>
      <c r="H30" s="420"/>
      <c r="I30" s="395"/>
      <c r="J30" s="395"/>
      <c r="K30" s="295" t="s">
        <v>167</v>
      </c>
      <c r="L30" s="288" t="s">
        <v>180</v>
      </c>
      <c r="M30" s="342" t="s">
        <v>181</v>
      </c>
      <c r="N30" s="290">
        <v>1</v>
      </c>
      <c r="O30" s="295">
        <v>24</v>
      </c>
      <c r="P30" s="296">
        <f>_xlfn.XLOOKUP(K30,TPU!A:A,TPU!D:D,,0)</f>
        <v>40624.083059999997</v>
      </c>
      <c r="Q30" s="296">
        <f t="shared" si="2"/>
        <v>974977.99343999987</v>
      </c>
      <c r="R30" s="310"/>
      <c r="S30" s="310"/>
    </row>
    <row r="31" spans="2:19" ht="35.5" customHeight="1">
      <c r="B31" s="395"/>
      <c r="C31" s="418"/>
      <c r="D31" s="418"/>
      <c r="E31" s="418"/>
      <c r="F31" s="418"/>
      <c r="G31" s="418"/>
      <c r="H31" s="420"/>
      <c r="I31" s="395"/>
      <c r="J31" s="395"/>
      <c r="K31" s="295" t="s">
        <v>182</v>
      </c>
      <c r="L31" s="288" t="s">
        <v>183</v>
      </c>
      <c r="M31" s="314" t="s">
        <v>184</v>
      </c>
      <c r="N31" s="290">
        <v>1</v>
      </c>
      <c r="O31" s="295">
        <v>24</v>
      </c>
      <c r="P31" s="296">
        <f>_xlfn.XLOOKUP(K31,TPU!A:A,TPU!D:D,,0)</f>
        <v>25049.607480000002</v>
      </c>
      <c r="Q31" s="296">
        <f t="shared" si="2"/>
        <v>601190.57952000003</v>
      </c>
      <c r="R31" s="310"/>
      <c r="S31" s="310"/>
    </row>
    <row r="32" spans="2:19" ht="40" customHeight="1">
      <c r="B32" s="395" t="s">
        <v>185</v>
      </c>
      <c r="C32" s="418" t="s">
        <v>186</v>
      </c>
      <c r="D32" s="418" t="s">
        <v>187</v>
      </c>
      <c r="E32" s="418" t="s">
        <v>188</v>
      </c>
      <c r="F32" s="418" t="s">
        <v>188</v>
      </c>
      <c r="G32" s="418" t="s">
        <v>189</v>
      </c>
      <c r="H32" s="420" t="s">
        <v>716</v>
      </c>
      <c r="I32" s="395" t="s">
        <v>117</v>
      </c>
      <c r="J32" s="395" t="s">
        <v>118</v>
      </c>
      <c r="K32" s="295" t="s">
        <v>167</v>
      </c>
      <c r="L32" s="376" t="s">
        <v>190</v>
      </c>
      <c r="M32" s="342" t="s">
        <v>191</v>
      </c>
      <c r="N32" s="290">
        <v>1</v>
      </c>
      <c r="O32" s="295">
        <v>24</v>
      </c>
      <c r="P32" s="296">
        <f>_xlfn.XLOOKUP(K32,TPU!A:A,TPU!D:D,,0)</f>
        <v>40624.083059999997</v>
      </c>
      <c r="Q32" s="296">
        <f t="shared" si="2"/>
        <v>974977.99343999987</v>
      </c>
      <c r="R32" s="310"/>
      <c r="S32" s="310"/>
    </row>
    <row r="33" spans="1:21" ht="54.65" customHeight="1">
      <c r="B33" s="395"/>
      <c r="C33" s="418"/>
      <c r="D33" s="418"/>
      <c r="E33" s="418"/>
      <c r="F33" s="418"/>
      <c r="G33" s="418"/>
      <c r="H33" s="420"/>
      <c r="I33" s="395"/>
      <c r="J33" s="395"/>
      <c r="K33" s="295" t="s">
        <v>167</v>
      </c>
      <c r="L33" s="288" t="s">
        <v>192</v>
      </c>
      <c r="M33" s="342" t="s">
        <v>193</v>
      </c>
      <c r="N33" s="290">
        <v>1</v>
      </c>
      <c r="O33" s="295">
        <v>24</v>
      </c>
      <c r="P33" s="296">
        <f>_xlfn.XLOOKUP(K33,TPU!A:A,TPU!D:D,,0)</f>
        <v>40624.083059999997</v>
      </c>
      <c r="Q33" s="296">
        <f t="shared" si="2"/>
        <v>974977.99343999987</v>
      </c>
      <c r="R33" s="310"/>
      <c r="S33" s="310"/>
    </row>
    <row r="34" spans="1:21" ht="56.5" customHeight="1">
      <c r="B34" s="395"/>
      <c r="C34" s="418"/>
      <c r="D34" s="418"/>
      <c r="E34" s="418"/>
      <c r="F34" s="418"/>
      <c r="G34" s="418"/>
      <c r="H34" s="420"/>
      <c r="I34" s="395"/>
      <c r="J34" s="395"/>
      <c r="K34" s="295" t="s">
        <v>167</v>
      </c>
      <c r="L34" s="288" t="s">
        <v>194</v>
      </c>
      <c r="M34" s="342" t="s">
        <v>195</v>
      </c>
      <c r="N34" s="290">
        <v>1</v>
      </c>
      <c r="O34" s="295">
        <v>24</v>
      </c>
      <c r="P34" s="296">
        <f>_xlfn.XLOOKUP(K34,TPU!A:A,TPU!D:D,,0)</f>
        <v>40624.083059999997</v>
      </c>
      <c r="Q34" s="296">
        <f t="shared" si="2"/>
        <v>974977.99343999987</v>
      </c>
      <c r="R34" s="310"/>
      <c r="S34" s="310"/>
    </row>
    <row r="35" spans="1:21" ht="25" customHeight="1">
      <c r="B35" s="317"/>
      <c r="C35" s="319"/>
      <c r="D35" s="318"/>
      <c r="E35" s="319"/>
      <c r="F35" s="319"/>
      <c r="G35" s="319"/>
      <c r="H35" s="319"/>
      <c r="I35" s="319"/>
      <c r="J35" s="319"/>
      <c r="K35" s="282"/>
      <c r="L35" s="419" t="s">
        <v>196</v>
      </c>
      <c r="M35" s="419"/>
      <c r="N35" s="419"/>
      <c r="O35" s="419"/>
      <c r="P35" s="419"/>
      <c r="Q35" s="307">
        <f>SUM(Q25:Q34)</f>
        <v>9155405.56752</v>
      </c>
      <c r="R35" s="311"/>
      <c r="S35" s="310"/>
    </row>
    <row r="36" spans="1:21" ht="10" customHeight="1"/>
    <row r="37" spans="1:21" ht="30" customHeight="1">
      <c r="B37" s="415" t="s">
        <v>197</v>
      </c>
      <c r="C37" s="416"/>
      <c r="D37" s="416"/>
      <c r="E37" s="416"/>
      <c r="F37" s="416"/>
      <c r="G37" s="416"/>
      <c r="H37" s="416"/>
      <c r="I37" s="416"/>
      <c r="J37" s="416"/>
      <c r="K37" s="416"/>
      <c r="L37" s="416"/>
      <c r="M37" s="416"/>
      <c r="N37" s="416"/>
      <c r="O37" s="416"/>
      <c r="P37" s="416"/>
      <c r="Q37" s="417"/>
      <c r="R37" s="310"/>
      <c r="S37" s="310"/>
    </row>
    <row r="38" spans="1:21" s="298" customFormat="1" ht="26">
      <c r="B38" s="327" t="s">
        <v>21</v>
      </c>
      <c r="C38" s="327" t="s">
        <v>20</v>
      </c>
      <c r="D38" s="327" t="s">
        <v>104</v>
      </c>
      <c r="E38" s="394" t="s">
        <v>108</v>
      </c>
      <c r="F38" s="394"/>
      <c r="G38" s="394"/>
      <c r="H38" s="394"/>
      <c r="I38" s="327" t="s">
        <v>109</v>
      </c>
      <c r="J38" s="327" t="s">
        <v>110</v>
      </c>
      <c r="K38" s="396" t="s">
        <v>24</v>
      </c>
      <c r="L38" s="397"/>
      <c r="M38" s="398"/>
      <c r="N38" s="402" t="s">
        <v>113</v>
      </c>
      <c r="O38" s="403"/>
      <c r="P38" s="335" t="s">
        <v>198</v>
      </c>
      <c r="Q38" s="336" t="s">
        <v>116</v>
      </c>
      <c r="R38" s="312"/>
      <c r="S38" s="312"/>
      <c r="T38" s="286"/>
      <c r="U38" s="286"/>
    </row>
    <row r="39" spans="1:21" ht="40" customHeight="1">
      <c r="B39" s="322" t="s">
        <v>199</v>
      </c>
      <c r="C39" s="314" t="s">
        <v>200</v>
      </c>
      <c r="D39" s="321" t="s">
        <v>201</v>
      </c>
      <c r="E39" s="395" t="s">
        <v>202</v>
      </c>
      <c r="F39" s="395"/>
      <c r="G39" s="395"/>
      <c r="H39" s="395"/>
      <c r="I39" s="322" t="s">
        <v>117</v>
      </c>
      <c r="J39" s="322" t="s">
        <v>203</v>
      </c>
      <c r="K39" s="399" t="s">
        <v>204</v>
      </c>
      <c r="L39" s="400"/>
      <c r="M39" s="401"/>
      <c r="N39" s="399">
        <v>176</v>
      </c>
      <c r="O39" s="401"/>
      <c r="P39" s="328">
        <f>TPU!D128</f>
        <v>381</v>
      </c>
      <c r="Q39" s="335">
        <f>N39*P39</f>
        <v>67056</v>
      </c>
    </row>
    <row r="40" spans="1:21" ht="40" customHeight="1">
      <c r="B40" s="322" t="s">
        <v>199</v>
      </c>
      <c r="C40" s="314" t="s">
        <v>205</v>
      </c>
      <c r="D40" s="321" t="s">
        <v>201</v>
      </c>
      <c r="E40" s="395" t="s">
        <v>206</v>
      </c>
      <c r="F40" s="395"/>
      <c r="G40" s="395"/>
      <c r="H40" s="395"/>
      <c r="I40" s="322" t="s">
        <v>117</v>
      </c>
      <c r="J40" s="322" t="s">
        <v>207</v>
      </c>
      <c r="K40" s="399" t="s">
        <v>204</v>
      </c>
      <c r="L40" s="400"/>
      <c r="M40" s="401"/>
      <c r="N40" s="399">
        <v>176</v>
      </c>
      <c r="O40" s="401"/>
      <c r="P40" s="328">
        <v>1662.91</v>
      </c>
      <c r="Q40" s="335">
        <f>N40*P40</f>
        <v>292672.16000000003</v>
      </c>
    </row>
    <row r="41" spans="1:21" ht="30" customHeight="1">
      <c r="B41" s="317"/>
      <c r="C41" s="319"/>
      <c r="D41" s="318"/>
      <c r="E41" s="319"/>
      <c r="F41" s="319"/>
      <c r="G41" s="319"/>
      <c r="H41" s="319"/>
      <c r="I41" s="319"/>
      <c r="J41" s="319"/>
      <c r="K41" s="319"/>
      <c r="L41" s="424" t="s">
        <v>208</v>
      </c>
      <c r="M41" s="424"/>
      <c r="N41" s="424"/>
      <c r="O41" s="424"/>
      <c r="P41" s="424"/>
      <c r="Q41" s="329">
        <f>SUM(Q39:Q40)</f>
        <v>359728.16000000003</v>
      </c>
      <c r="R41" s="313"/>
    </row>
    <row r="42" spans="1:21" ht="10" customHeight="1">
      <c r="P42" s="330"/>
    </row>
    <row r="43" spans="1:21" s="277" customFormat="1" ht="30" customHeight="1">
      <c r="B43" s="391" t="s">
        <v>209</v>
      </c>
      <c r="C43" s="392"/>
      <c r="D43" s="392"/>
      <c r="E43" s="392"/>
      <c r="F43" s="392"/>
      <c r="G43" s="392"/>
      <c r="H43" s="392"/>
      <c r="I43" s="392"/>
      <c r="J43" s="392"/>
      <c r="K43" s="392"/>
      <c r="L43" s="392"/>
      <c r="M43" s="392"/>
      <c r="N43" s="392"/>
      <c r="O43" s="392"/>
      <c r="P43" s="392"/>
      <c r="Q43" s="393"/>
    </row>
    <row r="44" spans="1:21" s="298" customFormat="1" ht="26">
      <c r="A44" s="278"/>
      <c r="B44" s="327" t="s">
        <v>21</v>
      </c>
      <c r="C44" s="327" t="s">
        <v>20</v>
      </c>
      <c r="D44" s="396" t="s">
        <v>108</v>
      </c>
      <c r="E44" s="397"/>
      <c r="F44" s="397"/>
      <c r="G44" s="397"/>
      <c r="H44" s="397"/>
      <c r="I44" s="397"/>
      <c r="J44" s="398"/>
      <c r="K44" s="336" t="s">
        <v>210</v>
      </c>
      <c r="L44" s="396" t="s">
        <v>211</v>
      </c>
      <c r="M44" s="398"/>
      <c r="N44" s="337" t="s">
        <v>113</v>
      </c>
      <c r="O44" s="336" t="s">
        <v>114</v>
      </c>
      <c r="P44" s="335" t="s">
        <v>212</v>
      </c>
      <c r="Q44" s="336" t="s">
        <v>116</v>
      </c>
      <c r="R44" s="312"/>
      <c r="S44" s="312"/>
      <c r="T44" s="286"/>
      <c r="U44" s="286"/>
    </row>
    <row r="45" spans="1:21">
      <c r="B45" s="379" t="s">
        <v>199</v>
      </c>
      <c r="C45" s="321" t="s">
        <v>213</v>
      </c>
      <c r="D45" s="406" t="s">
        <v>214</v>
      </c>
      <c r="E45" s="407"/>
      <c r="F45" s="407"/>
      <c r="G45" s="407"/>
      <c r="H45" s="407"/>
      <c r="I45" s="407"/>
      <c r="J45" s="408"/>
      <c r="K45" s="338" t="s">
        <v>215</v>
      </c>
      <c r="L45" s="404" t="str">
        <f>_xlfn.XLOOKUP(K45,TPU!A:A,TPU!B:B,,0)</f>
        <v>LICENÇA AUTODESK COLECTION (3 ANOS / USUÁRIO)</v>
      </c>
      <c r="M45" s="405"/>
      <c r="N45" s="331">
        <f>SUMIF(supea1!$H$58:$H$64,K45,supea1!$K$58:$K$64)</f>
        <v>7</v>
      </c>
      <c r="O45" s="323">
        <v>24</v>
      </c>
      <c r="P45" s="328">
        <f>_xlfn.XLOOKUP(K45,TPU!A:A,TPU!D:D,,0)</f>
        <v>923.69805555555547</v>
      </c>
      <c r="Q45" s="335">
        <f>P45*O45*N45</f>
        <v>155181.27333333332</v>
      </c>
    </row>
    <row r="46" spans="1:21">
      <c r="B46" s="390"/>
      <c r="C46" s="321" t="s">
        <v>216</v>
      </c>
      <c r="D46" s="409"/>
      <c r="E46" s="410"/>
      <c r="F46" s="410"/>
      <c r="G46" s="410"/>
      <c r="H46" s="410"/>
      <c r="I46" s="410"/>
      <c r="J46" s="411"/>
      <c r="K46" s="338" t="s">
        <v>217</v>
      </c>
      <c r="L46" s="404" t="str">
        <f>_xlfn.XLOOKUP(K46,TPU!A:A,TPU!B:B,,0)</f>
        <v>LICENÇA SOFTWARE PTV VISUM (VITALÍCIA)</v>
      </c>
      <c r="M46" s="405"/>
      <c r="N46" s="331">
        <f>SUMIF(supea1!$H$58:$H$64,K46,supea1!$K$58:$K$64)</f>
        <v>1</v>
      </c>
      <c r="O46" s="323">
        <v>24</v>
      </c>
      <c r="P46" s="328">
        <f>_xlfn.XLOOKUP(K46,TPU!A:A,TPU!D:D,,0)</f>
        <v>6481.9444444444443</v>
      </c>
      <c r="Q46" s="335">
        <f t="shared" ref="Q46:Q48" si="3">P46*O46*N46</f>
        <v>155566.66666666666</v>
      </c>
    </row>
    <row r="47" spans="1:21">
      <c r="B47" s="390"/>
      <c r="C47" s="321" t="s">
        <v>218</v>
      </c>
      <c r="D47" s="409"/>
      <c r="E47" s="410"/>
      <c r="F47" s="410"/>
      <c r="G47" s="410"/>
      <c r="H47" s="410"/>
      <c r="I47" s="410"/>
      <c r="J47" s="411"/>
      <c r="K47" s="338" t="s">
        <v>219</v>
      </c>
      <c r="L47" s="404" t="str">
        <f>_xlfn.XLOOKUP(K47,TPU!A:A,TPU!B:B,,0)</f>
        <v>LICENÇA MICROSOFT POWERBI</v>
      </c>
      <c r="M47" s="405"/>
      <c r="N47" s="331">
        <f>SUMIF(supea1!$H$58:$H$64,K47,supea1!$K$58:$K$64)</f>
        <v>1</v>
      </c>
      <c r="O47" s="323">
        <v>24</v>
      </c>
      <c r="P47" s="328">
        <f>_xlfn.XLOOKUP(K47,TPU!A:A,TPU!D:D,,0)</f>
        <v>65.729166666666671</v>
      </c>
      <c r="Q47" s="335">
        <f t="shared" si="3"/>
        <v>1577.5</v>
      </c>
    </row>
    <row r="48" spans="1:21">
      <c r="B48" s="390"/>
      <c r="C48" s="314" t="s">
        <v>220</v>
      </c>
      <c r="D48" s="409"/>
      <c r="E48" s="410"/>
      <c r="F48" s="410"/>
      <c r="G48" s="410"/>
      <c r="H48" s="410"/>
      <c r="I48" s="410"/>
      <c r="J48" s="411"/>
      <c r="K48" s="338" t="s">
        <v>221</v>
      </c>
      <c r="L48" s="404" t="str">
        <f>_xlfn.XLOOKUP(K48,TPU!A:A,TPU!B:B,,0)</f>
        <v>LICENÇA IBM SPSS</v>
      </c>
      <c r="M48" s="405"/>
      <c r="N48" s="331">
        <f>SUMIF(supea1!$H$58:$H$64,K48,supea1!$K$58:$K$64)</f>
        <v>1</v>
      </c>
      <c r="O48" s="323">
        <v>24</v>
      </c>
      <c r="P48" s="328">
        <f>_xlfn.XLOOKUP(K48,TPU!A:A,TPU!D:D,,0)</f>
        <v>495</v>
      </c>
      <c r="Q48" s="335">
        <f t="shared" si="3"/>
        <v>11880</v>
      </c>
    </row>
    <row r="49" spans="2:21">
      <c r="B49" s="390"/>
      <c r="C49" s="324" t="s">
        <v>222</v>
      </c>
      <c r="D49" s="412"/>
      <c r="E49" s="413"/>
      <c r="F49" s="413"/>
      <c r="G49" s="413"/>
      <c r="H49" s="413"/>
      <c r="I49" s="413"/>
      <c r="J49" s="414"/>
      <c r="K49" s="339" t="s">
        <v>223</v>
      </c>
      <c r="L49" s="404" t="str">
        <f>_xlfn.XLOOKUP(K49,TPU!A:A,TPU!B:B,,0)</f>
        <v>LICENÇA AVIPLAN</v>
      </c>
      <c r="M49" s="405"/>
      <c r="N49" s="331">
        <f>SUMIF(supea1!$H$58:$H$64,K49,supea1!$K$58:$K$64)</f>
        <v>1</v>
      </c>
      <c r="O49" s="323">
        <v>24</v>
      </c>
      <c r="P49" s="332">
        <f>_xlfn.XLOOKUP(K49,TPU!A:A,TPU!D:D,,0)</f>
        <v>2491.6666666666665</v>
      </c>
      <c r="Q49" s="340">
        <f>P49*O49*N49</f>
        <v>59800</v>
      </c>
    </row>
    <row r="50" spans="2:21" ht="30" customHeight="1">
      <c r="B50" s="317"/>
      <c r="C50" s="318"/>
      <c r="D50" s="319"/>
      <c r="E50" s="319"/>
      <c r="F50" s="319"/>
      <c r="G50" s="319"/>
      <c r="H50" s="319"/>
      <c r="I50" s="319"/>
      <c r="J50" s="319"/>
      <c r="K50" s="333"/>
      <c r="L50" s="424" t="s">
        <v>224</v>
      </c>
      <c r="M50" s="424"/>
      <c r="N50" s="424"/>
      <c r="O50" s="424"/>
      <c r="P50" s="424"/>
      <c r="Q50" s="329">
        <f>SUM(Q45:Q49)</f>
        <v>384005.43999999994</v>
      </c>
      <c r="R50" s="313"/>
    </row>
    <row r="51" spans="2:21" ht="10" customHeight="1">
      <c r="B51" s="320"/>
      <c r="P51" s="334"/>
    </row>
    <row r="52" spans="2:21" ht="30" customHeight="1">
      <c r="B52" s="343"/>
      <c r="C52" s="344"/>
      <c r="D52" s="344"/>
      <c r="E52" s="344"/>
      <c r="F52" s="344"/>
      <c r="G52" s="344"/>
      <c r="H52" s="344"/>
      <c r="I52" s="344"/>
      <c r="J52" s="344"/>
      <c r="K52" s="344"/>
      <c r="L52" s="344"/>
      <c r="M52" s="344"/>
      <c r="N52" s="344"/>
      <c r="O52" s="345"/>
      <c r="P52" s="346" t="s">
        <v>19</v>
      </c>
      <c r="Q52" s="347">
        <f>Q35+Q41+Q50+Q21+Q4</f>
        <v>18745121.788800001</v>
      </c>
      <c r="R52" s="309"/>
      <c r="S52" s="308"/>
    </row>
    <row r="54" spans="2:21">
      <c r="P54" s="278"/>
      <c r="U54" s="278"/>
    </row>
    <row r="55" spans="2:21">
      <c r="P55" s="278"/>
      <c r="U55" s="278"/>
    </row>
    <row r="56" spans="2:21">
      <c r="P56" s="278"/>
      <c r="U56" s="278"/>
    </row>
    <row r="57" spans="2:21">
      <c r="P57" s="278"/>
      <c r="U57" s="278"/>
    </row>
    <row r="58" spans="2:21">
      <c r="P58" s="278"/>
      <c r="R58" s="278"/>
      <c r="S58" s="278"/>
      <c r="T58" s="278"/>
      <c r="U58" s="278"/>
    </row>
    <row r="59" spans="2:21">
      <c r="P59" s="278"/>
      <c r="R59" s="278"/>
      <c r="S59" s="278"/>
      <c r="T59" s="278"/>
      <c r="U59" s="278"/>
    </row>
    <row r="60" spans="2:21">
      <c r="P60" s="278"/>
      <c r="R60" s="278"/>
      <c r="S60" s="278"/>
      <c r="T60" s="278"/>
      <c r="U60" s="278"/>
    </row>
    <row r="61" spans="2:21">
      <c r="P61" s="278"/>
      <c r="R61" s="278"/>
      <c r="S61" s="278"/>
      <c r="T61" s="278"/>
      <c r="U61" s="278"/>
    </row>
    <row r="62" spans="2:21">
      <c r="P62" s="278"/>
      <c r="R62" s="278"/>
      <c r="S62" s="278"/>
      <c r="T62" s="278"/>
      <c r="U62" s="278"/>
    </row>
  </sheetData>
  <mergeCells count="79">
    <mergeCell ref="L48:M48"/>
    <mergeCell ref="L50:P50"/>
    <mergeCell ref="L41:P41"/>
    <mergeCell ref="L21:P21"/>
    <mergeCell ref="L5:P5"/>
    <mergeCell ref="B7:Q7"/>
    <mergeCell ref="C25:C28"/>
    <mergeCell ref="I9:I16"/>
    <mergeCell ref="J9:J16"/>
    <mergeCell ref="H9:H16"/>
    <mergeCell ref="B25:B28"/>
    <mergeCell ref="E25:E28"/>
    <mergeCell ref="F25:F28"/>
    <mergeCell ref="G25:G28"/>
    <mergeCell ref="J25:J28"/>
    <mergeCell ref="I25:I28"/>
    <mergeCell ref="H25:H28"/>
    <mergeCell ref="D25:D28"/>
    <mergeCell ref="B23:Q23"/>
    <mergeCell ref="C29:C31"/>
    <mergeCell ref="H32:H34"/>
    <mergeCell ref="I32:I34"/>
    <mergeCell ref="J32:J34"/>
    <mergeCell ref="H29:H31"/>
    <mergeCell ref="B29:B31"/>
    <mergeCell ref="J29:J31"/>
    <mergeCell ref="I29:I31"/>
    <mergeCell ref="D29:D31"/>
    <mergeCell ref="E29:E31"/>
    <mergeCell ref="F29:F31"/>
    <mergeCell ref="G29:G31"/>
    <mergeCell ref="D44:J44"/>
    <mergeCell ref="B37:Q37"/>
    <mergeCell ref="N39:O39"/>
    <mergeCell ref="B32:B34"/>
    <mergeCell ref="C32:C34"/>
    <mergeCell ref="E32:E34"/>
    <mergeCell ref="F32:F34"/>
    <mergeCell ref="D32:D34"/>
    <mergeCell ref="G32:G34"/>
    <mergeCell ref="L35:P35"/>
    <mergeCell ref="B45:B49"/>
    <mergeCell ref="B43:Q43"/>
    <mergeCell ref="E38:H38"/>
    <mergeCell ref="E39:H39"/>
    <mergeCell ref="E40:H40"/>
    <mergeCell ref="K38:M38"/>
    <mergeCell ref="K39:M39"/>
    <mergeCell ref="K40:M40"/>
    <mergeCell ref="N38:O38"/>
    <mergeCell ref="N40:O40"/>
    <mergeCell ref="L49:M49"/>
    <mergeCell ref="L44:M44"/>
    <mergeCell ref="D45:J49"/>
    <mergeCell ref="L45:M45"/>
    <mergeCell ref="L46:M46"/>
    <mergeCell ref="L47:M47"/>
    <mergeCell ref="B2:Q2"/>
    <mergeCell ref="B17:B20"/>
    <mergeCell ref="C17:C20"/>
    <mergeCell ref="D17:D20"/>
    <mergeCell ref="D9:D16"/>
    <mergeCell ref="C9:C16"/>
    <mergeCell ref="B9:B16"/>
    <mergeCell ref="H17:H20"/>
    <mergeCell ref="I17:I20"/>
    <mergeCell ref="J17:J20"/>
    <mergeCell ref="E15:E16"/>
    <mergeCell ref="F15:F16"/>
    <mergeCell ref="G15:G16"/>
    <mergeCell ref="E13:E14"/>
    <mergeCell ref="F13:F14"/>
    <mergeCell ref="G13:G14"/>
    <mergeCell ref="E11:E12"/>
    <mergeCell ref="F11:F12"/>
    <mergeCell ref="G11:G12"/>
    <mergeCell ref="E9:E10"/>
    <mergeCell ref="F9:F10"/>
    <mergeCell ref="G9:G10"/>
  </mergeCells>
  <phoneticPr fontId="13" type="noConversion"/>
  <dataValidations count="1">
    <dataValidation type="list" allowBlank="1" showInputMessage="1" showErrorMessage="1" sqref="K25:K34 K4" xr:uid="{90A777C4-37F7-4CD7-B137-F81115C60611}">
      <formula1>#REF!</formula1>
    </dataValidation>
  </dataValidations>
  <pageMargins left="0.511811024" right="0.511811024" top="0.78740157499999996" bottom="0.78740157499999996" header="0.31496062000000002" footer="0.31496062000000002"/>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6317-EDC6-4BE5-91B9-30EE3472D942}">
  <sheetPr>
    <tabColor theme="9" tint="-0.499984740745262"/>
  </sheetPr>
  <dimension ref="B2:Q68"/>
  <sheetViews>
    <sheetView topLeftCell="I1" workbookViewId="0">
      <selection activeCell="G9" sqref="G9:G17"/>
    </sheetView>
  </sheetViews>
  <sheetFormatPr defaultRowHeight="14.5"/>
  <cols>
    <col min="1" max="1" width="3.26953125" customWidth="1"/>
    <col min="2" max="2" width="77.1796875" bestFit="1" customWidth="1"/>
    <col min="3" max="3" width="30.7265625" customWidth="1"/>
    <col min="4" max="4" width="68.54296875" customWidth="1"/>
    <col min="5" max="5" width="75.81640625" customWidth="1"/>
    <col min="6" max="6" width="31.81640625" customWidth="1"/>
    <col min="7" max="8" width="19" customWidth="1"/>
    <col min="9" max="9" width="58.453125" customWidth="1"/>
    <col min="10" max="10" width="67.7265625" customWidth="1"/>
    <col min="11" max="11" width="34.26953125" customWidth="1"/>
    <col min="12" max="12" width="34.1796875" style="10" customWidth="1"/>
    <col min="13" max="13" width="19.54296875" style="126" bestFit="1" customWidth="1"/>
    <col min="14" max="14" width="23.26953125" customWidth="1"/>
    <col min="16" max="16" width="14.26953125" bestFit="1" customWidth="1"/>
    <col min="17" max="17" width="11.54296875" bestFit="1" customWidth="1"/>
  </cols>
  <sheetData>
    <row r="2" spans="2:14" ht="18.5" hidden="1">
      <c r="B2" s="426" t="s">
        <v>225</v>
      </c>
      <c r="C2" s="426"/>
      <c r="D2" s="426"/>
      <c r="E2" s="426"/>
      <c r="F2" s="426"/>
      <c r="G2" s="426"/>
      <c r="H2" s="426"/>
      <c r="I2" s="426"/>
      <c r="J2" s="426"/>
      <c r="K2" s="426"/>
      <c r="L2" s="427"/>
      <c r="M2" s="428"/>
      <c r="N2" s="428"/>
    </row>
    <row r="3" spans="2:14" hidden="1">
      <c r="B3" s="49" t="s">
        <v>20</v>
      </c>
      <c r="C3" s="48" t="s">
        <v>21</v>
      </c>
      <c r="D3" s="16" t="s">
        <v>22</v>
      </c>
      <c r="E3" s="16" t="s">
        <v>23</v>
      </c>
      <c r="F3" s="48" t="s">
        <v>109</v>
      </c>
      <c r="G3" s="48" t="s">
        <v>110</v>
      </c>
      <c r="H3" s="48"/>
      <c r="I3" s="48" t="s">
        <v>111</v>
      </c>
      <c r="J3" s="48" t="s">
        <v>226</v>
      </c>
      <c r="K3" s="50" t="s">
        <v>227</v>
      </c>
      <c r="L3" s="50" t="s">
        <v>114</v>
      </c>
      <c r="M3" s="130" t="s">
        <v>228</v>
      </c>
      <c r="N3" s="131" t="s">
        <v>116</v>
      </c>
    </row>
    <row r="4" spans="2:14" ht="111" hidden="1">
      <c r="B4" s="133" t="s">
        <v>229</v>
      </c>
      <c r="C4" s="134" t="s">
        <v>230</v>
      </c>
      <c r="D4" s="134" t="s">
        <v>231</v>
      </c>
      <c r="E4" s="134" t="s">
        <v>232</v>
      </c>
      <c r="F4" s="134" t="s">
        <v>233</v>
      </c>
      <c r="G4" s="134" t="s">
        <v>234</v>
      </c>
      <c r="H4" s="134"/>
      <c r="I4" s="40"/>
      <c r="J4" s="135" t="s">
        <v>235</v>
      </c>
      <c r="K4" s="136" t="s">
        <v>236</v>
      </c>
      <c r="L4" s="137">
        <v>12</v>
      </c>
      <c r="M4" s="124"/>
      <c r="N4" s="127"/>
    </row>
    <row r="5" spans="2:14" ht="15" hidden="1" thickBot="1">
      <c r="B5" s="31"/>
      <c r="C5" s="31"/>
      <c r="D5" s="39"/>
      <c r="E5" s="22"/>
      <c r="F5" s="40"/>
      <c r="G5" s="40"/>
      <c r="H5" s="273"/>
      <c r="I5" s="123"/>
      <c r="J5" s="40"/>
      <c r="K5" s="48"/>
      <c r="L5" s="31"/>
      <c r="M5" s="124"/>
      <c r="N5" s="127"/>
    </row>
    <row r="6" spans="2:14" hidden="1">
      <c r="B6" s="51"/>
      <c r="C6" s="51"/>
      <c r="D6" s="51"/>
      <c r="E6" s="51"/>
      <c r="F6" s="51"/>
      <c r="G6" s="51"/>
      <c r="H6" s="51"/>
      <c r="I6" s="51"/>
      <c r="J6" s="51"/>
      <c r="K6" s="51"/>
      <c r="L6" s="31"/>
      <c r="M6" s="125"/>
      <c r="N6" s="128"/>
    </row>
    <row r="7" spans="2:14" ht="26.5" thickBot="1">
      <c r="B7" s="439" t="s">
        <v>120</v>
      </c>
      <c r="C7" s="439"/>
      <c r="D7" s="439"/>
      <c r="E7" s="439"/>
      <c r="F7" s="439"/>
      <c r="G7" s="439"/>
      <c r="H7" s="439"/>
      <c r="I7" s="439"/>
      <c r="J7" s="439"/>
      <c r="K7" s="439"/>
      <c r="L7" s="439"/>
      <c r="M7" s="440"/>
      <c r="N7" s="440"/>
    </row>
    <row r="8" spans="2:14" ht="44" thickBot="1">
      <c r="B8" s="54" t="s">
        <v>20</v>
      </c>
      <c r="C8" s="54" t="s">
        <v>21</v>
      </c>
      <c r="D8" s="35" t="s">
        <v>72</v>
      </c>
      <c r="E8" s="38" t="s">
        <v>23</v>
      </c>
      <c r="F8" s="48" t="s">
        <v>109</v>
      </c>
      <c r="G8" s="48" t="s">
        <v>110</v>
      </c>
      <c r="H8" s="136" t="s">
        <v>111</v>
      </c>
      <c r="I8" s="136" t="s">
        <v>155</v>
      </c>
      <c r="J8" s="306" t="s">
        <v>112</v>
      </c>
      <c r="K8" s="50" t="s">
        <v>113</v>
      </c>
      <c r="L8" s="50" t="s">
        <v>114</v>
      </c>
      <c r="M8" s="306" t="s">
        <v>115</v>
      </c>
      <c r="N8" s="306" t="s">
        <v>116</v>
      </c>
    </row>
    <row r="9" spans="2:14" ht="29.15" customHeight="1">
      <c r="B9" s="441" t="s">
        <v>237</v>
      </c>
      <c r="C9" s="444" t="s">
        <v>238</v>
      </c>
      <c r="D9" s="447" t="s">
        <v>239</v>
      </c>
      <c r="E9" s="447" t="s">
        <v>123</v>
      </c>
      <c r="F9" s="453" t="s">
        <v>240</v>
      </c>
      <c r="G9" s="453" t="s">
        <v>241</v>
      </c>
      <c r="H9" s="241" t="s">
        <v>119</v>
      </c>
      <c r="I9" s="40" t="s">
        <v>125</v>
      </c>
      <c r="J9" s="55" t="s">
        <v>126</v>
      </c>
      <c r="K9" s="50">
        <v>1</v>
      </c>
      <c r="L9" s="31">
        <v>24</v>
      </c>
      <c r="M9" s="256">
        <f>_xlfn.XLOOKUP(H9,TPU!A:A,TPU!D:D,,0)</f>
        <v>46576.570979999997</v>
      </c>
      <c r="N9" s="124">
        <f t="shared" ref="N9:N21" si="0">K9*L9*M9</f>
        <v>1117837.70352</v>
      </c>
    </row>
    <row r="10" spans="2:14" ht="46.5" customHeight="1">
      <c r="B10" s="442"/>
      <c r="C10" s="445"/>
      <c r="D10" s="448"/>
      <c r="E10" s="448"/>
      <c r="F10" s="454"/>
      <c r="G10" s="454"/>
      <c r="H10" s="241" t="s">
        <v>242</v>
      </c>
      <c r="I10" s="40" t="s">
        <v>128</v>
      </c>
      <c r="J10" s="55" t="s">
        <v>129</v>
      </c>
      <c r="K10" s="50">
        <v>1</v>
      </c>
      <c r="L10" s="31">
        <v>24</v>
      </c>
      <c r="M10" s="256">
        <f>_xlfn.XLOOKUP(H10,TPU!A:A,TPU!D:D,,0)</f>
        <v>55594.954860000005</v>
      </c>
      <c r="N10" s="124">
        <f t="shared" si="0"/>
        <v>1334278.9166400002</v>
      </c>
    </row>
    <row r="11" spans="2:14" ht="29">
      <c r="B11" s="442"/>
      <c r="C11" s="445"/>
      <c r="D11" s="448"/>
      <c r="E11" s="448"/>
      <c r="F11" s="454"/>
      <c r="G11" s="454"/>
      <c r="H11" s="241" t="s">
        <v>167</v>
      </c>
      <c r="I11" s="40" t="s">
        <v>131</v>
      </c>
      <c r="J11" s="55" t="s">
        <v>132</v>
      </c>
      <c r="K11" s="50">
        <v>1</v>
      </c>
      <c r="L11" s="31">
        <v>24</v>
      </c>
      <c r="M11" s="256">
        <f>_xlfn.XLOOKUP(H11,TPU!A:A,TPU!D:D,,0)</f>
        <v>40624.083059999997</v>
      </c>
      <c r="N11" s="124">
        <f t="shared" si="0"/>
        <v>974977.99343999987</v>
      </c>
    </row>
    <row r="12" spans="2:14" ht="29">
      <c r="B12" s="442"/>
      <c r="C12" s="445"/>
      <c r="D12" s="448"/>
      <c r="E12" s="448"/>
      <c r="F12" s="454"/>
      <c r="G12" s="454"/>
      <c r="H12" s="241" t="s">
        <v>243</v>
      </c>
      <c r="I12" s="40" t="s">
        <v>133</v>
      </c>
      <c r="J12" s="55" t="s">
        <v>134</v>
      </c>
      <c r="K12" s="50">
        <v>1</v>
      </c>
      <c r="L12" s="31">
        <v>24</v>
      </c>
      <c r="M12" s="256">
        <f>_xlfn.XLOOKUP(H12,TPU!A:A,TPU!D:D,,0)</f>
        <v>30611.704319999997</v>
      </c>
      <c r="N12" s="124">
        <f t="shared" si="0"/>
        <v>734680.90367999999</v>
      </c>
    </row>
    <row r="13" spans="2:14" ht="33" customHeight="1">
      <c r="B13" s="442"/>
      <c r="C13" s="445"/>
      <c r="D13" s="448"/>
      <c r="E13" s="448"/>
      <c r="F13" s="454"/>
      <c r="G13" s="454"/>
      <c r="H13" s="241" t="s">
        <v>170</v>
      </c>
      <c r="I13" s="40" t="s">
        <v>135</v>
      </c>
      <c r="J13" s="55" t="s">
        <v>136</v>
      </c>
      <c r="K13" s="50">
        <v>1</v>
      </c>
      <c r="L13" s="31">
        <v>24</v>
      </c>
      <c r="M13" s="256">
        <f>_xlfn.XLOOKUP(H13,TPU!A:A,TPU!D:D,,0)</f>
        <v>25699.020540000001</v>
      </c>
      <c r="N13" s="124">
        <f t="shared" si="0"/>
        <v>616776.49296000006</v>
      </c>
    </row>
    <row r="14" spans="2:14" ht="29">
      <c r="B14" s="442"/>
      <c r="C14" s="445"/>
      <c r="D14" s="448"/>
      <c r="E14" s="448"/>
      <c r="F14" s="454"/>
      <c r="G14" s="454"/>
      <c r="H14" s="241" t="s">
        <v>244</v>
      </c>
      <c r="I14" s="40" t="s">
        <v>137</v>
      </c>
      <c r="J14" s="55" t="s">
        <v>138</v>
      </c>
      <c r="K14" s="50">
        <v>1</v>
      </c>
      <c r="L14" s="31">
        <v>24</v>
      </c>
      <c r="M14" s="256">
        <f>_xlfn.XLOOKUP(H14,TPU!A:A,TPU!D:D,,0)</f>
        <v>15093.73842</v>
      </c>
      <c r="N14" s="124">
        <f t="shared" si="0"/>
        <v>362249.72207999998</v>
      </c>
    </row>
    <row r="15" spans="2:14" ht="48" customHeight="1">
      <c r="B15" s="442"/>
      <c r="C15" s="445"/>
      <c r="D15" s="448"/>
      <c r="E15" s="448"/>
      <c r="F15" s="454"/>
      <c r="G15" s="454"/>
      <c r="H15" s="241" t="s">
        <v>245</v>
      </c>
      <c r="I15" s="40" t="s">
        <v>139</v>
      </c>
      <c r="J15" s="55" t="s">
        <v>140</v>
      </c>
      <c r="K15" s="50">
        <v>1</v>
      </c>
      <c r="L15" s="31">
        <v>24</v>
      </c>
      <c r="M15" s="256">
        <f>_xlfn.XLOOKUP(H15,TPU!A:A,TPU!D:D,,0)</f>
        <v>17799.912960000001</v>
      </c>
      <c r="N15" s="124">
        <f t="shared" si="0"/>
        <v>427197.91104000004</v>
      </c>
    </row>
    <row r="16" spans="2:14" ht="29">
      <c r="B16" s="442"/>
      <c r="C16" s="445"/>
      <c r="D16" s="448"/>
      <c r="E16" s="448"/>
      <c r="F16" s="454"/>
      <c r="G16" s="454"/>
      <c r="H16" s="241" t="s">
        <v>182</v>
      </c>
      <c r="I16" s="40" t="s">
        <v>141</v>
      </c>
      <c r="J16" s="55" t="s">
        <v>142</v>
      </c>
      <c r="K16" s="50">
        <v>1</v>
      </c>
      <c r="L16" s="31">
        <v>24</v>
      </c>
      <c r="M16" s="256">
        <f>_xlfn.XLOOKUP(H16,TPU!A:A,TPU!D:D,,0)</f>
        <v>25049.607480000002</v>
      </c>
      <c r="N16" s="124">
        <f t="shared" si="0"/>
        <v>601190.57952000003</v>
      </c>
    </row>
    <row r="17" spans="2:14" ht="30.75" customHeight="1">
      <c r="B17" s="443"/>
      <c r="C17" s="446"/>
      <c r="D17" s="449"/>
      <c r="E17" s="449"/>
      <c r="F17" s="455"/>
      <c r="G17" s="455"/>
      <c r="H17" s="241" t="s">
        <v>246</v>
      </c>
      <c r="I17" s="40" t="s">
        <v>247</v>
      </c>
      <c r="J17" s="55" t="s">
        <v>248</v>
      </c>
      <c r="K17" s="50">
        <v>1</v>
      </c>
      <c r="L17" s="31">
        <v>24</v>
      </c>
      <c r="M17" s="256">
        <f>_xlfn.XLOOKUP(H17,TPU!A:A,TPU!D:D,,0)</f>
        <v>12806.2821</v>
      </c>
      <c r="N17" s="124">
        <f t="shared" si="0"/>
        <v>307350.77040000004</v>
      </c>
    </row>
    <row r="18" spans="2:14" ht="120.65" customHeight="1">
      <c r="B18" s="463" t="s">
        <v>79</v>
      </c>
      <c r="C18" s="450" t="s">
        <v>249</v>
      </c>
      <c r="D18" s="450" t="s">
        <v>143</v>
      </c>
      <c r="E18" s="450" t="s">
        <v>144</v>
      </c>
      <c r="F18" s="453" t="s">
        <v>240</v>
      </c>
      <c r="G18" s="453" t="s">
        <v>241</v>
      </c>
      <c r="H18" s="241" t="s">
        <v>250</v>
      </c>
      <c r="I18" s="40" t="s">
        <v>145</v>
      </c>
      <c r="J18" s="55" t="s">
        <v>146</v>
      </c>
      <c r="K18" s="50">
        <v>1</v>
      </c>
      <c r="L18" s="31">
        <v>24</v>
      </c>
      <c r="M18" s="256">
        <f>_xlfn.XLOOKUP(H18,TPU!A:A,TPU!D:D,,0)</f>
        <v>38462.125079999998</v>
      </c>
      <c r="N18" s="124">
        <f t="shared" si="0"/>
        <v>923091.00191999995</v>
      </c>
    </row>
    <row r="19" spans="2:14" ht="108" customHeight="1">
      <c r="B19" s="442"/>
      <c r="C19" s="451"/>
      <c r="D19" s="451"/>
      <c r="E19" s="451"/>
      <c r="F19" s="454"/>
      <c r="G19" s="454"/>
      <c r="H19" s="241" t="s">
        <v>251</v>
      </c>
      <c r="I19" s="40" t="s">
        <v>147</v>
      </c>
      <c r="J19" s="55" t="s">
        <v>148</v>
      </c>
      <c r="K19" s="50">
        <v>1</v>
      </c>
      <c r="L19" s="31">
        <v>24</v>
      </c>
      <c r="M19" s="256">
        <f>_xlfn.XLOOKUP(H19,TPU!A:A,TPU!D:D,,0)</f>
        <v>21039.777180000001</v>
      </c>
      <c r="N19" s="124">
        <f t="shared" si="0"/>
        <v>504954.65231999999</v>
      </c>
    </row>
    <row r="20" spans="2:14" ht="138" customHeight="1">
      <c r="B20" s="442"/>
      <c r="C20" s="451"/>
      <c r="D20" s="451"/>
      <c r="E20" s="451"/>
      <c r="F20" s="454"/>
      <c r="G20" s="454"/>
      <c r="H20" s="241" t="s">
        <v>252</v>
      </c>
      <c r="I20" s="40" t="s">
        <v>149</v>
      </c>
      <c r="J20" s="55" t="s">
        <v>150</v>
      </c>
      <c r="K20" s="50">
        <v>1</v>
      </c>
      <c r="L20" s="31">
        <v>24</v>
      </c>
      <c r="M20" s="256">
        <f>_xlfn.XLOOKUP(H20,TPU!A:A,TPU!D:D,,0)</f>
        <v>13751.850420000001</v>
      </c>
      <c r="N20" s="124">
        <f t="shared" si="0"/>
        <v>330044.41008</v>
      </c>
    </row>
    <row r="21" spans="2:14" ht="138" customHeight="1">
      <c r="B21" s="443"/>
      <c r="C21" s="452"/>
      <c r="D21" s="452"/>
      <c r="E21" s="452"/>
      <c r="F21" s="455"/>
      <c r="G21" s="455"/>
      <c r="H21" s="40" t="s">
        <v>253</v>
      </c>
      <c r="I21" s="40" t="s">
        <v>151</v>
      </c>
      <c r="J21" s="55" t="s">
        <v>152</v>
      </c>
      <c r="K21" s="50">
        <v>1</v>
      </c>
      <c r="L21" s="31">
        <v>24</v>
      </c>
      <c r="M21" s="256">
        <f>_xlfn.XLOOKUP(H21,TPU!A:A,TPU!D:D,,0)</f>
        <v>38279.263919999998</v>
      </c>
      <c r="N21" s="124">
        <f t="shared" si="0"/>
        <v>918702.33407999994</v>
      </c>
    </row>
    <row r="22" spans="2:14" hidden="1">
      <c r="B22" s="31"/>
      <c r="C22" s="43"/>
      <c r="D22" s="43"/>
      <c r="E22" s="43"/>
      <c r="F22" s="40"/>
      <c r="G22" s="40"/>
      <c r="H22" s="40"/>
      <c r="I22" s="40"/>
      <c r="J22" s="55"/>
      <c r="K22" s="50"/>
      <c r="L22" s="31"/>
      <c r="M22" s="256"/>
      <c r="N22" s="271">
        <f>SUM(N9:N21)</f>
        <v>9153333.3916800003</v>
      </c>
    </row>
    <row r="23" spans="2:14" hidden="1">
      <c r="B23" s="31"/>
      <c r="C23" s="43"/>
      <c r="D23" s="43"/>
      <c r="E23" s="43"/>
      <c r="F23" s="40"/>
      <c r="G23" s="40"/>
      <c r="H23" s="40"/>
      <c r="I23" s="40"/>
      <c r="J23" s="55"/>
      <c r="K23" s="50"/>
      <c r="L23" s="31"/>
      <c r="M23" s="256"/>
      <c r="N23" s="124"/>
    </row>
    <row r="24" spans="2:14" ht="18.5" hidden="1">
      <c r="B24" s="426" t="s">
        <v>120</v>
      </c>
      <c r="C24" s="426"/>
      <c r="D24" s="426"/>
      <c r="E24" s="426"/>
      <c r="F24" s="426"/>
      <c r="G24" s="426"/>
      <c r="H24" s="426"/>
      <c r="I24" s="426"/>
      <c r="J24" s="426"/>
      <c r="K24" s="426"/>
      <c r="L24" s="427"/>
      <c r="M24" s="428"/>
      <c r="N24" s="428"/>
    </row>
    <row r="25" spans="2:14" ht="15" hidden="1" thickBot="1">
      <c r="B25" s="54" t="s">
        <v>20</v>
      </c>
      <c r="C25" s="48" t="s">
        <v>21</v>
      </c>
      <c r="D25" s="35" t="s">
        <v>72</v>
      </c>
      <c r="E25" s="38" t="s">
        <v>23</v>
      </c>
      <c r="F25" s="48" t="s">
        <v>109</v>
      </c>
      <c r="G25" s="48" t="s">
        <v>110</v>
      </c>
      <c r="H25" s="48"/>
      <c r="I25" s="48"/>
      <c r="J25" s="54" t="s">
        <v>24</v>
      </c>
      <c r="K25" s="50" t="s">
        <v>113</v>
      </c>
      <c r="L25" s="50" t="s">
        <v>114</v>
      </c>
      <c r="M25" s="429"/>
      <c r="N25" s="429"/>
    </row>
    <row r="26" spans="2:14" hidden="1">
      <c r="B26" s="31"/>
      <c r="C26" s="43"/>
      <c r="D26" s="7"/>
      <c r="E26" s="26"/>
      <c r="F26" s="40"/>
      <c r="G26" s="40"/>
      <c r="H26" s="273"/>
      <c r="I26" s="123"/>
      <c r="J26" s="40"/>
      <c r="K26" s="48"/>
      <c r="L26" s="31"/>
      <c r="M26" s="124"/>
      <c r="N26" s="78"/>
    </row>
    <row r="27" spans="2:14" hidden="1">
      <c r="B27" s="31"/>
      <c r="C27" s="40"/>
      <c r="D27" s="7"/>
      <c r="E27" s="26"/>
      <c r="F27" s="40"/>
      <c r="G27" s="40"/>
      <c r="H27" s="273"/>
      <c r="I27" s="123"/>
      <c r="J27" s="40"/>
      <c r="K27" s="48"/>
      <c r="L27" s="31"/>
      <c r="M27" s="124"/>
      <c r="N27" s="78"/>
    </row>
    <row r="28" spans="2:14" hidden="1">
      <c r="B28" s="51"/>
      <c r="C28" s="51"/>
      <c r="D28" s="51"/>
      <c r="E28" s="51"/>
      <c r="F28" s="51"/>
      <c r="G28" s="51"/>
      <c r="H28" s="51"/>
      <c r="I28" s="51"/>
      <c r="J28" s="51"/>
      <c r="K28" s="51"/>
      <c r="L28" s="31"/>
      <c r="M28" s="125"/>
      <c r="N28" s="129">
        <f>SUM(N26:N27)</f>
        <v>0</v>
      </c>
    </row>
    <row r="29" spans="2:14" ht="18.5" hidden="1">
      <c r="B29" s="426" t="s">
        <v>254</v>
      </c>
      <c r="C29" s="426"/>
      <c r="D29" s="426"/>
      <c r="E29" s="426"/>
      <c r="F29" s="426"/>
      <c r="G29" s="426"/>
      <c r="H29" s="426"/>
      <c r="I29" s="426"/>
      <c r="J29" s="426"/>
      <c r="K29" s="426"/>
      <c r="L29" s="427"/>
      <c r="M29" s="428"/>
      <c r="N29" s="428"/>
    </row>
    <row r="30" spans="2:14" ht="15" hidden="1" thickBot="1">
      <c r="B30" s="49" t="s">
        <v>20</v>
      </c>
      <c r="C30" s="48" t="s">
        <v>21</v>
      </c>
      <c r="D30" s="16" t="s">
        <v>22</v>
      </c>
      <c r="E30" s="38" t="s">
        <v>23</v>
      </c>
      <c r="F30" s="48" t="s">
        <v>109</v>
      </c>
      <c r="G30" s="48" t="s">
        <v>110</v>
      </c>
      <c r="H30" s="48"/>
      <c r="I30" s="48"/>
      <c r="J30" s="48" t="s">
        <v>24</v>
      </c>
      <c r="K30" s="50" t="s">
        <v>113</v>
      </c>
      <c r="L30" s="50" t="s">
        <v>114</v>
      </c>
      <c r="M30" s="429"/>
      <c r="N30" s="429"/>
    </row>
    <row r="31" spans="2:14" hidden="1">
      <c r="B31" s="31"/>
      <c r="C31" s="40"/>
      <c r="D31" s="7"/>
      <c r="E31" s="26"/>
      <c r="F31" s="40"/>
      <c r="G31" s="40"/>
      <c r="H31" s="40"/>
      <c r="I31" s="40"/>
      <c r="J31" s="55"/>
      <c r="K31" s="48"/>
      <c r="L31" s="31"/>
      <c r="M31" s="124"/>
      <c r="N31" s="124"/>
    </row>
    <row r="32" spans="2:14" hidden="1">
      <c r="B32" s="51"/>
      <c r="C32" s="51"/>
      <c r="D32" s="51"/>
      <c r="E32" s="51"/>
      <c r="F32" s="51"/>
      <c r="G32" s="51"/>
      <c r="H32" s="51"/>
      <c r="I32" s="51"/>
      <c r="J32" s="51"/>
      <c r="K32" s="51"/>
      <c r="L32" s="31"/>
      <c r="M32" s="125"/>
      <c r="N32" s="128">
        <f>SUM(N31:N31)</f>
        <v>0</v>
      </c>
    </row>
    <row r="33" spans="2:17" ht="18.5" hidden="1">
      <c r="B33" s="426" t="s">
        <v>154</v>
      </c>
      <c r="C33" s="426"/>
      <c r="D33" s="426"/>
      <c r="E33" s="426"/>
      <c r="F33" s="426"/>
      <c r="G33" s="426"/>
      <c r="H33" s="426"/>
      <c r="I33" s="426"/>
      <c r="J33" s="426"/>
      <c r="K33" s="426"/>
      <c r="L33" s="427"/>
      <c r="M33" s="428"/>
      <c r="N33" s="428"/>
    </row>
    <row r="34" spans="2:17" hidden="1">
      <c r="B34" s="49" t="s">
        <v>20</v>
      </c>
      <c r="C34" s="48" t="s">
        <v>21</v>
      </c>
      <c r="D34" s="16" t="s">
        <v>22</v>
      </c>
      <c r="E34" s="16" t="s">
        <v>23</v>
      </c>
      <c r="F34" s="48" t="s">
        <v>109</v>
      </c>
      <c r="G34" s="48" t="s">
        <v>110</v>
      </c>
      <c r="H34" s="48"/>
      <c r="I34" s="48"/>
      <c r="J34" s="48" t="s">
        <v>24</v>
      </c>
      <c r="K34" s="50" t="s">
        <v>113</v>
      </c>
      <c r="L34" s="50" t="s">
        <v>114</v>
      </c>
      <c r="M34" s="429"/>
      <c r="N34" s="429"/>
    </row>
    <row r="35" spans="2:17" hidden="1">
      <c r="B35" s="31"/>
      <c r="C35" s="40"/>
      <c r="D35" s="41"/>
      <c r="E35" s="41"/>
      <c r="F35" s="40"/>
      <c r="G35" s="40"/>
      <c r="H35" s="273"/>
      <c r="I35" s="123"/>
      <c r="J35" s="55"/>
      <c r="K35" s="48"/>
      <c r="L35" s="31"/>
      <c r="M35" s="124"/>
      <c r="N35" s="124"/>
    </row>
    <row r="36" spans="2:17" hidden="1">
      <c r="B36" s="31"/>
      <c r="C36" s="53"/>
      <c r="D36" s="7"/>
      <c r="E36" s="41"/>
      <c r="F36" s="40"/>
      <c r="G36" s="40"/>
      <c r="H36" s="273"/>
      <c r="I36" s="123"/>
      <c r="J36" s="55"/>
      <c r="K36" s="48"/>
      <c r="L36" s="31"/>
      <c r="M36" s="124"/>
      <c r="N36" s="124"/>
    </row>
    <row r="37" spans="2:17" ht="15" thickBot="1">
      <c r="B37" s="9"/>
      <c r="C37" s="9"/>
      <c r="D37" s="9"/>
      <c r="E37" s="9"/>
      <c r="F37" s="9"/>
      <c r="G37" s="9"/>
      <c r="H37" s="9"/>
      <c r="I37" s="9"/>
      <c r="J37" s="9"/>
      <c r="K37" s="79"/>
      <c r="N37" s="255"/>
    </row>
    <row r="38" spans="2:17" ht="15" thickBot="1">
      <c r="B38" s="9"/>
      <c r="C38" s="9"/>
      <c r="D38" s="9"/>
      <c r="E38" s="9"/>
      <c r="F38" s="9"/>
      <c r="G38" s="9"/>
      <c r="H38" s="9"/>
      <c r="I38" s="9"/>
      <c r="J38" s="9"/>
      <c r="K38" s="471" t="s">
        <v>255</v>
      </c>
      <c r="L38" s="472"/>
      <c r="M38" s="254"/>
      <c r="N38" s="270">
        <f>SUM(N9:N21)</f>
        <v>9153333.3916800003</v>
      </c>
      <c r="P38" s="275"/>
      <c r="Q38" s="275"/>
    </row>
    <row r="39" spans="2:17" ht="15" thickBot="1">
      <c r="B39" s="9"/>
      <c r="C39" s="9"/>
      <c r="D39" s="9"/>
      <c r="E39" s="9"/>
      <c r="F39" s="9"/>
      <c r="G39" s="9"/>
      <c r="H39" s="9"/>
      <c r="I39" s="9"/>
      <c r="J39" s="253" t="s">
        <v>256</v>
      </c>
      <c r="K39" s="252"/>
      <c r="Q39" s="56"/>
    </row>
    <row r="40" spans="2:17" ht="19" thickBot="1">
      <c r="B40" s="426" t="s">
        <v>197</v>
      </c>
      <c r="C40" s="426"/>
      <c r="D40" s="426"/>
      <c r="E40" s="426"/>
      <c r="F40" s="426"/>
      <c r="G40" s="426"/>
      <c r="H40" s="469"/>
      <c r="I40" s="469"/>
      <c r="J40" s="469"/>
      <c r="K40" s="469"/>
      <c r="L40" s="427"/>
      <c r="M40" s="428"/>
      <c r="N40" s="428"/>
      <c r="O40" s="56"/>
      <c r="P40" s="56"/>
      <c r="Q40" s="56"/>
    </row>
    <row r="41" spans="2:17">
      <c r="B41" s="49" t="s">
        <v>20</v>
      </c>
      <c r="C41" s="48" t="s">
        <v>21</v>
      </c>
      <c r="D41" s="16" t="s">
        <v>22</v>
      </c>
      <c r="E41" s="16" t="s">
        <v>23</v>
      </c>
      <c r="F41" s="48" t="s">
        <v>109</v>
      </c>
      <c r="G41" s="48" t="s">
        <v>110</v>
      </c>
      <c r="H41" s="48"/>
      <c r="I41" s="48"/>
      <c r="J41" s="48" t="s">
        <v>24</v>
      </c>
      <c r="K41" s="50" t="s">
        <v>113</v>
      </c>
      <c r="L41" s="50" t="s">
        <v>114</v>
      </c>
      <c r="M41" s="429" t="s">
        <v>257</v>
      </c>
      <c r="N41" s="429"/>
      <c r="O41" s="56"/>
      <c r="P41" s="56"/>
      <c r="Q41" s="56"/>
    </row>
    <row r="42" spans="2:17">
      <c r="B42" s="250" t="s">
        <v>44</v>
      </c>
      <c r="C42" s="436" t="s">
        <v>200</v>
      </c>
      <c r="D42" s="436" t="s">
        <v>201</v>
      </c>
      <c r="E42" s="470" t="s">
        <v>258</v>
      </c>
      <c r="F42" s="249"/>
      <c r="G42" s="249"/>
      <c r="H42" s="249"/>
      <c r="I42" s="249"/>
      <c r="J42" s="436" t="s">
        <v>259</v>
      </c>
      <c r="K42" s="437">
        <v>8</v>
      </c>
      <c r="L42" s="437">
        <v>24</v>
      </c>
      <c r="M42" s="251" t="s">
        <v>260</v>
      </c>
      <c r="N42" s="248" t="s">
        <v>18</v>
      </c>
      <c r="O42" s="56"/>
      <c r="P42" s="56"/>
      <c r="Q42" s="56"/>
    </row>
    <row r="43" spans="2:17">
      <c r="B43" s="250" t="s">
        <v>26</v>
      </c>
      <c r="C43" s="436"/>
      <c r="D43" s="436"/>
      <c r="E43" s="470"/>
      <c r="F43" s="249"/>
      <c r="G43" s="249"/>
      <c r="H43" s="249"/>
      <c r="I43" s="249"/>
      <c r="J43" s="436"/>
      <c r="K43" s="437"/>
      <c r="L43" s="437"/>
      <c r="M43" s="247">
        <f>TPU!D130</f>
        <v>381</v>
      </c>
      <c r="N43" s="246">
        <f>+M43*K42</f>
        <v>3048</v>
      </c>
      <c r="O43" s="56"/>
      <c r="P43" s="56"/>
      <c r="Q43" s="56"/>
    </row>
    <row r="44" spans="2:17">
      <c r="B44" s="245" t="s">
        <v>44</v>
      </c>
      <c r="C44" s="435" t="s">
        <v>205</v>
      </c>
      <c r="D44" s="435" t="s">
        <v>201</v>
      </c>
      <c r="E44" s="438" t="s">
        <v>206</v>
      </c>
      <c r="F44" s="244"/>
      <c r="G44" s="244"/>
      <c r="H44" s="244"/>
      <c r="I44" s="244"/>
      <c r="J44" s="435" t="s">
        <v>259</v>
      </c>
      <c r="K44" s="468">
        <v>8</v>
      </c>
      <c r="L44" s="468">
        <v>24</v>
      </c>
      <c r="M44" s="464">
        <v>1300</v>
      </c>
      <c r="N44" s="466">
        <f>+M44*K44</f>
        <v>10400</v>
      </c>
      <c r="O44" s="56"/>
      <c r="P44" s="56"/>
      <c r="Q44" s="56"/>
    </row>
    <row r="45" spans="2:17">
      <c r="B45" s="245" t="s">
        <v>26</v>
      </c>
      <c r="C45" s="435"/>
      <c r="D45" s="435"/>
      <c r="E45" s="438"/>
      <c r="F45" s="244"/>
      <c r="G45" s="244"/>
      <c r="H45" s="244"/>
      <c r="I45" s="244"/>
      <c r="J45" s="435"/>
      <c r="K45" s="468"/>
      <c r="L45" s="468"/>
      <c r="M45" s="465"/>
      <c r="N45" s="467"/>
      <c r="O45" s="56"/>
      <c r="P45" s="56"/>
      <c r="Q45" s="56"/>
    </row>
    <row r="46" spans="2:17">
      <c r="K46" s="430"/>
      <c r="L46" s="430"/>
      <c r="M46" s="432"/>
      <c r="N46" s="433">
        <f>SUM(N43:N45)</f>
        <v>13448</v>
      </c>
      <c r="O46" s="56"/>
      <c r="P46" s="56"/>
    </row>
    <row r="47" spans="2:17">
      <c r="K47" s="431"/>
      <c r="L47" s="431"/>
      <c r="M47" s="432"/>
      <c r="N47" s="434"/>
      <c r="P47" s="276"/>
      <c r="Q47" s="276"/>
    </row>
    <row r="48" spans="2:17">
      <c r="K48" s="431"/>
      <c r="L48" s="431"/>
      <c r="M48" s="432"/>
      <c r="N48" s="434"/>
    </row>
    <row r="49" spans="2:17">
      <c r="K49" s="431"/>
      <c r="L49" s="431"/>
      <c r="M49" s="432"/>
      <c r="N49" s="434"/>
    </row>
    <row r="52" spans="2:17" ht="18.5">
      <c r="B52" s="456" t="s">
        <v>261</v>
      </c>
      <c r="C52" s="456"/>
      <c r="D52" s="456"/>
      <c r="E52" s="456"/>
      <c r="F52" s="456"/>
      <c r="G52" s="456"/>
      <c r="H52" s="456"/>
      <c r="I52" s="456"/>
      <c r="J52" s="456"/>
      <c r="K52" s="456"/>
      <c r="L52" s="457"/>
      <c r="M52" s="458"/>
      <c r="N52" s="458"/>
    </row>
    <row r="53" spans="2:17">
      <c r="B53" s="243" t="s">
        <v>262</v>
      </c>
    </row>
    <row r="54" spans="2:17">
      <c r="B54" s="243" t="s">
        <v>263</v>
      </c>
      <c r="G54" s="40" t="s">
        <v>264</v>
      </c>
      <c r="H54" s="273"/>
      <c r="I54" s="123" t="s">
        <v>265</v>
      </c>
      <c r="J54" s="40" t="s">
        <v>266</v>
      </c>
      <c r="K54" s="48">
        <f>((57.95/2)+4.5*(COUNTIF(H1:H35,"P8"&amp;"*")))*AVERAGEIF(H2:H36,"P8"&amp;"*",K2:K36)</f>
        <v>87.474999999999994</v>
      </c>
      <c r="L54" s="40">
        <v>24</v>
      </c>
      <c r="M54" s="124">
        <f>_xlfn.XLOOKUP(I54,TPU!A:A,TPU!D:D,,0)</f>
        <v>68.670540000000003</v>
      </c>
      <c r="N54" s="127">
        <f>M54*L54*K54</f>
        <v>144166.93167599998</v>
      </c>
    </row>
    <row r="55" spans="2:17">
      <c r="B55" s="243" t="s">
        <v>262</v>
      </c>
      <c r="G55" s="40" t="s">
        <v>267</v>
      </c>
      <c r="H55" s="273"/>
      <c r="I55" s="123" t="s">
        <v>268</v>
      </c>
      <c r="J55" s="40" t="s">
        <v>263</v>
      </c>
      <c r="K55" s="48">
        <f>COUNTIF(H2:H36,"P8"&amp;"*")*AVERAGEIF(H2:H36,"P8"&amp;"*",K2:K36)</f>
        <v>13</v>
      </c>
      <c r="L55" s="40">
        <v>24</v>
      </c>
      <c r="M55" s="124">
        <f>_xlfn.XLOOKUP(I55,TPU!A:A,TPU!D:D,,0)</f>
        <v>713.76005999999995</v>
      </c>
      <c r="N55" s="127">
        <f>M55*L55*K55</f>
        <v>222693.13871999999</v>
      </c>
    </row>
    <row r="56" spans="2:17">
      <c r="G56" s="241" t="s">
        <v>267</v>
      </c>
      <c r="H56" s="274"/>
      <c r="I56" s="242" t="s">
        <v>269</v>
      </c>
      <c r="J56" s="241" t="s">
        <v>270</v>
      </c>
      <c r="K56" s="132">
        <f>COUNTIF(H2:H36,"P8"&amp;"*")*AVERAGEIF(H1:H35,"P8"&amp;"*",K2:K36)</f>
        <v>13</v>
      </c>
      <c r="L56" s="241">
        <v>24</v>
      </c>
      <c r="M56" s="124">
        <f>_xlfn.XLOOKUP(I56,TPU!A:A,TPU!D:D,,0)</f>
        <v>191.05998</v>
      </c>
      <c r="N56" s="240">
        <f>M56*L56*K56</f>
        <v>59610.713759999999</v>
      </c>
    </row>
    <row r="57" spans="2:17">
      <c r="B57" s="239"/>
      <c r="C57" s="238"/>
      <c r="D57" s="238"/>
      <c r="E57" s="238"/>
      <c r="F57" s="238"/>
      <c r="G57" s="238"/>
      <c r="H57" s="238"/>
      <c r="I57" s="238"/>
      <c r="J57" s="238"/>
      <c r="K57" s="238"/>
      <c r="L57" s="237"/>
      <c r="M57" s="236"/>
      <c r="N57" s="235">
        <f>SUM(N54:N56)</f>
        <v>426470.78415599995</v>
      </c>
      <c r="P57" s="275"/>
      <c r="Q57" s="275"/>
    </row>
    <row r="59" spans="2:17" ht="18.5">
      <c r="B59" s="456" t="s">
        <v>209</v>
      </c>
      <c r="C59" s="456"/>
      <c r="D59" s="456"/>
      <c r="E59" s="456"/>
      <c r="F59" s="456"/>
      <c r="G59" s="456"/>
      <c r="H59" s="456"/>
      <c r="I59" s="456"/>
      <c r="J59" s="456"/>
      <c r="K59" s="456"/>
      <c r="L59" s="457"/>
      <c r="M59" s="458"/>
      <c r="N59" s="458"/>
    </row>
    <row r="60" spans="2:17">
      <c r="B60" s="234"/>
      <c r="C60" s="232"/>
      <c r="D60" s="232"/>
      <c r="E60" s="232"/>
      <c r="F60" s="232"/>
      <c r="G60" s="232"/>
      <c r="H60" s="232"/>
      <c r="I60" s="233"/>
      <c r="J60" s="232"/>
      <c r="K60" s="231"/>
      <c r="L60" s="12"/>
      <c r="M60" s="230"/>
      <c r="N60" s="229"/>
      <c r="P60" s="275"/>
      <c r="Q60" s="275"/>
    </row>
    <row r="64" spans="2:17">
      <c r="M64" s="459" t="s">
        <v>120</v>
      </c>
      <c r="N64" s="461">
        <f>N38+N46+N57+N60</f>
        <v>9593252.1758360006</v>
      </c>
    </row>
    <row r="65" spans="13:16">
      <c r="M65" s="460"/>
      <c r="N65" s="462"/>
    </row>
    <row r="68" spans="13:16">
      <c r="N68" s="276"/>
      <c r="P68" s="275"/>
    </row>
  </sheetData>
  <autoFilter ref="B3:N49" xr:uid="{7CB87E28-6791-4BC9-B74F-8019C263B912}"/>
  <mergeCells count="44">
    <mergeCell ref="B59:N59"/>
    <mergeCell ref="C18:C21"/>
    <mergeCell ref="M64:M65"/>
    <mergeCell ref="N64:N65"/>
    <mergeCell ref="B18:B21"/>
    <mergeCell ref="M44:M45"/>
    <mergeCell ref="N44:N45"/>
    <mergeCell ref="K44:K45"/>
    <mergeCell ref="L44:L45"/>
    <mergeCell ref="B40:N40"/>
    <mergeCell ref="B52:N52"/>
    <mergeCell ref="M41:N41"/>
    <mergeCell ref="D44:D45"/>
    <mergeCell ref="E42:E43"/>
    <mergeCell ref="J42:J43"/>
    <mergeCell ref="K38:L38"/>
    <mergeCell ref="B2:N2"/>
    <mergeCell ref="B7:N7"/>
    <mergeCell ref="B24:N24"/>
    <mergeCell ref="M25:N25"/>
    <mergeCell ref="B9:B17"/>
    <mergeCell ref="C9:C17"/>
    <mergeCell ref="D9:D17"/>
    <mergeCell ref="D18:D21"/>
    <mergeCell ref="E9:E17"/>
    <mergeCell ref="F9:F17"/>
    <mergeCell ref="G9:G17"/>
    <mergeCell ref="G18:G21"/>
    <mergeCell ref="F18:F21"/>
    <mergeCell ref="E18:E21"/>
    <mergeCell ref="B29:N29"/>
    <mergeCell ref="M30:N30"/>
    <mergeCell ref="B33:N33"/>
    <mergeCell ref="M34:N34"/>
    <mergeCell ref="K46:L49"/>
    <mergeCell ref="M46:M49"/>
    <mergeCell ref="N46:N49"/>
    <mergeCell ref="C44:C45"/>
    <mergeCell ref="C42:C43"/>
    <mergeCell ref="D42:D43"/>
    <mergeCell ref="K42:K43"/>
    <mergeCell ref="L42:L43"/>
    <mergeCell ref="J44:J45"/>
    <mergeCell ref="E44:E45"/>
  </mergeCells>
  <pageMargins left="0.511811024" right="0.511811024" top="0.78740157499999996" bottom="0.78740157499999996" header="0.31496062000000002" footer="0.31496062000000002"/>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333D5-52AD-4A14-B681-E9D4920B1BF1}">
  <sheetPr>
    <tabColor theme="9" tint="-0.499984740745262"/>
  </sheetPr>
  <dimension ref="B2:P67"/>
  <sheetViews>
    <sheetView topLeftCell="E1" workbookViewId="0">
      <selection activeCell="J18" sqref="J18"/>
    </sheetView>
  </sheetViews>
  <sheetFormatPr defaultRowHeight="14.5"/>
  <cols>
    <col min="1" max="1" width="3.26953125" customWidth="1"/>
    <col min="2" max="4" width="37.26953125" customWidth="1"/>
    <col min="5" max="5" width="62.1796875" customWidth="1"/>
    <col min="6" max="8" width="17.7265625" customWidth="1"/>
    <col min="9" max="9" width="67.7265625" customWidth="1"/>
    <col min="10" max="10" width="51.453125" customWidth="1"/>
    <col min="11" max="11" width="12.81640625" customWidth="1"/>
    <col min="12" max="12" width="12.81640625" style="10" customWidth="1"/>
    <col min="13" max="13" width="19.54296875" style="126" bestFit="1" customWidth="1"/>
    <col min="14" max="14" width="22.1796875" bestFit="1" customWidth="1"/>
    <col min="15" max="15" width="14.453125" bestFit="1" customWidth="1"/>
  </cols>
  <sheetData>
    <row r="2" spans="2:14" ht="15" hidden="1" thickBot="1">
      <c r="B2" s="31"/>
      <c r="C2" s="31"/>
      <c r="D2" s="39"/>
      <c r="E2" s="22"/>
      <c r="F2" s="40"/>
      <c r="G2" s="40"/>
      <c r="H2" s="123"/>
      <c r="I2" s="40"/>
      <c r="J2" s="40"/>
      <c r="K2" s="48"/>
      <c r="L2" s="31"/>
      <c r="M2" s="124"/>
      <c r="N2" s="127"/>
    </row>
    <row r="3" spans="2:14" hidden="1">
      <c r="B3" s="51"/>
      <c r="C3" s="51"/>
      <c r="D3" s="51"/>
      <c r="E3" s="51"/>
      <c r="F3" s="51"/>
      <c r="G3" s="51"/>
      <c r="H3" s="51"/>
      <c r="I3" s="51"/>
      <c r="J3" s="51"/>
      <c r="K3" s="51"/>
      <c r="L3" s="31"/>
      <c r="M3" s="125"/>
      <c r="N3" s="128"/>
    </row>
    <row r="4" spans="2:14" ht="18.5" hidden="1">
      <c r="B4" s="426" t="s">
        <v>271</v>
      </c>
      <c r="C4" s="426"/>
      <c r="D4" s="426"/>
      <c r="E4" s="426"/>
      <c r="F4" s="426"/>
      <c r="G4" s="426"/>
      <c r="H4" s="426"/>
      <c r="I4" s="426"/>
      <c r="J4" s="426"/>
      <c r="K4" s="426"/>
      <c r="L4" s="427"/>
      <c r="M4" s="428"/>
      <c r="N4" s="428"/>
    </row>
    <row r="5" spans="2:14" ht="15" hidden="1" thickBot="1">
      <c r="B5" s="54" t="s">
        <v>20</v>
      </c>
      <c r="C5" s="54" t="s">
        <v>21</v>
      </c>
      <c r="D5" s="35" t="s">
        <v>72</v>
      </c>
      <c r="E5" s="38" t="s">
        <v>23</v>
      </c>
      <c r="F5" s="48" t="s">
        <v>109</v>
      </c>
      <c r="G5" s="48" t="s">
        <v>110</v>
      </c>
      <c r="H5" s="48"/>
      <c r="I5" s="54" t="s">
        <v>24</v>
      </c>
      <c r="J5" s="54"/>
      <c r="K5" s="50" t="s">
        <v>113</v>
      </c>
      <c r="L5" s="50" t="s">
        <v>114</v>
      </c>
      <c r="M5" s="429"/>
      <c r="N5" s="429"/>
    </row>
    <row r="6" spans="2:14" hidden="1">
      <c r="B6" s="138"/>
      <c r="C6" s="41"/>
      <c r="D6" s="26"/>
      <c r="E6" s="26"/>
      <c r="F6" s="40"/>
      <c r="G6" s="40"/>
      <c r="H6" s="40"/>
      <c r="I6" s="55"/>
      <c r="J6" s="55"/>
      <c r="K6" s="48"/>
      <c r="L6" s="31"/>
      <c r="M6" s="124"/>
      <c r="N6" s="124"/>
    </row>
    <row r="7" spans="2:14" hidden="1">
      <c r="B7" s="31"/>
      <c r="C7" s="40"/>
      <c r="D7" s="40"/>
      <c r="E7" s="40"/>
      <c r="F7" s="40"/>
      <c r="G7" s="40"/>
      <c r="H7" s="40"/>
      <c r="I7" s="53"/>
      <c r="J7" s="53"/>
      <c r="K7" s="48"/>
      <c r="L7" s="31"/>
      <c r="M7" s="125"/>
      <c r="N7" s="128">
        <f>SUM(N6:N6)</f>
        <v>0</v>
      </c>
    </row>
    <row r="8" spans="2:14" ht="18.5" hidden="1">
      <c r="B8" s="426" t="s">
        <v>120</v>
      </c>
      <c r="C8" s="426"/>
      <c r="D8" s="426"/>
      <c r="E8" s="426"/>
      <c r="F8" s="426"/>
      <c r="G8" s="426"/>
      <c r="H8" s="426"/>
      <c r="I8" s="426"/>
      <c r="J8" s="426"/>
      <c r="K8" s="426"/>
      <c r="L8" s="427"/>
      <c r="M8" s="428"/>
      <c r="N8" s="428"/>
    </row>
    <row r="9" spans="2:14" ht="15" hidden="1" thickBot="1">
      <c r="B9" s="54" t="s">
        <v>20</v>
      </c>
      <c r="C9" s="48" t="s">
        <v>21</v>
      </c>
      <c r="D9" s="35" t="s">
        <v>72</v>
      </c>
      <c r="E9" s="16" t="s">
        <v>23</v>
      </c>
      <c r="F9" s="48" t="s">
        <v>109</v>
      </c>
      <c r="G9" s="48" t="s">
        <v>110</v>
      </c>
      <c r="H9" s="48"/>
      <c r="I9" s="54" t="s">
        <v>24</v>
      </c>
      <c r="J9" s="54"/>
      <c r="K9" s="50" t="s">
        <v>113</v>
      </c>
      <c r="L9" s="50" t="s">
        <v>114</v>
      </c>
      <c r="M9" s="429"/>
      <c r="N9" s="429"/>
    </row>
    <row r="10" spans="2:14" ht="15" hidden="1" thickBot="1">
      <c r="B10" s="31"/>
      <c r="C10" s="43"/>
      <c r="D10" s="7"/>
      <c r="E10" s="22"/>
      <c r="F10" s="40"/>
      <c r="G10" s="40"/>
      <c r="H10" s="123"/>
      <c r="I10" s="40"/>
      <c r="J10" s="40"/>
      <c r="K10" s="48"/>
      <c r="L10" s="31"/>
      <c r="M10" s="124"/>
      <c r="N10" s="78"/>
    </row>
    <row r="11" spans="2:14" hidden="1">
      <c r="B11" s="31"/>
      <c r="C11" s="40"/>
      <c r="D11" s="7"/>
      <c r="E11" s="26"/>
      <c r="F11" s="40"/>
      <c r="G11" s="40"/>
      <c r="H11" s="123"/>
      <c r="I11" s="40"/>
      <c r="J11" s="40"/>
      <c r="K11" s="48"/>
      <c r="L11" s="31"/>
      <c r="M11" s="124"/>
      <c r="N11" s="78"/>
    </row>
    <row r="12" spans="2:14" hidden="1">
      <c r="B12" s="51"/>
      <c r="C12" s="51"/>
      <c r="D12" s="51"/>
      <c r="E12" s="51"/>
      <c r="F12" s="51"/>
      <c r="G12" s="51"/>
      <c r="H12" s="51"/>
      <c r="I12" s="51"/>
      <c r="J12" s="51"/>
      <c r="K12" s="51"/>
      <c r="L12" s="31"/>
      <c r="M12" s="125"/>
      <c r="N12" s="129">
        <f>SUM(N10:N11)</f>
        <v>0</v>
      </c>
    </row>
    <row r="13" spans="2:14" ht="18.5" hidden="1">
      <c r="B13" s="426" t="s">
        <v>254</v>
      </c>
      <c r="C13" s="426"/>
      <c r="D13" s="426"/>
      <c r="E13" s="426"/>
      <c r="F13" s="426"/>
      <c r="G13" s="426"/>
      <c r="H13" s="426"/>
      <c r="I13" s="426"/>
      <c r="J13" s="426"/>
      <c r="K13" s="426"/>
      <c r="L13" s="427"/>
      <c r="M13" s="428"/>
      <c r="N13" s="428"/>
    </row>
    <row r="14" spans="2:14" hidden="1">
      <c r="B14" s="49" t="s">
        <v>20</v>
      </c>
      <c r="C14" s="48" t="s">
        <v>21</v>
      </c>
      <c r="D14" s="16" t="s">
        <v>22</v>
      </c>
      <c r="E14" s="16" t="s">
        <v>23</v>
      </c>
      <c r="F14" s="48" t="s">
        <v>109</v>
      </c>
      <c r="G14" s="48" t="s">
        <v>110</v>
      </c>
      <c r="H14" s="48"/>
      <c r="I14" s="48" t="s">
        <v>24</v>
      </c>
      <c r="J14" s="48"/>
      <c r="K14" s="50" t="s">
        <v>113</v>
      </c>
      <c r="L14" s="50" t="s">
        <v>114</v>
      </c>
      <c r="M14" s="429"/>
      <c r="N14" s="429"/>
    </row>
    <row r="15" spans="2:14" ht="28" hidden="1" customHeight="1">
      <c r="B15" s="31"/>
      <c r="C15" s="40"/>
      <c r="D15" s="7"/>
      <c r="E15" s="22"/>
      <c r="F15" s="40"/>
      <c r="G15" s="40"/>
      <c r="H15" s="40"/>
      <c r="I15" s="55"/>
      <c r="J15" s="55"/>
      <c r="K15" s="48"/>
      <c r="L15" s="31"/>
      <c r="M15" s="124"/>
      <c r="N15" s="124"/>
    </row>
    <row r="16" spans="2:14" hidden="1">
      <c r="B16" s="51"/>
      <c r="C16" s="51"/>
      <c r="D16" s="51"/>
      <c r="E16" s="51"/>
      <c r="F16" s="51"/>
      <c r="G16" s="51"/>
      <c r="H16" s="51"/>
      <c r="I16" s="51"/>
      <c r="J16" s="51"/>
      <c r="K16" s="51"/>
      <c r="L16" s="31"/>
      <c r="M16" s="125"/>
      <c r="N16" s="128">
        <f>SUM(N15:N15)</f>
        <v>0</v>
      </c>
    </row>
    <row r="17" spans="2:16" ht="21">
      <c r="B17" s="488" t="s">
        <v>154</v>
      </c>
      <c r="C17" s="488"/>
      <c r="D17" s="488"/>
      <c r="E17" s="488"/>
      <c r="F17" s="488"/>
      <c r="G17" s="488"/>
      <c r="H17" s="488"/>
      <c r="I17" s="488"/>
      <c r="J17" s="488"/>
      <c r="K17" s="488"/>
      <c r="L17" s="488"/>
      <c r="M17" s="489"/>
      <c r="N17" s="489"/>
    </row>
    <row r="18" spans="2:16" ht="30.75" customHeight="1">
      <c r="B18" s="146" t="s">
        <v>20</v>
      </c>
      <c r="C18" s="147" t="s">
        <v>21</v>
      </c>
      <c r="D18" s="167" t="s">
        <v>104</v>
      </c>
      <c r="E18" s="167" t="s">
        <v>108</v>
      </c>
      <c r="F18" s="147" t="s">
        <v>109</v>
      </c>
      <c r="G18" s="147" t="s">
        <v>110</v>
      </c>
      <c r="H18" s="148" t="s">
        <v>111</v>
      </c>
      <c r="I18" s="147" t="s">
        <v>155</v>
      </c>
      <c r="J18" s="305" t="s">
        <v>112</v>
      </c>
      <c r="K18" s="148" t="s">
        <v>113</v>
      </c>
      <c r="L18" s="148" t="s">
        <v>114</v>
      </c>
      <c r="M18" s="216" t="s">
        <v>115</v>
      </c>
      <c r="N18" s="217" t="s">
        <v>116</v>
      </c>
    </row>
    <row r="19" spans="2:16" ht="54.75" customHeight="1">
      <c r="B19" s="483" t="s">
        <v>272</v>
      </c>
      <c r="C19" s="149" t="s">
        <v>273</v>
      </c>
      <c r="D19" s="150" t="s">
        <v>274</v>
      </c>
      <c r="E19" s="150" t="s">
        <v>275</v>
      </c>
      <c r="F19" s="151" t="s">
        <v>117</v>
      </c>
      <c r="G19" s="151" t="s">
        <v>118</v>
      </c>
      <c r="H19" s="151" t="s">
        <v>119</v>
      </c>
      <c r="I19" s="155" t="s">
        <v>276</v>
      </c>
      <c r="J19" s="303" t="s">
        <v>277</v>
      </c>
      <c r="K19" s="154">
        <v>1</v>
      </c>
      <c r="L19" s="155">
        <v>24</v>
      </c>
      <c r="M19" s="203">
        <f>VLOOKUP(H19,TPU!$A$9:$G$106,4)</f>
        <v>46576.570979999997</v>
      </c>
      <c r="N19" s="203">
        <f t="shared" ref="N19:N29" si="0">K19*L19*M19</f>
        <v>1117837.70352</v>
      </c>
    </row>
    <row r="20" spans="2:16" ht="54.75" customHeight="1">
      <c r="B20" s="483"/>
      <c r="C20" s="482" t="s">
        <v>278</v>
      </c>
      <c r="D20" s="484" t="s">
        <v>279</v>
      </c>
      <c r="E20" s="484" t="s">
        <v>280</v>
      </c>
      <c r="F20" s="478" t="s">
        <v>117</v>
      </c>
      <c r="G20" s="478" t="s">
        <v>118</v>
      </c>
      <c r="H20" s="151" t="s">
        <v>161</v>
      </c>
      <c r="I20" s="155" t="s">
        <v>162</v>
      </c>
      <c r="J20" s="303" t="s">
        <v>281</v>
      </c>
      <c r="K20" s="154">
        <v>2</v>
      </c>
      <c r="L20" s="155">
        <v>24</v>
      </c>
      <c r="M20" s="203">
        <f>VLOOKUP(H20,TPU!$A$9:$G$106,4)</f>
        <v>29276.858339999999</v>
      </c>
      <c r="N20" s="203">
        <f t="shared" si="0"/>
        <v>1405289.2003199998</v>
      </c>
    </row>
    <row r="21" spans="2:16" ht="54.75" customHeight="1">
      <c r="B21" s="483"/>
      <c r="C21" s="482"/>
      <c r="D21" s="484"/>
      <c r="E21" s="484"/>
      <c r="F21" s="478"/>
      <c r="G21" s="478"/>
      <c r="H21" s="151" t="s">
        <v>164</v>
      </c>
      <c r="I21" s="155" t="s">
        <v>165</v>
      </c>
      <c r="J21" s="303" t="s">
        <v>282</v>
      </c>
      <c r="K21" s="154">
        <v>1</v>
      </c>
      <c r="L21" s="155">
        <v>24</v>
      </c>
      <c r="M21" s="203">
        <f>VLOOKUP(H21,TPU!$A$9:$G$106,4)</f>
        <v>28428.388920000001</v>
      </c>
      <c r="N21" s="203">
        <f t="shared" si="0"/>
        <v>682281.33408000006</v>
      </c>
    </row>
    <row r="22" spans="2:16" ht="54.75" customHeight="1">
      <c r="B22" s="483"/>
      <c r="C22" s="482"/>
      <c r="D22" s="484"/>
      <c r="E22" s="484"/>
      <c r="F22" s="478"/>
      <c r="G22" s="478"/>
      <c r="H22" s="151" t="s">
        <v>167</v>
      </c>
      <c r="I22" s="155" t="s">
        <v>168</v>
      </c>
      <c r="J22" s="303" t="s">
        <v>283</v>
      </c>
      <c r="K22" s="154">
        <v>1</v>
      </c>
      <c r="L22" s="155">
        <v>24</v>
      </c>
      <c r="M22" s="203">
        <f>VLOOKUP(H22,TPU!$A$9:$G$106,4)</f>
        <v>40624.083059999997</v>
      </c>
      <c r="N22" s="203">
        <f t="shared" si="0"/>
        <v>974977.99343999987</v>
      </c>
    </row>
    <row r="23" spans="2:16" ht="54.75" customHeight="1">
      <c r="B23" s="483"/>
      <c r="C23" s="418"/>
      <c r="D23" s="418"/>
      <c r="E23" s="484"/>
      <c r="F23" s="478"/>
      <c r="G23" s="478"/>
      <c r="H23" s="151" t="s">
        <v>170</v>
      </c>
      <c r="I23" s="155" t="s">
        <v>171</v>
      </c>
      <c r="J23" s="303" t="s">
        <v>172</v>
      </c>
      <c r="K23" s="154">
        <v>1</v>
      </c>
      <c r="L23" s="155">
        <v>24</v>
      </c>
      <c r="M23" s="203">
        <f>VLOOKUP(H23,TPU!$A$9:$G$106,4)</f>
        <v>25699.020540000001</v>
      </c>
      <c r="N23" s="203">
        <f t="shared" si="0"/>
        <v>616776.49296000006</v>
      </c>
    </row>
    <row r="24" spans="2:16" ht="54.75" customHeight="1">
      <c r="B24" s="491" t="s">
        <v>284</v>
      </c>
      <c r="C24" s="490" t="s">
        <v>285</v>
      </c>
      <c r="D24" s="475" t="s">
        <v>286</v>
      </c>
      <c r="E24" s="480" t="s">
        <v>287</v>
      </c>
      <c r="F24" s="479" t="s">
        <v>117</v>
      </c>
      <c r="G24" s="479" t="s">
        <v>118</v>
      </c>
      <c r="H24" s="300" t="s">
        <v>167</v>
      </c>
      <c r="I24" s="302" t="s">
        <v>178</v>
      </c>
      <c r="J24" s="304" t="s">
        <v>288</v>
      </c>
      <c r="K24" s="159">
        <v>1</v>
      </c>
      <c r="L24" s="302">
        <v>24</v>
      </c>
      <c r="M24" s="205">
        <f>VLOOKUP(H24,TPU!$A$9:$G$106,4)</f>
        <v>40624.083059999997</v>
      </c>
      <c r="N24" s="205">
        <f>K24*L24*M24</f>
        <v>974977.99343999987</v>
      </c>
    </row>
    <row r="25" spans="2:16" ht="54.75" customHeight="1">
      <c r="B25" s="491"/>
      <c r="C25" s="490"/>
      <c r="D25" s="475"/>
      <c r="E25" s="480"/>
      <c r="F25" s="479"/>
      <c r="G25" s="479"/>
      <c r="H25" s="300" t="s">
        <v>167</v>
      </c>
      <c r="I25" s="302" t="s">
        <v>180</v>
      </c>
      <c r="J25" s="304" t="s">
        <v>181</v>
      </c>
      <c r="K25" s="159">
        <v>1</v>
      </c>
      <c r="L25" s="302">
        <v>24</v>
      </c>
      <c r="M25" s="205">
        <f>VLOOKUP(H25,TPU!$A$9:$G$106,4)</f>
        <v>40624.083059999997</v>
      </c>
      <c r="N25" s="205">
        <f t="shared" si="0"/>
        <v>974977.99343999987</v>
      </c>
    </row>
    <row r="26" spans="2:16" ht="54.75" customHeight="1">
      <c r="B26" s="491"/>
      <c r="C26" s="490"/>
      <c r="D26" s="475"/>
      <c r="E26" s="480"/>
      <c r="F26" s="479"/>
      <c r="G26" s="479"/>
      <c r="H26" s="300" t="s">
        <v>182</v>
      </c>
      <c r="I26" s="302" t="s">
        <v>183</v>
      </c>
      <c r="J26" s="304" t="s">
        <v>289</v>
      </c>
      <c r="K26" s="159">
        <v>1</v>
      </c>
      <c r="L26" s="302">
        <v>24</v>
      </c>
      <c r="M26" s="205">
        <f>VLOOKUP(H26,TPU!$A$9:$G$106,4)</f>
        <v>25049.607480000002</v>
      </c>
      <c r="N26" s="205">
        <f t="shared" si="0"/>
        <v>601190.57952000003</v>
      </c>
    </row>
    <row r="27" spans="2:16" ht="54.75" customHeight="1">
      <c r="B27" s="476" t="s">
        <v>290</v>
      </c>
      <c r="C27" s="482" t="s">
        <v>291</v>
      </c>
      <c r="D27" s="476" t="s">
        <v>292</v>
      </c>
      <c r="E27" s="477" t="s">
        <v>293</v>
      </c>
      <c r="F27" s="478" t="s">
        <v>117</v>
      </c>
      <c r="G27" s="478" t="s">
        <v>118</v>
      </c>
      <c r="H27" s="301" t="s">
        <v>167</v>
      </c>
      <c r="I27" s="155" t="s">
        <v>190</v>
      </c>
      <c r="J27" s="303" t="s">
        <v>294</v>
      </c>
      <c r="K27" s="154">
        <v>1</v>
      </c>
      <c r="L27" s="155">
        <v>24</v>
      </c>
      <c r="M27" s="203">
        <f>VLOOKUP(H27,TPU!$A$9:$G$106,4)</f>
        <v>40624.083059999997</v>
      </c>
      <c r="N27" s="203">
        <f t="shared" si="0"/>
        <v>974977.99343999987</v>
      </c>
    </row>
    <row r="28" spans="2:16" ht="54.75" customHeight="1">
      <c r="B28" s="476"/>
      <c r="C28" s="482"/>
      <c r="D28" s="476"/>
      <c r="E28" s="477"/>
      <c r="F28" s="478"/>
      <c r="G28" s="478"/>
      <c r="H28" s="301" t="s">
        <v>167</v>
      </c>
      <c r="I28" s="155" t="s">
        <v>192</v>
      </c>
      <c r="J28" s="303" t="s">
        <v>295</v>
      </c>
      <c r="K28" s="154">
        <v>1</v>
      </c>
      <c r="L28" s="155">
        <v>24</v>
      </c>
      <c r="M28" s="203">
        <f>VLOOKUP(H28,TPU!$A$9:$G$106,4)</f>
        <v>40624.083059999997</v>
      </c>
      <c r="N28" s="203">
        <f t="shared" si="0"/>
        <v>974977.99343999987</v>
      </c>
    </row>
    <row r="29" spans="2:16" ht="54.75" customHeight="1">
      <c r="B29" s="476"/>
      <c r="C29" s="482"/>
      <c r="D29" s="476"/>
      <c r="E29" s="477"/>
      <c r="F29" s="478"/>
      <c r="G29" s="478"/>
      <c r="H29" s="301" t="s">
        <v>167</v>
      </c>
      <c r="I29" s="155" t="s">
        <v>194</v>
      </c>
      <c r="J29" s="303" t="s">
        <v>296</v>
      </c>
      <c r="K29" s="154">
        <v>1</v>
      </c>
      <c r="L29" s="155">
        <v>24</v>
      </c>
      <c r="M29" s="203">
        <f>VLOOKUP(H29,TPU!$A$9:$G$106,4)</f>
        <v>40624.083059999997</v>
      </c>
      <c r="N29" s="203">
        <f t="shared" si="0"/>
        <v>974977.99343999987</v>
      </c>
    </row>
    <row r="30" spans="2:16" ht="15" customHeight="1">
      <c r="B30" s="210"/>
      <c r="C30" s="211"/>
      <c r="D30" s="212"/>
      <c r="E30" s="213"/>
      <c r="F30" s="214"/>
      <c r="G30" s="214"/>
      <c r="H30" s="215"/>
      <c r="I30" s="473" t="s">
        <v>196</v>
      </c>
      <c r="J30" s="473"/>
      <c r="K30" s="473"/>
      <c r="L30" s="473"/>
      <c r="M30" s="209"/>
      <c r="N30" s="209">
        <f>SUM(N19:N29)</f>
        <v>10273243.271040002</v>
      </c>
    </row>
    <row r="31" spans="2:16" ht="19.5" customHeight="1">
      <c r="B31" s="9"/>
      <c r="C31" s="9"/>
      <c r="D31" s="9"/>
      <c r="E31" s="9"/>
      <c r="F31" s="9"/>
      <c r="G31" s="9"/>
      <c r="H31" s="9"/>
      <c r="I31" s="9"/>
      <c r="J31" s="9"/>
    </row>
    <row r="32" spans="2:16" ht="18.5">
      <c r="B32" s="456" t="s">
        <v>197</v>
      </c>
      <c r="C32" s="456"/>
      <c r="D32" s="456"/>
      <c r="E32" s="456"/>
      <c r="F32" s="456"/>
      <c r="G32" s="456"/>
      <c r="H32" s="456"/>
      <c r="I32" s="456"/>
      <c r="J32" s="456"/>
      <c r="K32" s="456"/>
      <c r="L32" s="457"/>
      <c r="M32" s="458"/>
      <c r="N32" s="458"/>
      <c r="O32" s="56"/>
      <c r="P32" s="56"/>
    </row>
    <row r="33" spans="2:16" s="201" customFormat="1" ht="31">
      <c r="B33" s="192" t="s">
        <v>20</v>
      </c>
      <c r="C33" s="132" t="s">
        <v>21</v>
      </c>
      <c r="D33" s="79" t="s">
        <v>22</v>
      </c>
      <c r="E33" s="79" t="s">
        <v>23</v>
      </c>
      <c r="F33" s="132" t="s">
        <v>109</v>
      </c>
      <c r="G33" s="132" t="s">
        <v>110</v>
      </c>
      <c r="H33" s="132"/>
      <c r="I33" s="193" t="s">
        <v>24</v>
      </c>
      <c r="J33" s="193"/>
      <c r="K33" s="194" t="s">
        <v>113</v>
      </c>
      <c r="L33" s="194"/>
      <c r="M33" s="216" t="s">
        <v>198</v>
      </c>
      <c r="N33" s="217" t="s">
        <v>116</v>
      </c>
      <c r="O33" s="200"/>
      <c r="P33" s="200"/>
    </row>
    <row r="34" spans="2:16" ht="61.5" customHeight="1">
      <c r="B34" s="169" t="s">
        <v>297</v>
      </c>
      <c r="C34" s="149" t="s">
        <v>200</v>
      </c>
      <c r="D34" s="197" t="s">
        <v>201</v>
      </c>
      <c r="E34" s="187" t="s">
        <v>202</v>
      </c>
      <c r="F34" s="152" t="s">
        <v>117</v>
      </c>
      <c r="G34" s="188" t="s">
        <v>203</v>
      </c>
      <c r="H34" s="197"/>
      <c r="I34" s="175" t="s">
        <v>259</v>
      </c>
      <c r="J34" s="175"/>
      <c r="K34" s="197">
        <v>180</v>
      </c>
      <c r="L34" s="188"/>
      <c r="M34" s="202">
        <f>TPU!$D$128</f>
        <v>381</v>
      </c>
      <c r="N34" s="203">
        <f>K34*M34</f>
        <v>68580</v>
      </c>
    </row>
    <row r="35" spans="2:16" ht="61.5" customHeight="1">
      <c r="B35" s="156" t="s">
        <v>284</v>
      </c>
      <c r="C35" s="189" t="s">
        <v>200</v>
      </c>
      <c r="D35" s="141" t="s">
        <v>201</v>
      </c>
      <c r="E35" s="190" t="s">
        <v>202</v>
      </c>
      <c r="F35" s="195" t="s">
        <v>117</v>
      </c>
      <c r="G35" s="191" t="s">
        <v>203</v>
      </c>
      <c r="H35" s="198"/>
      <c r="I35" s="172" t="s">
        <v>259</v>
      </c>
      <c r="J35" s="172"/>
      <c r="K35" s="198">
        <v>120</v>
      </c>
      <c r="L35" s="191"/>
      <c r="M35" s="202">
        <f>TPU!$D$128</f>
        <v>381</v>
      </c>
      <c r="N35" s="205">
        <f>K35*M35</f>
        <v>45720</v>
      </c>
    </row>
    <row r="36" spans="2:16" ht="61.5" customHeight="1">
      <c r="B36" s="168" t="s">
        <v>290</v>
      </c>
      <c r="C36" s="149" t="s">
        <v>200</v>
      </c>
      <c r="D36" s="199" t="s">
        <v>201</v>
      </c>
      <c r="E36" s="187" t="s">
        <v>202</v>
      </c>
      <c r="F36" s="152" t="s">
        <v>117</v>
      </c>
      <c r="G36" s="188" t="s">
        <v>203</v>
      </c>
      <c r="H36" s="197"/>
      <c r="I36" s="175" t="s">
        <v>259</v>
      </c>
      <c r="J36" s="175"/>
      <c r="K36" s="197">
        <v>120</v>
      </c>
      <c r="L36" s="188"/>
      <c r="M36" s="202">
        <f>TPU!$D$128</f>
        <v>381</v>
      </c>
      <c r="N36" s="203">
        <f>K36*M36</f>
        <v>45720</v>
      </c>
    </row>
    <row r="37" spans="2:16" s="201" customFormat="1" ht="31">
      <c r="B37" s="192" t="s">
        <v>20</v>
      </c>
      <c r="C37" s="132" t="s">
        <v>21</v>
      </c>
      <c r="D37" s="79" t="s">
        <v>22</v>
      </c>
      <c r="E37" s="79" t="s">
        <v>23</v>
      </c>
      <c r="F37" s="132" t="s">
        <v>109</v>
      </c>
      <c r="G37" s="132" t="s">
        <v>110</v>
      </c>
      <c r="H37" s="132"/>
      <c r="I37" s="193" t="s">
        <v>24</v>
      </c>
      <c r="J37" s="193"/>
      <c r="K37" s="194" t="s">
        <v>113</v>
      </c>
      <c r="L37" s="194"/>
      <c r="M37" s="216" t="s">
        <v>298</v>
      </c>
      <c r="N37" s="217" t="s">
        <v>116</v>
      </c>
      <c r="O37" s="200"/>
      <c r="P37" s="200"/>
    </row>
    <row r="38" spans="2:16" ht="61.5" customHeight="1">
      <c r="B38" s="169" t="s">
        <v>297</v>
      </c>
      <c r="C38" s="149" t="s">
        <v>205</v>
      </c>
      <c r="D38" s="197" t="s">
        <v>201</v>
      </c>
      <c r="E38" s="187" t="s">
        <v>299</v>
      </c>
      <c r="F38" s="152" t="s">
        <v>117</v>
      </c>
      <c r="G38" s="188" t="s">
        <v>207</v>
      </c>
      <c r="H38" s="197"/>
      <c r="I38" s="175" t="s">
        <v>259</v>
      </c>
      <c r="J38" s="175"/>
      <c r="K38" s="197">
        <v>72</v>
      </c>
      <c r="L38" s="188"/>
      <c r="M38" s="202">
        <v>1300</v>
      </c>
      <c r="N38" s="203">
        <f>K38*M38</f>
        <v>93600</v>
      </c>
    </row>
    <row r="39" spans="2:16" ht="61.5" customHeight="1">
      <c r="B39" s="156" t="s">
        <v>284</v>
      </c>
      <c r="C39" s="189" t="s">
        <v>205</v>
      </c>
      <c r="D39" s="141" t="s">
        <v>201</v>
      </c>
      <c r="E39" s="190" t="s">
        <v>299</v>
      </c>
      <c r="F39" s="195" t="s">
        <v>117</v>
      </c>
      <c r="G39" s="191" t="s">
        <v>207</v>
      </c>
      <c r="H39" s="198"/>
      <c r="I39" s="172" t="s">
        <v>259</v>
      </c>
      <c r="J39" s="172"/>
      <c r="K39" s="198">
        <v>48</v>
      </c>
      <c r="L39" s="191"/>
      <c r="M39" s="204">
        <v>1300</v>
      </c>
      <c r="N39" s="205">
        <f>K39*M39</f>
        <v>62400</v>
      </c>
    </row>
    <row r="40" spans="2:16" ht="61.5" customHeight="1">
      <c r="B40" s="168" t="s">
        <v>290</v>
      </c>
      <c r="C40" s="149" t="s">
        <v>205</v>
      </c>
      <c r="D40" s="199" t="s">
        <v>201</v>
      </c>
      <c r="E40" s="187" t="s">
        <v>299</v>
      </c>
      <c r="F40" s="152" t="s">
        <v>117</v>
      </c>
      <c r="G40" s="188" t="s">
        <v>207</v>
      </c>
      <c r="H40" s="197"/>
      <c r="I40" s="175" t="s">
        <v>259</v>
      </c>
      <c r="J40" s="175"/>
      <c r="K40" s="197">
        <v>48</v>
      </c>
      <c r="L40" s="188"/>
      <c r="M40" s="202">
        <v>1300</v>
      </c>
      <c r="N40" s="203">
        <f>K40*M40</f>
        <v>62400</v>
      </c>
    </row>
    <row r="41" spans="2:16">
      <c r="B41" s="210"/>
      <c r="C41" s="211"/>
      <c r="D41" s="212"/>
      <c r="E41" s="213"/>
      <c r="F41" s="214"/>
      <c r="G41" s="214"/>
      <c r="H41" s="215"/>
      <c r="I41" s="481" t="s">
        <v>300</v>
      </c>
      <c r="J41" s="481"/>
      <c r="K41" s="481"/>
      <c r="L41" s="481"/>
      <c r="M41" s="209"/>
      <c r="N41" s="209">
        <f>SUM(N34:N40)</f>
        <v>378420</v>
      </c>
    </row>
    <row r="43" spans="2:16" ht="18.5">
      <c r="B43" s="456" t="s">
        <v>261</v>
      </c>
      <c r="C43" s="456"/>
      <c r="D43" s="456"/>
      <c r="E43" s="456"/>
      <c r="F43" s="456"/>
      <c r="G43" s="456"/>
      <c r="H43" s="456"/>
      <c r="I43" s="456"/>
      <c r="J43" s="456"/>
      <c r="K43" s="456"/>
      <c r="L43" s="457"/>
      <c r="M43" s="458"/>
      <c r="N43" s="458"/>
    </row>
    <row r="44" spans="2:16" s="201" customFormat="1" ht="31">
      <c r="B44" s="192" t="s">
        <v>20</v>
      </c>
      <c r="C44" s="132" t="s">
        <v>21</v>
      </c>
      <c r="D44" s="492" t="s">
        <v>108</v>
      </c>
      <c r="E44" s="493"/>
      <c r="F44" s="494"/>
      <c r="G44" s="132" t="s">
        <v>110</v>
      </c>
      <c r="H44" s="148" t="s">
        <v>111</v>
      </c>
      <c r="I44" s="193" t="s">
        <v>211</v>
      </c>
      <c r="J44" s="193"/>
      <c r="K44" s="194" t="s">
        <v>113</v>
      </c>
      <c r="L44" s="148" t="s">
        <v>114</v>
      </c>
      <c r="M44" s="216" t="s">
        <v>212</v>
      </c>
      <c r="N44" s="217" t="s">
        <v>116</v>
      </c>
      <c r="O44" s="200"/>
      <c r="P44" s="200"/>
    </row>
    <row r="45" spans="2:16" ht="41.25" customHeight="1">
      <c r="B45" s="485" t="s">
        <v>297</v>
      </c>
      <c r="C45" s="170" t="s">
        <v>262</v>
      </c>
      <c r="D45" s="496" t="s">
        <v>301</v>
      </c>
      <c r="E45" s="496"/>
      <c r="F45" s="496"/>
      <c r="G45" s="140" t="s">
        <v>264</v>
      </c>
      <c r="H45" s="145" t="s">
        <v>265</v>
      </c>
      <c r="I45" s="139" t="s">
        <v>266</v>
      </c>
      <c r="J45" s="139"/>
      <c r="K45" s="197">
        <f>((57.95/2)+4.5*(COUNTIF(H19:H23,"P8"&amp;"*")))*AVERAGEIF(H19:H23,"P8"&amp;"*",K19:K23)</f>
        <v>61.769999999999996</v>
      </c>
      <c r="L45" s="188">
        <v>24</v>
      </c>
      <c r="M45" s="202">
        <f>_xlfn.XLOOKUP(H45,TPU!A:A,TPU!D:D,,0)</f>
        <v>68.670540000000003</v>
      </c>
      <c r="N45" s="203">
        <f t="shared" ref="N45:N53" si="1">M45*L45*K45</f>
        <v>101802.70213919999</v>
      </c>
    </row>
    <row r="46" spans="2:16" ht="41.25" customHeight="1">
      <c r="B46" s="485"/>
      <c r="C46" s="170" t="s">
        <v>263</v>
      </c>
      <c r="D46" s="496"/>
      <c r="E46" s="496"/>
      <c r="F46" s="496"/>
      <c r="G46" s="140" t="s">
        <v>267</v>
      </c>
      <c r="H46" s="145" t="s">
        <v>268</v>
      </c>
      <c r="I46" s="139" t="s">
        <v>263</v>
      </c>
      <c r="J46" s="139"/>
      <c r="K46" s="197">
        <f>COUNTIF(H19:H23,"P8"&amp;"*")*AVERAGEIF(H19:H23,"P8"&amp;"*",K19:K23)</f>
        <v>6</v>
      </c>
      <c r="L46" s="188">
        <v>24</v>
      </c>
      <c r="M46" s="202">
        <f>_xlfn.XLOOKUP(H46,TPU!A:A,TPU!D:D,,0)</f>
        <v>713.76005999999995</v>
      </c>
      <c r="N46" s="203">
        <f t="shared" si="1"/>
        <v>102781.44863999999</v>
      </c>
    </row>
    <row r="47" spans="2:16" ht="41.25" customHeight="1">
      <c r="B47" s="485"/>
      <c r="C47" s="170" t="s">
        <v>262</v>
      </c>
      <c r="D47" s="496"/>
      <c r="E47" s="496"/>
      <c r="F47" s="496"/>
      <c r="G47" s="140" t="s">
        <v>267</v>
      </c>
      <c r="H47" s="145" t="s">
        <v>269</v>
      </c>
      <c r="I47" s="139" t="s">
        <v>270</v>
      </c>
      <c r="J47" s="139"/>
      <c r="K47" s="197">
        <f>COUNTIF(H19:H23,"P8"&amp;"*")*AVERAGEIF(H19:H23,"P8"&amp;"*",K19:K23)</f>
        <v>6</v>
      </c>
      <c r="L47" s="188">
        <v>24</v>
      </c>
      <c r="M47" s="202">
        <f>_xlfn.XLOOKUP(H47,TPU!A:A,TPU!D:D,,0)</f>
        <v>191.05998</v>
      </c>
      <c r="N47" s="203">
        <f t="shared" si="1"/>
        <v>27512.637119999999</v>
      </c>
    </row>
    <row r="48" spans="2:16" ht="41.25" customHeight="1">
      <c r="B48" s="487" t="s">
        <v>284</v>
      </c>
      <c r="C48" s="181" t="s">
        <v>262</v>
      </c>
      <c r="D48" s="497" t="s">
        <v>302</v>
      </c>
      <c r="E48" s="497"/>
      <c r="F48" s="497"/>
      <c r="G48" s="142" t="s">
        <v>264</v>
      </c>
      <c r="H48" s="143" t="s">
        <v>265</v>
      </c>
      <c r="I48" s="144" t="s">
        <v>266</v>
      </c>
      <c r="J48" s="144"/>
      <c r="K48" s="198">
        <f>((57.95/2)+4.5*(COUNTIF(H24:H26,"P8"&amp;"*")))*AVERAGEIF(H24:H26,"P8"&amp;"*",K24:K26)</f>
        <v>42.475000000000001</v>
      </c>
      <c r="L48" s="188">
        <v>24</v>
      </c>
      <c r="M48" s="204">
        <f>_xlfn.XLOOKUP(H48,TPU!A:A,TPU!D:D,,0)</f>
        <v>68.670540000000003</v>
      </c>
      <c r="N48" s="205">
        <f t="shared" si="1"/>
        <v>70002.748475999993</v>
      </c>
    </row>
    <row r="49" spans="2:16" ht="41.25" customHeight="1">
      <c r="B49" s="487"/>
      <c r="C49" s="181" t="s">
        <v>263</v>
      </c>
      <c r="D49" s="497"/>
      <c r="E49" s="497"/>
      <c r="F49" s="497"/>
      <c r="G49" s="142" t="s">
        <v>267</v>
      </c>
      <c r="H49" s="143" t="s">
        <v>268</v>
      </c>
      <c r="I49" s="144" t="s">
        <v>263</v>
      </c>
      <c r="J49" s="144"/>
      <c r="K49" s="198">
        <f>COUNTIF(H24:H26,"P8"&amp;"*")*AVERAGEIF(H24:H26,"P8"&amp;"*",K24:K26)</f>
        <v>3</v>
      </c>
      <c r="L49" s="188">
        <v>24</v>
      </c>
      <c r="M49" s="204">
        <f>_xlfn.XLOOKUP(H49,TPU!A:A,TPU!D:D,,0)</f>
        <v>713.76005999999995</v>
      </c>
      <c r="N49" s="205">
        <f t="shared" si="1"/>
        <v>51390.724319999994</v>
      </c>
    </row>
    <row r="50" spans="2:16" ht="41.25" customHeight="1">
      <c r="B50" s="487"/>
      <c r="C50" s="181" t="s">
        <v>262</v>
      </c>
      <c r="D50" s="497"/>
      <c r="E50" s="497"/>
      <c r="F50" s="497"/>
      <c r="G50" s="142" t="s">
        <v>267</v>
      </c>
      <c r="H50" s="143" t="s">
        <v>269</v>
      </c>
      <c r="I50" s="144" t="s">
        <v>270</v>
      </c>
      <c r="J50" s="144"/>
      <c r="K50" s="198">
        <f>COUNTIF(H24:H26,"P8"&amp;"*")*AVERAGEIF(H24:H26,"P8"&amp;"*",K24:K26)</f>
        <v>3</v>
      </c>
      <c r="L50" s="188">
        <v>24</v>
      </c>
      <c r="M50" s="204">
        <f>_xlfn.XLOOKUP(H50,TPU!A:A,TPU!D:D,,0)</f>
        <v>191.05998</v>
      </c>
      <c r="N50" s="205">
        <f t="shared" si="1"/>
        <v>13756.31856</v>
      </c>
    </row>
    <row r="51" spans="2:16" ht="41.25" customHeight="1">
      <c r="B51" s="485" t="s">
        <v>290</v>
      </c>
      <c r="C51" s="170" t="s">
        <v>262</v>
      </c>
      <c r="D51" s="496" t="s">
        <v>303</v>
      </c>
      <c r="E51" s="496"/>
      <c r="F51" s="496"/>
      <c r="G51" s="140" t="s">
        <v>264</v>
      </c>
      <c r="H51" s="145" t="s">
        <v>265</v>
      </c>
      <c r="I51" s="139" t="s">
        <v>266</v>
      </c>
      <c r="J51" s="139"/>
      <c r="K51" s="197">
        <f>((57.95/2)+4.5*(COUNTIF(H27:H29,"P8"&amp;"*")))*AVERAGEIF(H27:H29,"P8"&amp;"*",K27:K29)</f>
        <v>42.475000000000001</v>
      </c>
      <c r="L51" s="188">
        <v>24</v>
      </c>
      <c r="M51" s="202">
        <f>_xlfn.XLOOKUP(H51,TPU!A:A,TPU!D:D,,0)</f>
        <v>68.670540000000003</v>
      </c>
      <c r="N51" s="203">
        <f t="shared" si="1"/>
        <v>70002.748475999993</v>
      </c>
    </row>
    <row r="52" spans="2:16" ht="41.25" customHeight="1">
      <c r="B52" s="485"/>
      <c r="C52" s="170" t="s">
        <v>263</v>
      </c>
      <c r="D52" s="496"/>
      <c r="E52" s="496"/>
      <c r="F52" s="496"/>
      <c r="G52" s="140" t="s">
        <v>267</v>
      </c>
      <c r="H52" s="145" t="s">
        <v>268</v>
      </c>
      <c r="I52" s="139" t="s">
        <v>263</v>
      </c>
      <c r="J52" s="139"/>
      <c r="K52" s="197">
        <f>COUNTIF(H27:H29,"P8"&amp;"*")*AVERAGEIF(H27:H29,"P8"&amp;"*",K27:K29)</f>
        <v>3</v>
      </c>
      <c r="L52" s="188">
        <v>24</v>
      </c>
      <c r="M52" s="202">
        <f>_xlfn.XLOOKUP(H52,TPU!A:A,TPU!D:D,,0)</f>
        <v>713.76005999999995</v>
      </c>
      <c r="N52" s="203">
        <f t="shared" si="1"/>
        <v>51390.724319999994</v>
      </c>
    </row>
    <row r="53" spans="2:16" ht="41.25" customHeight="1">
      <c r="B53" s="485"/>
      <c r="C53" s="170" t="s">
        <v>262</v>
      </c>
      <c r="D53" s="496"/>
      <c r="E53" s="496"/>
      <c r="F53" s="496"/>
      <c r="G53" s="140" t="s">
        <v>267</v>
      </c>
      <c r="H53" s="145" t="s">
        <v>269</v>
      </c>
      <c r="I53" s="139" t="s">
        <v>270</v>
      </c>
      <c r="J53" s="139"/>
      <c r="K53" s="197">
        <f>COUNTIF(H27:H29,"P8"&amp;"*")*AVERAGEIF(H27:H29,"P8"&amp;"*",K27:K29)</f>
        <v>3</v>
      </c>
      <c r="L53" s="188">
        <v>24</v>
      </c>
      <c r="M53" s="202">
        <f>_xlfn.XLOOKUP(H53,TPU!A:A,TPU!D:D,,0)</f>
        <v>191.05998</v>
      </c>
      <c r="N53" s="203">
        <f t="shared" si="1"/>
        <v>13756.31856</v>
      </c>
    </row>
    <row r="54" spans="2:16">
      <c r="B54" s="210"/>
      <c r="C54" s="211"/>
      <c r="D54" s="212"/>
      <c r="E54" s="213"/>
      <c r="F54" s="214"/>
      <c r="G54" s="214"/>
      <c r="H54" s="215"/>
      <c r="I54" s="474" t="s">
        <v>304</v>
      </c>
      <c r="J54" s="474"/>
      <c r="K54" s="474"/>
      <c r="L54" s="474" t="s">
        <v>305</v>
      </c>
      <c r="M54" s="209"/>
      <c r="N54" s="209">
        <f>SUM(N45:N53)</f>
        <v>502396.37061119988</v>
      </c>
      <c r="O54" s="275">
        <f>N54+supet1!N57</f>
        <v>928867.15476719989</v>
      </c>
    </row>
    <row r="56" spans="2:16" ht="18.5">
      <c r="B56" s="456" t="s">
        <v>209</v>
      </c>
      <c r="C56" s="456"/>
      <c r="D56" s="456"/>
      <c r="E56" s="456"/>
      <c r="F56" s="456"/>
      <c r="G56" s="456"/>
      <c r="H56" s="456"/>
      <c r="I56" s="456"/>
      <c r="J56" s="456"/>
      <c r="K56" s="456"/>
      <c r="L56" s="457"/>
      <c r="M56" s="458"/>
      <c r="N56" s="458"/>
    </row>
    <row r="57" spans="2:16" s="201" customFormat="1" ht="31">
      <c r="B57" s="192" t="s">
        <v>20</v>
      </c>
      <c r="C57" s="132" t="s">
        <v>21</v>
      </c>
      <c r="D57" s="492" t="s">
        <v>108</v>
      </c>
      <c r="E57" s="493"/>
      <c r="F57" s="493"/>
      <c r="G57" s="494"/>
      <c r="H57" s="148" t="s">
        <v>210</v>
      </c>
      <c r="I57" s="193" t="s">
        <v>211</v>
      </c>
      <c r="J57" s="193"/>
      <c r="K57" s="194" t="s">
        <v>113</v>
      </c>
      <c r="L57" s="148" t="s">
        <v>114</v>
      </c>
      <c r="M57" s="216" t="s">
        <v>212</v>
      </c>
      <c r="N57" s="217" t="s">
        <v>116</v>
      </c>
      <c r="O57" s="200"/>
      <c r="P57" s="200"/>
    </row>
    <row r="58" spans="2:16" ht="23.25" customHeight="1">
      <c r="B58" s="485" t="s">
        <v>297</v>
      </c>
      <c r="C58" s="174" t="s">
        <v>213</v>
      </c>
      <c r="D58" s="486" t="s">
        <v>306</v>
      </c>
      <c r="E58" s="486"/>
      <c r="F58" s="486"/>
      <c r="G58" s="486"/>
      <c r="H58" s="177" t="s">
        <v>215</v>
      </c>
      <c r="I58" s="174" t="str">
        <f>_xlfn.XLOOKUP(H58,TPU!A:A,TPU!B:B,,0)</f>
        <v>LICENÇA AUTODESK COLECTION (3 ANOS / USUÁRIO)</v>
      </c>
      <c r="J58" s="174"/>
      <c r="K58" s="175">
        <f>ROUND(K46*0.3,0)</f>
        <v>2</v>
      </c>
      <c r="L58" s="175">
        <v>24</v>
      </c>
      <c r="M58" s="176">
        <f>_xlfn.XLOOKUP(H58,TPU!A:A,TPU!D:D,,0)</f>
        <v>923.69805555555547</v>
      </c>
      <c r="N58" s="203">
        <f t="shared" ref="N58:N64" si="2">M58*L58*K58</f>
        <v>44337.506666666661</v>
      </c>
    </row>
    <row r="59" spans="2:16" ht="23.25" customHeight="1">
      <c r="B59" s="485"/>
      <c r="C59" s="174" t="s">
        <v>216</v>
      </c>
      <c r="D59" s="486"/>
      <c r="E59" s="486"/>
      <c r="F59" s="486"/>
      <c r="G59" s="486"/>
      <c r="H59" s="177" t="s">
        <v>217</v>
      </c>
      <c r="I59" s="174" t="str">
        <f>_xlfn.XLOOKUP(H59,TPU!A:A,TPU!B:B,,0)</f>
        <v>LICENÇA SOFTWARE PTV VISUM (VITALÍCIA)</v>
      </c>
      <c r="J59" s="174"/>
      <c r="K59" s="175">
        <v>1</v>
      </c>
      <c r="L59" s="175">
        <v>24</v>
      </c>
      <c r="M59" s="176">
        <f>_xlfn.XLOOKUP(H59,TPU!A:A,TPU!D:D,,0)</f>
        <v>6481.9444444444443</v>
      </c>
      <c r="N59" s="203">
        <f t="shared" si="2"/>
        <v>155566.66666666666</v>
      </c>
    </row>
    <row r="60" spans="2:16" ht="23.25" customHeight="1">
      <c r="B60" s="485"/>
      <c r="C60" s="174" t="s">
        <v>218</v>
      </c>
      <c r="D60" s="486"/>
      <c r="E60" s="486"/>
      <c r="F60" s="486"/>
      <c r="G60" s="486"/>
      <c r="H60" s="177" t="s">
        <v>219</v>
      </c>
      <c r="I60" s="174" t="str">
        <f>_xlfn.XLOOKUP(H60,TPU!A:A,TPU!B:B,,0)</f>
        <v>LICENÇA MICROSOFT POWERBI</v>
      </c>
      <c r="J60" s="174"/>
      <c r="K60" s="175">
        <v>1</v>
      </c>
      <c r="L60" s="175">
        <v>24</v>
      </c>
      <c r="M60" s="176">
        <f>_xlfn.XLOOKUP(H60,TPU!A:A,TPU!D:D,,0)</f>
        <v>65.729166666666671</v>
      </c>
      <c r="N60" s="203">
        <f t="shared" si="2"/>
        <v>1577.5</v>
      </c>
    </row>
    <row r="61" spans="2:16" ht="23.25" customHeight="1">
      <c r="B61" s="485"/>
      <c r="C61" s="224" t="s">
        <v>220</v>
      </c>
      <c r="D61" s="486"/>
      <c r="E61" s="486"/>
      <c r="F61" s="486"/>
      <c r="G61" s="486"/>
      <c r="H61" s="177" t="s">
        <v>221</v>
      </c>
      <c r="I61" s="174" t="str">
        <f>_xlfn.XLOOKUP(H61,TPU!A:A,TPU!B:B,,0)</f>
        <v>LICENÇA IBM SPSS</v>
      </c>
      <c r="J61" s="174"/>
      <c r="K61" s="175">
        <v>1</v>
      </c>
      <c r="L61" s="175">
        <v>24</v>
      </c>
      <c r="M61" s="176">
        <f>_xlfn.XLOOKUP(H61,TPU!A:A,TPU!D:D,,0)</f>
        <v>495</v>
      </c>
      <c r="N61" s="203">
        <f t="shared" si="2"/>
        <v>11880</v>
      </c>
    </row>
    <row r="62" spans="2:16" ht="23.25" customHeight="1">
      <c r="B62" s="178" t="s">
        <v>284</v>
      </c>
      <c r="C62" s="171" t="s">
        <v>213</v>
      </c>
      <c r="D62" s="495" t="s">
        <v>307</v>
      </c>
      <c r="E62" s="495"/>
      <c r="F62" s="495"/>
      <c r="G62" s="495"/>
      <c r="H62" s="182" t="s">
        <v>215</v>
      </c>
      <c r="I62" s="171" t="str">
        <f>_xlfn.XLOOKUP(H62,TPU!A:A,TPU!B:B,,0)</f>
        <v>LICENÇA AUTODESK COLECTION (3 ANOS / USUÁRIO)</v>
      </c>
      <c r="J62" s="171"/>
      <c r="K62" s="172">
        <v>3</v>
      </c>
      <c r="L62" s="175">
        <v>24</v>
      </c>
      <c r="M62" s="173">
        <f>_xlfn.XLOOKUP(H62,TPU!A:A,TPU!D:D,,0)</f>
        <v>923.69805555555547</v>
      </c>
      <c r="N62" s="205">
        <f t="shared" si="2"/>
        <v>66506.259999999995</v>
      </c>
    </row>
    <row r="63" spans="2:16" ht="23.25" customHeight="1">
      <c r="B63" s="485" t="s">
        <v>290</v>
      </c>
      <c r="C63" s="174" t="s">
        <v>222</v>
      </c>
      <c r="D63" s="486" t="s">
        <v>308</v>
      </c>
      <c r="E63" s="486"/>
      <c r="F63" s="486"/>
      <c r="G63" s="486"/>
      <c r="H63" s="177" t="s">
        <v>223</v>
      </c>
      <c r="I63" s="174" t="str">
        <f>_xlfn.XLOOKUP(H63,TPU!A:A,TPU!B:B,,0)</f>
        <v>LICENÇA AVIPLAN</v>
      </c>
      <c r="J63" s="174"/>
      <c r="K63" s="175">
        <v>1</v>
      </c>
      <c r="L63" s="175">
        <v>24</v>
      </c>
      <c r="M63" s="176">
        <f>_xlfn.XLOOKUP(H63,TPU!A:A,TPU!D:D,,0)</f>
        <v>2491.6666666666665</v>
      </c>
      <c r="N63" s="203">
        <f t="shared" si="2"/>
        <v>59800</v>
      </c>
    </row>
    <row r="64" spans="2:16" ht="23.25" customHeight="1">
      <c r="B64" s="485"/>
      <c r="C64" s="174" t="s">
        <v>213</v>
      </c>
      <c r="D64" s="486"/>
      <c r="E64" s="486"/>
      <c r="F64" s="486"/>
      <c r="G64" s="486"/>
      <c r="H64" s="177" t="s">
        <v>215</v>
      </c>
      <c r="I64" s="174" t="str">
        <f>_xlfn.XLOOKUP(H64,TPU!A:A,TPU!B:B,,0)</f>
        <v>LICENÇA AUTODESK COLECTION (3 ANOS / USUÁRIO)</v>
      </c>
      <c r="J64" s="174"/>
      <c r="K64" s="175">
        <v>2</v>
      </c>
      <c r="L64" s="175">
        <v>24</v>
      </c>
      <c r="M64" s="176">
        <f>_xlfn.XLOOKUP(H64,TPU!A:A,TPU!D:D,,0)</f>
        <v>923.69805555555547</v>
      </c>
      <c r="N64" s="203">
        <f t="shared" si="2"/>
        <v>44337.506666666661</v>
      </c>
    </row>
    <row r="65" spans="2:14">
      <c r="B65" s="210"/>
      <c r="C65" s="211"/>
      <c r="D65" s="212"/>
      <c r="E65" s="213"/>
      <c r="F65" s="214"/>
      <c r="G65" s="214"/>
      <c r="H65" s="215"/>
      <c r="I65" s="481" t="s">
        <v>309</v>
      </c>
      <c r="J65" s="481"/>
      <c r="K65" s="481"/>
      <c r="L65" s="481" t="s">
        <v>305</v>
      </c>
      <c r="M65" s="209"/>
      <c r="N65" s="209">
        <f>SUM(N58:N64)</f>
        <v>384005.43999999994</v>
      </c>
    </row>
    <row r="66" spans="2:14">
      <c r="B66" s="179"/>
      <c r="M66" s="180"/>
    </row>
    <row r="67" spans="2:14">
      <c r="B67" s="218"/>
      <c r="C67" s="218"/>
      <c r="D67" s="218"/>
      <c r="E67" s="218"/>
      <c r="F67" s="218"/>
      <c r="G67" s="218"/>
      <c r="H67" s="218"/>
      <c r="I67" s="218"/>
      <c r="J67" s="218"/>
      <c r="K67" s="218"/>
      <c r="L67" s="220" t="s">
        <v>310</v>
      </c>
      <c r="M67" s="219"/>
      <c r="N67" s="221">
        <f>N30+N41+N54+N65</f>
        <v>11538065.081651201</v>
      </c>
    </row>
  </sheetData>
  <mergeCells count="45">
    <mergeCell ref="I65:L65"/>
    <mergeCell ref="D57:G57"/>
    <mergeCell ref="D44:F44"/>
    <mergeCell ref="D62:G62"/>
    <mergeCell ref="D58:G61"/>
    <mergeCell ref="D45:F47"/>
    <mergeCell ref="B56:N56"/>
    <mergeCell ref="D48:F50"/>
    <mergeCell ref="D51:F53"/>
    <mergeCell ref="B4:N4"/>
    <mergeCell ref="M5:N5"/>
    <mergeCell ref="B8:N8"/>
    <mergeCell ref="M9:N9"/>
    <mergeCell ref="B63:B64"/>
    <mergeCell ref="D63:G64"/>
    <mergeCell ref="B45:B47"/>
    <mergeCell ref="B48:B50"/>
    <mergeCell ref="B51:B53"/>
    <mergeCell ref="B58:B61"/>
    <mergeCell ref="B13:N13"/>
    <mergeCell ref="M14:N14"/>
    <mergeCell ref="B17:N17"/>
    <mergeCell ref="C24:C26"/>
    <mergeCell ref="B24:B26"/>
    <mergeCell ref="C20:C23"/>
    <mergeCell ref="B19:B23"/>
    <mergeCell ref="D20:D23"/>
    <mergeCell ref="G20:G23"/>
    <mergeCell ref="F20:F23"/>
    <mergeCell ref="E20:E23"/>
    <mergeCell ref="I30:L30"/>
    <mergeCell ref="I54:L54"/>
    <mergeCell ref="D24:D26"/>
    <mergeCell ref="D27:D29"/>
    <mergeCell ref="E27:E29"/>
    <mergeCell ref="F27:F29"/>
    <mergeCell ref="G27:G29"/>
    <mergeCell ref="F24:F26"/>
    <mergeCell ref="E24:E26"/>
    <mergeCell ref="B32:N32"/>
    <mergeCell ref="I41:L41"/>
    <mergeCell ref="B43:N43"/>
    <mergeCell ref="B27:B29"/>
    <mergeCell ref="C27:C29"/>
    <mergeCell ref="G24:G26"/>
  </mergeCells>
  <pageMargins left="0.511811024" right="0.511811024" top="0.78740157499999996" bottom="0.78740157499999996" header="0.31496062000000002" footer="0.31496062000000002"/>
  <pageSetup paperSize="9" orientation="portrait" horizontalDpi="1200"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ccb8b481-99df-4a95-92ba-0966ad386e9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3D53C524A04814A98F046DF397AA8B7" ma:contentTypeVersion="18" ma:contentTypeDescription="Crie um novo documento." ma:contentTypeScope="" ma:versionID="7d39b0ae1cd6e82889c1855762754629">
  <xsd:schema xmlns:xsd="http://www.w3.org/2001/XMLSchema" xmlns:xs="http://www.w3.org/2001/XMLSchema" xmlns:p="http://schemas.microsoft.com/office/2006/metadata/properties" xmlns:ns1="http://schemas.microsoft.com/sharepoint/v3" xmlns:ns3="ccb8b481-99df-4a95-92ba-0966ad386e96" xmlns:ns4="20d475b2-6969-4e12-8cb1-795e1de4c01c" targetNamespace="http://schemas.microsoft.com/office/2006/metadata/properties" ma:root="true" ma:fieldsID="ab2c7966899687503cc9f9710233e5a5" ns1:_="" ns3:_="" ns4:_="">
    <xsd:import namespace="http://schemas.microsoft.com/sharepoint/v3"/>
    <xsd:import namespace="ccb8b481-99df-4a95-92ba-0966ad386e96"/>
    <xsd:import namespace="20d475b2-6969-4e12-8cb1-795e1de4c01c"/>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_activity" minOccurs="0"/>
                <xsd:element ref="ns4:SharedWithUsers" minOccurs="0"/>
                <xsd:element ref="ns4:SharedWithDetails" minOccurs="0"/>
                <xsd:element ref="ns4:SharingHintHash" minOccurs="0"/>
                <xsd:element ref="ns3:MediaServiceDateTaken" minOccurs="0"/>
                <xsd:element ref="ns3:MediaLengthInSeconds" minOccurs="0"/>
                <xsd:element ref="ns3:MediaServiceLocation" minOccurs="0"/>
                <xsd:element ref="ns1:_ip_UnifiedCompliancePolicyProperties" minOccurs="0"/>
                <xsd:element ref="ns1:_ip_UnifiedCompliancePolicyUIAction"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Propriedades da Política de Conformidade Unificada" ma:hidden="true" ma:internalName="_ip_UnifiedCompliancePolicyProperties">
      <xsd:simpleType>
        <xsd:restriction base="dms:Note"/>
      </xsd:simpleType>
    </xsd:element>
    <xsd:element name="_ip_UnifiedCompliancePolicyUIAction" ma:index="23"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cb8b481-99df-4a95-92ba-0966ad386e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_activity" ma:index="15" nillable="true" ma:displayName="_activity" ma:hidden="true" ma:internalName="_activity">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d475b2-6969-4e12-8cb1-795e1de4c01c"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SharingHintHash" ma:index="18"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A83E11-EED3-4F24-B542-8783C245A4A3}">
  <ds:schemaRefs>
    <ds:schemaRef ds:uri="http://schemas.microsoft.com/office/2006/metadata/properties"/>
    <ds:schemaRef ds:uri="http://schemas.microsoft.com/office/infopath/2007/PartnerControls"/>
    <ds:schemaRef ds:uri="http://schemas.microsoft.com/sharepoint/v3"/>
    <ds:schemaRef ds:uri="ccb8b481-99df-4a95-92ba-0966ad386e96"/>
  </ds:schemaRefs>
</ds:datastoreItem>
</file>

<file path=customXml/itemProps2.xml><?xml version="1.0" encoding="utf-8"?>
<ds:datastoreItem xmlns:ds="http://schemas.openxmlformats.org/officeDocument/2006/customXml" ds:itemID="{6D8D62A5-87E1-4BEC-AA1C-4B84864AEE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b8b481-99df-4a95-92ba-0966ad386e96"/>
    <ds:schemaRef ds:uri="20d475b2-6969-4e12-8cb1-795e1de4c0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3ACCBE-C25A-452B-ACF5-F9DAD952D6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SUPEA Quantidade</vt:lpstr>
      <vt:lpstr>SUPEA Descritivo</vt:lpstr>
      <vt:lpstr>SUPAQ Descritivo</vt:lpstr>
      <vt:lpstr>SUPET Descritivo</vt:lpstr>
      <vt:lpstr>SUROD Descritivo</vt:lpstr>
      <vt:lpstr>SUFER Descritivo</vt:lpstr>
      <vt:lpstr>PERFIS COM PESO</vt:lpstr>
      <vt:lpstr>supet1</vt:lpstr>
      <vt:lpstr>supea1</vt:lpstr>
      <vt:lpstr>PERFIS SUPEA</vt:lpstr>
      <vt:lpstr>TPU</vt:lpstr>
      <vt:lpstr>BDI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Lenovo</dc:creator>
  <cp:keywords/>
  <dc:description/>
  <cp:lastModifiedBy>Paulo Bernardes Honorio de Mendonça</cp:lastModifiedBy>
  <cp:revision/>
  <dcterms:created xsi:type="dcterms:W3CDTF">2023-05-23T17:48:58Z</dcterms:created>
  <dcterms:modified xsi:type="dcterms:W3CDTF">2024-04-05T21:16:17Z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0x01010023D53C524A04814A98F046DF397AA8B7</vt:lpwstr>
  </property>
  <property fmtid="{D5CDD505-2E9C-101B-9397-08002B2CF9AE}" pid="3" name="MediaServiceImageTags">
    <vt:lpwstr/>
  </property>
</Properties>
</file>