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omments2.xml" ContentType="application/vnd.openxmlformats-officedocument.spreadsheetml.comments+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d.docs.live.net/31f2bc56bf9b5b9a/95 Infra SA/Demanda/06 TR Passageiros/2 Etapa/"/>
    </mc:Choice>
  </mc:AlternateContent>
  <xr:revisionPtr revIDLastSave="5031" documentId="13_ncr:20001_{679AF5E5-0408-46AF-A9CB-221762708D41}" xr6:coauthVersionLast="47" xr6:coauthVersionMax="47" xr10:uidLastSave="{EF69A7CE-BCF3-40AC-9AA8-949E8112FEC0}"/>
  <bookViews>
    <workbookView xWindow="-120" yWindow="-120" windowWidth="29040" windowHeight="15840" activeTab="3" xr2:uid="{C1E48D43-B1EC-4687-8665-B5A24C63F6C4}"/>
  </bookViews>
  <sheets>
    <sheet name="Dados" sheetId="19" r:id="rId1"/>
    <sheet name="Lotes" sheetId="59" r:id="rId2"/>
    <sheet name="Resumo" sheetId="24" r:id="rId3"/>
    <sheet name="Produtos" sheetId="26" r:id="rId4"/>
    <sheet name="Recursos" sheetId="27" r:id="rId5"/>
    <sheet name="Resumo-NT" sheetId="50" r:id="rId6"/>
    <sheet name="Mem.Cálculo-&gt;" sheetId="35" r:id="rId7"/>
    <sheet name="Cronograma" sheetId="21" r:id="rId8"/>
    <sheet name="Alocação MO" sheetId="7" r:id="rId9"/>
    <sheet name="BDI" sheetId="28" r:id="rId10"/>
    <sheet name="1.PdT" sheetId="42" r:id="rId11"/>
    <sheet name="2.1.1.EMD.Campo" sheetId="10" r:id="rId12"/>
    <sheet name="2.1.2.EMD" sheetId="56" r:id="rId13"/>
    <sheet name="2.2.EEN" sheetId="11" r:id="rId14"/>
    <sheet name="2.3.EOP" sheetId="12" r:id="rId15"/>
    <sheet name="2.4.EMA" sheetId="13" r:id="rId16"/>
    <sheet name="2.5.MEF" sheetId="14" r:id="rId17"/>
    <sheet name="2.6.AP" sheetId="60" r:id="rId18"/>
    <sheet name="2.7.TCU" sheetId="61" r:id="rId19"/>
    <sheet name="2.8.Edital" sheetId="62" r:id="rId20"/>
    <sheet name="2.9.ADJR" sheetId="15" r:id="rId21"/>
    <sheet name="3.1.1.EMD.Campo" sheetId="63" r:id="rId22"/>
    <sheet name="3.1.2.EMD" sheetId="64" r:id="rId23"/>
    <sheet name="3.2.EEN" sheetId="67" r:id="rId24"/>
    <sheet name="3.3.EOP" sheetId="68" r:id="rId25"/>
    <sheet name="3.4.EMA" sheetId="69" r:id="rId26"/>
    <sheet name="3.5.MEF" sheetId="70" r:id="rId27"/>
    <sheet name="3.6.AP" sheetId="71" r:id="rId28"/>
    <sheet name="3.7.TCU" sheetId="72" r:id="rId29"/>
    <sheet name="3.8.Edital" sheetId="73" r:id="rId30"/>
    <sheet name="3.9.ADJR" sheetId="74" r:id="rId31"/>
    <sheet name="4.1.1.EMD.Campo" sheetId="65" r:id="rId32"/>
    <sheet name="4.1.2.EMD" sheetId="66" r:id="rId33"/>
    <sheet name="4.2.EEN" sheetId="75" r:id="rId34"/>
    <sheet name="4.3.EOP" sheetId="76" r:id="rId35"/>
    <sheet name="4.4.EMA" sheetId="77" r:id="rId36"/>
    <sheet name="4.5.MEF" sheetId="78" r:id="rId37"/>
    <sheet name="4.6.AP" sheetId="79" r:id="rId38"/>
    <sheet name="4.7.TCU" sheetId="80" r:id="rId39"/>
    <sheet name="4.8.Edital" sheetId="81" r:id="rId40"/>
    <sheet name="4.9.ADJR" sheetId="82" r:id="rId41"/>
    <sheet name="Inspeção-Veículo" sheetId="47" r:id="rId42"/>
    <sheet name="Diárias e Passagens" sheetId="40" r:id="rId43"/>
    <sheet name="Preços-&gt;" sheetId="36" r:id="rId44"/>
    <sheet name="Diárias" sheetId="30" r:id="rId45"/>
    <sheet name="Voos" sheetId="44" r:id="rId46"/>
    <sheet name="Voos Pesquisa" sheetId="58" r:id="rId47"/>
    <sheet name="TC 10-2023" sheetId="2" r:id="rId48"/>
    <sheet name="TC-CustosGerais" sheetId="32" r:id="rId49"/>
    <sheet name="Categorias" sheetId="5" r:id="rId50"/>
    <sheet name="Equip.Info" sheetId="17" r:id="rId51"/>
    <sheet name="Mat.Info" sheetId="18" r:id="rId52"/>
  </sheets>
  <definedNames>
    <definedName name="\i" localSheetId="17">#REF!</definedName>
    <definedName name="\i" localSheetId="18">#REF!</definedName>
    <definedName name="\i" localSheetId="19">#REF!</definedName>
    <definedName name="\i" localSheetId="27">#REF!</definedName>
    <definedName name="\i" localSheetId="28">#REF!</definedName>
    <definedName name="\i" localSheetId="29">#REF!</definedName>
    <definedName name="\i" localSheetId="37">#REF!</definedName>
    <definedName name="\i" localSheetId="38">#REF!</definedName>
    <definedName name="\i" localSheetId="39">#REF!</definedName>
    <definedName name="\i" localSheetId="42">#REF!</definedName>
    <definedName name="\i" localSheetId="46">#REF!</definedName>
    <definedName name="\i">#REF!</definedName>
    <definedName name="_xlnm._FilterDatabase" localSheetId="42" hidden="1">'Diárias e Passagens'!$B$7:$Q$71</definedName>
    <definedName name="_xlnm._FilterDatabase" localSheetId="3" hidden="1">Produtos!$B$7:$AU$45</definedName>
    <definedName name="_xlnm._FilterDatabase" localSheetId="4" hidden="1">Recursos!$C$6:$L$315</definedName>
    <definedName name="_xlnm._FilterDatabase" localSheetId="47" hidden="1">'TC 10-2023'!$B$1:$Z$103</definedName>
    <definedName name="_p0" localSheetId="17">#REF!</definedName>
    <definedName name="_p0" localSheetId="18">#REF!</definedName>
    <definedName name="_p0" localSheetId="19">#REF!</definedName>
    <definedName name="_p0" localSheetId="27">#REF!</definedName>
    <definedName name="_p0" localSheetId="28">#REF!</definedName>
    <definedName name="_p0" localSheetId="29">#REF!</definedName>
    <definedName name="_p0" localSheetId="37">#REF!</definedName>
    <definedName name="_p0" localSheetId="38">#REF!</definedName>
    <definedName name="_p0" localSheetId="39">#REF!</definedName>
    <definedName name="_p0" localSheetId="46">#REF!</definedName>
    <definedName name="_p0">#REF!</definedName>
    <definedName name="_p1" localSheetId="17">#REF!</definedName>
    <definedName name="_p1" localSheetId="18">#REF!</definedName>
    <definedName name="_p1" localSheetId="19">#REF!</definedName>
    <definedName name="_p1" localSheetId="27">#REF!</definedName>
    <definedName name="_p1" localSheetId="28">#REF!</definedName>
    <definedName name="_p1" localSheetId="29">#REF!</definedName>
    <definedName name="_p1" localSheetId="37">#REF!</definedName>
    <definedName name="_p1" localSheetId="38">#REF!</definedName>
    <definedName name="_p1" localSheetId="39">#REF!</definedName>
    <definedName name="_p1" localSheetId="46">#REF!</definedName>
    <definedName name="_p1">#REF!</definedName>
    <definedName name="_p2" localSheetId="17">#REF!</definedName>
    <definedName name="_p2" localSheetId="18">#REF!</definedName>
    <definedName name="_p2" localSheetId="19">#REF!</definedName>
    <definedName name="_p2" localSheetId="27">#REF!</definedName>
    <definedName name="_p2" localSheetId="28">#REF!</definedName>
    <definedName name="_p2" localSheetId="29">#REF!</definedName>
    <definedName name="_p2" localSheetId="37">#REF!</definedName>
    <definedName name="_p2" localSheetId="38">#REF!</definedName>
    <definedName name="_p2" localSheetId="39">#REF!</definedName>
    <definedName name="_p2" localSheetId="46">#REF!</definedName>
    <definedName name="_p2">#REF!</definedName>
    <definedName name="_p3">#REF!</definedName>
    <definedName name="_p4">#REF!</definedName>
    <definedName name="_t3">#REF!</definedName>
    <definedName name="_t4">#REF!</definedName>
    <definedName name="A" localSheetId="42">#REF!</definedName>
    <definedName name="A">#REF!</definedName>
    <definedName name="AAAAAAATeste" localSheetId="42">#REF!</definedName>
    <definedName name="AAAAAAATeste">#REF!</definedName>
    <definedName name="_xlnm.Print_Area" localSheetId="10">'1.PdT'!$A$1:$L$52</definedName>
    <definedName name="_xlnm.Print_Area" localSheetId="11">'2.1.1.EMD.Campo'!$A$1:$L$53</definedName>
    <definedName name="_xlnm.Print_Area" localSheetId="12">'2.1.2.EMD'!$A$1:$L$53</definedName>
    <definedName name="_xlnm.Print_Area" localSheetId="13">'2.2.EEN'!$A$1:$L$53</definedName>
    <definedName name="_xlnm.Print_Area" localSheetId="14">'2.3.EOP'!$A$1:$L$53</definedName>
    <definedName name="_xlnm.Print_Area" localSheetId="15">'2.4.EMA'!$A$1:$L$52</definedName>
    <definedName name="_xlnm.Print_Area" localSheetId="16">'2.5.MEF'!$A$1:$L$52</definedName>
    <definedName name="_xlnm.Print_Area" localSheetId="17">'2.6.AP'!$A$1:$L$52</definedName>
    <definedName name="_xlnm.Print_Area" localSheetId="18">'2.7.TCU'!$A$1:$L$52</definedName>
    <definedName name="_xlnm.Print_Area" localSheetId="19">'2.8.Edital'!$A$1:$L$52</definedName>
    <definedName name="_xlnm.Print_Area" localSheetId="20">'2.9.ADJR'!$A$1:$L$52</definedName>
    <definedName name="_xlnm.Print_Area" localSheetId="21">'3.1.1.EMD.Campo'!$A$1:$L$53</definedName>
    <definedName name="_xlnm.Print_Area" localSheetId="22">'3.1.2.EMD'!$A$1:$L$53</definedName>
    <definedName name="_xlnm.Print_Area" localSheetId="23">'3.2.EEN'!$A$1:$L$53</definedName>
    <definedName name="_xlnm.Print_Area" localSheetId="24">'3.3.EOP'!$A$1:$L$53</definedName>
    <definedName name="_xlnm.Print_Area" localSheetId="25">'3.4.EMA'!$A$1:$L$52</definedName>
    <definedName name="_xlnm.Print_Area" localSheetId="26">'3.5.MEF'!$A$1:$L$52</definedName>
    <definedName name="_xlnm.Print_Area" localSheetId="27">'3.6.AP'!$A$1:$L$52</definedName>
    <definedName name="_xlnm.Print_Area" localSheetId="28">'3.7.TCU'!$A$1:$L$52</definedName>
    <definedName name="_xlnm.Print_Area" localSheetId="29">'3.8.Edital'!$A$1:$L$52</definedName>
    <definedName name="_xlnm.Print_Area" localSheetId="30">'3.9.ADJR'!$A$1:$L$52</definedName>
    <definedName name="_xlnm.Print_Area" localSheetId="31">'4.1.1.EMD.Campo'!$A$1:$L$53</definedName>
    <definedName name="_xlnm.Print_Area" localSheetId="32">'4.1.2.EMD'!$A$1:$L$53</definedName>
    <definedName name="_xlnm.Print_Area" localSheetId="33">'4.2.EEN'!$A$1:$L$53</definedName>
    <definedName name="_xlnm.Print_Area" localSheetId="34">'4.3.EOP'!$A$1:$L$53</definedName>
    <definedName name="_xlnm.Print_Area" localSheetId="35">'4.4.EMA'!$A$1:$L$52</definedName>
    <definedName name="_xlnm.Print_Area" localSheetId="36">'4.5.MEF'!$A$1:$L$52</definedName>
    <definedName name="_xlnm.Print_Area" localSheetId="37">'4.6.AP'!$A$1:$L$52</definedName>
    <definedName name="_xlnm.Print_Area" localSheetId="38">'4.7.TCU'!$A$1:$L$52</definedName>
    <definedName name="_xlnm.Print_Area" localSheetId="39">'4.8.Edital'!$A$1:$L$52</definedName>
    <definedName name="_xlnm.Print_Area" localSheetId="40">'4.9.ADJR'!$A$1:$L$52</definedName>
    <definedName name="_xlnm.Print_Area" localSheetId="9">BDI!$A$1:$F$24</definedName>
    <definedName name="_xlnm.Print_Area" localSheetId="0">Dados!$B$2:$E$18</definedName>
    <definedName name="_xlnm.Print_Area" localSheetId="42">'Diárias e Passagens'!$B$2:$Q$79</definedName>
    <definedName name="_xlnm.Print_Area" localSheetId="41">'Inspeção-Veículo'!$B$2:$O$26</definedName>
    <definedName name="_xlnm.Print_Area" localSheetId="3">Produtos!$B$2:$AS$45</definedName>
    <definedName name="_xlnm.Print_Area" localSheetId="4">Recursos!$B$2:$L$315</definedName>
    <definedName name="_xlnm.Print_Area" localSheetId="2">Resumo!$B$2:$K$15</definedName>
    <definedName name="_xlnm.Print_Area" localSheetId="5">'Resumo-NT'!$B$2:$P$9</definedName>
    <definedName name="_xlnm.Print_Area" localSheetId="47">'TC 10-2023'!$A$1:$AA$102</definedName>
    <definedName name="_xlnm.Print_Area" localSheetId="48">'TC-CustosGerais'!$A$1:$H$24</definedName>
    <definedName name="Área_impressão_IM">#N/A</definedName>
    <definedName name="ArqFfbPln010CrtCnc" localSheetId="17">#REF!</definedName>
    <definedName name="ArqFfbPln010CrtCnc" localSheetId="18">#REF!</definedName>
    <definedName name="ArqFfbPln010CrtCnc" localSheetId="19">#REF!</definedName>
    <definedName name="ArqFfbPln010CrtCnc" localSheetId="27">#REF!</definedName>
    <definedName name="ArqFfbPln010CrtCnc" localSheetId="28">#REF!</definedName>
    <definedName name="ArqFfbPln010CrtCnc" localSheetId="29">#REF!</definedName>
    <definedName name="ArqFfbPln010CrtCnc" localSheetId="37">#REF!</definedName>
    <definedName name="ArqFfbPln010CrtCnc" localSheetId="38">#REF!</definedName>
    <definedName name="ArqFfbPln010CrtCnc" localSheetId="39">#REF!</definedName>
    <definedName name="ArqFfbPln010CrtCnc" localSheetId="42">#REF!</definedName>
    <definedName name="ArqFfbPln010CrtCnc" localSheetId="46">#REF!</definedName>
    <definedName name="ArqFfbPln010CrtCnc">#REF!</definedName>
    <definedName name="ArqFfbPln012CitCnc" localSheetId="42">#REF!</definedName>
    <definedName name="ArqFfbPln012CitCnc" localSheetId="46">#REF!</definedName>
    <definedName name="ArqFfbPln012CitCnc">#REF!</definedName>
    <definedName name="ArqFfbPln015BdbCnc" localSheetId="42">#REF!</definedName>
    <definedName name="ArqFfbPln015BdbCnc" localSheetId="46">#REF!</definedName>
    <definedName name="ArqFfbPln015BdbCnc">#REF!</definedName>
    <definedName name="ArqFfbPln020CitCqeCnc" localSheetId="42">#REF!</definedName>
    <definedName name="ArqFfbPln020CitCqeCnc">#REF!</definedName>
    <definedName name="auxiliar" localSheetId="42">#REF!</definedName>
    <definedName name="auxiliar">#REF!</definedName>
    <definedName name="BalFeG" localSheetId="17">#REF!</definedName>
    <definedName name="BalFeG" localSheetId="18">#REF!</definedName>
    <definedName name="BalFeG" localSheetId="19">#REF!</definedName>
    <definedName name="BalFeG" localSheetId="27">#REF!</definedName>
    <definedName name="BalFeG" localSheetId="28">#REF!</definedName>
    <definedName name="BalFeG" localSheetId="29">#REF!</definedName>
    <definedName name="BalFeG" localSheetId="37">#REF!</definedName>
    <definedName name="BalFeG" localSheetId="38">#REF!</definedName>
    <definedName name="BalFeG" localSheetId="39">#REF!</definedName>
    <definedName name="BalFeG" localSheetId="46">#REF!</definedName>
    <definedName name="BalFeG">#REF!</definedName>
    <definedName name="BalFfb" localSheetId="17">#REF!</definedName>
    <definedName name="BalFfb" localSheetId="18">#REF!</definedName>
    <definedName name="BalFfb" localSheetId="19">#REF!</definedName>
    <definedName name="BalFfb" localSheetId="27">#REF!</definedName>
    <definedName name="BalFfb" localSheetId="28">#REF!</definedName>
    <definedName name="BalFfb" localSheetId="29">#REF!</definedName>
    <definedName name="BalFfb" localSheetId="37">#REF!</definedName>
    <definedName name="BalFfb" localSheetId="38">#REF!</definedName>
    <definedName name="BalFfb" localSheetId="39">#REF!</definedName>
    <definedName name="BalFfb" localSheetId="46">#REF!</definedName>
    <definedName name="BalFfb">#REF!</definedName>
    <definedName name="_xlnm.Database" localSheetId="17">#REF!</definedName>
    <definedName name="_xlnm.Database" localSheetId="18">#REF!</definedName>
    <definedName name="_xlnm.Database" localSheetId="19">#REF!</definedName>
    <definedName name="_xlnm.Database" localSheetId="27">#REF!</definedName>
    <definedName name="_xlnm.Database" localSheetId="28">#REF!</definedName>
    <definedName name="_xlnm.Database" localSheetId="29">#REF!</definedName>
    <definedName name="_xlnm.Database" localSheetId="37">#REF!</definedName>
    <definedName name="_xlnm.Database" localSheetId="38">#REF!</definedName>
    <definedName name="_xlnm.Database" localSheetId="39">#REF!</definedName>
    <definedName name="_xlnm.Database" localSheetId="42">#REF!</definedName>
    <definedName name="_xlnm.Database" localSheetId="46">#REF!</definedName>
    <definedName name="_xlnm.Database">#REF!</definedName>
    <definedName name="BdbCnc" localSheetId="17">#REF!</definedName>
    <definedName name="BdbCnc" localSheetId="18">#REF!</definedName>
    <definedName name="BdbCnc" localSheetId="19">#REF!</definedName>
    <definedName name="BdbCnc" localSheetId="27">#REF!</definedName>
    <definedName name="BdbCnc" localSheetId="28">#REF!</definedName>
    <definedName name="BdbCnc" localSheetId="29">#REF!</definedName>
    <definedName name="BdbCnc" localSheetId="37">#REF!</definedName>
    <definedName name="BdbCnc" localSheetId="38">#REF!</definedName>
    <definedName name="BdbCnc" localSheetId="39">#REF!</definedName>
    <definedName name="BdbCnc" localSheetId="46">#REF!</definedName>
    <definedName name="BdbCnc">#REF!</definedName>
    <definedName name="CCM" localSheetId="17">#REF!</definedName>
    <definedName name="CCM" localSheetId="18">#REF!</definedName>
    <definedName name="CCM" localSheetId="19">#REF!</definedName>
    <definedName name="CCM" localSheetId="27">#REF!</definedName>
    <definedName name="CCM" localSheetId="28">#REF!</definedName>
    <definedName name="CCM" localSheetId="29">#REF!</definedName>
    <definedName name="CCM" localSheetId="37">#REF!</definedName>
    <definedName name="CCM" localSheetId="38">#REF!</definedName>
    <definedName name="CCM" localSheetId="39">#REF!</definedName>
    <definedName name="CCM" localSheetId="42">#REF!</definedName>
    <definedName name="CCM" localSheetId="46">#REF!</definedName>
    <definedName name="CCM">#REF!</definedName>
    <definedName name="chgg" localSheetId="42">#REF!</definedName>
    <definedName name="chgg" localSheetId="46">#REF!</definedName>
    <definedName name="chgg">#REF!</definedName>
    <definedName name="Chk" localSheetId="42">#REF!</definedName>
    <definedName name="Chk" localSheetId="46">#REF!</definedName>
    <definedName name="Chk">#REF!</definedName>
    <definedName name="CitCnc" localSheetId="17">#REF!</definedName>
    <definedName name="CitCnc" localSheetId="18">#REF!</definedName>
    <definedName name="CitCnc" localSheetId="19">#REF!</definedName>
    <definedName name="CitCnc" localSheetId="27">#REF!</definedName>
    <definedName name="CitCnc" localSheetId="28">#REF!</definedName>
    <definedName name="CitCnc" localSheetId="29">#REF!</definedName>
    <definedName name="CitCnc" localSheetId="37">#REF!</definedName>
    <definedName name="CitCnc" localSheetId="38">#REF!</definedName>
    <definedName name="CitCnc" localSheetId="39">#REF!</definedName>
    <definedName name="CitCnc" localSheetId="46">#REF!</definedName>
    <definedName name="CitCnc">#REF!</definedName>
    <definedName name="CitCqeCnc" localSheetId="17">#REF!</definedName>
    <definedName name="CitCqeCnc" localSheetId="18">#REF!</definedName>
    <definedName name="CitCqeCnc" localSheetId="19">#REF!</definedName>
    <definedName name="CitCqeCnc" localSheetId="27">#REF!</definedName>
    <definedName name="CitCqeCnc" localSheetId="28">#REF!</definedName>
    <definedName name="CitCqeCnc" localSheetId="29">#REF!</definedName>
    <definedName name="CitCqeCnc" localSheetId="37">#REF!</definedName>
    <definedName name="CitCqeCnc" localSheetId="38">#REF!</definedName>
    <definedName name="CitCqeCnc" localSheetId="39">#REF!</definedName>
    <definedName name="CitCqeCnc" localSheetId="46">#REF!</definedName>
    <definedName name="CitCqeCnc">#REF!</definedName>
    <definedName name="ClcCta" localSheetId="17">#REF!</definedName>
    <definedName name="ClcCta" localSheetId="18">#REF!</definedName>
    <definedName name="ClcCta" localSheetId="19">#REF!</definedName>
    <definedName name="ClcCta" localSheetId="27">#REF!</definedName>
    <definedName name="ClcCta" localSheetId="28">#REF!</definedName>
    <definedName name="ClcCta" localSheetId="29">#REF!</definedName>
    <definedName name="ClcCta" localSheetId="37">#REF!</definedName>
    <definedName name="ClcCta" localSheetId="38">#REF!</definedName>
    <definedName name="ClcCta" localSheetId="39">#REF!</definedName>
    <definedName name="ClcCta" localSheetId="42">#REF!</definedName>
    <definedName name="ClcCta" localSheetId="46">#REF!</definedName>
    <definedName name="ClcCta">#REF!</definedName>
    <definedName name="cm" localSheetId="17">#REF!</definedName>
    <definedName name="cm" localSheetId="18">#REF!</definedName>
    <definedName name="cm" localSheetId="19">#REF!</definedName>
    <definedName name="cm" localSheetId="27">#REF!</definedName>
    <definedName name="cm" localSheetId="28">#REF!</definedName>
    <definedName name="cm" localSheetId="29">#REF!</definedName>
    <definedName name="cm" localSheetId="37">#REF!</definedName>
    <definedName name="cm" localSheetId="38">#REF!</definedName>
    <definedName name="cm" localSheetId="39">#REF!</definedName>
    <definedName name="cm" localSheetId="46">#REF!</definedName>
    <definedName name="cm">#REF!</definedName>
    <definedName name="COFINS" localSheetId="42">#REF!</definedName>
    <definedName name="COFINS" localSheetId="46">#REF!</definedName>
    <definedName name="COFINS">#REF!</definedName>
    <definedName name="cotacao" localSheetId="42">#REF!</definedName>
    <definedName name="cotacao">#REF!</definedName>
    <definedName name="CrtCnc" localSheetId="17">#REF!</definedName>
    <definedName name="CrtCnc" localSheetId="18">#REF!</definedName>
    <definedName name="CrtCnc" localSheetId="19">#REF!</definedName>
    <definedName name="CrtCnc" localSheetId="27">#REF!</definedName>
    <definedName name="CrtCnc" localSheetId="28">#REF!</definedName>
    <definedName name="CrtCnc" localSheetId="29">#REF!</definedName>
    <definedName name="CrtCnc" localSheetId="37">#REF!</definedName>
    <definedName name="CrtCnc" localSheetId="38">#REF!</definedName>
    <definedName name="CrtCnc" localSheetId="39">#REF!</definedName>
    <definedName name="CrtCnc" localSheetId="46">#REF!</definedName>
    <definedName name="CrtCnc">#REF!</definedName>
    <definedName name="ct" localSheetId="17">#REF!</definedName>
    <definedName name="ct" localSheetId="18">#REF!</definedName>
    <definedName name="ct" localSheetId="19">#REF!</definedName>
    <definedName name="ct" localSheetId="27">#REF!</definedName>
    <definedName name="ct" localSheetId="28">#REF!</definedName>
    <definedName name="ct" localSheetId="29">#REF!</definedName>
    <definedName name="ct" localSheetId="37">#REF!</definedName>
    <definedName name="ct" localSheetId="38">#REF!</definedName>
    <definedName name="ct" localSheetId="39">#REF!</definedName>
    <definedName name="ct" localSheetId="42">#REF!</definedName>
    <definedName name="ct" localSheetId="46">#REF!</definedName>
    <definedName name="ct">#REF!</definedName>
    <definedName name="cu" localSheetId="42">#REF!</definedName>
    <definedName name="cu" localSheetId="46">#REF!</definedName>
    <definedName name="cu">#REF!</definedName>
    <definedName name="Dados" localSheetId="42">#REF!</definedName>
    <definedName name="Dados" localSheetId="46">#REF!</definedName>
    <definedName name="Dados">#REF!</definedName>
    <definedName name="DDDDDDD" localSheetId="42">#REF!</definedName>
    <definedName name="DDDDDDD">#REF!</definedName>
    <definedName name="Denominação" localSheetId="42">#REF!</definedName>
    <definedName name="Denominação">#REF!</definedName>
    <definedName name="des">#REF!</definedName>
    <definedName name="DESCRITIVO1" localSheetId="42">#REF!</definedName>
    <definedName name="DESCRITIVO1">#REF!</definedName>
    <definedName name="Diversos">#REF!</definedName>
    <definedName name="FeGAno" localSheetId="42">#REF!</definedName>
    <definedName name="FeGAno">#REF!</definedName>
    <definedName name="FfbClcCtaSnt" localSheetId="42">#REF!</definedName>
    <definedName name="FfbClcCtaSnt">#REF!</definedName>
    <definedName name="FfbClcSntMes" localSheetId="42">#REF!</definedName>
    <definedName name="FfbClcSntMes">#REF!</definedName>
    <definedName name="FfbRdtMes" localSheetId="42">#REF!</definedName>
    <definedName name="FfbRdtMes">#REF!</definedName>
    <definedName name="FOLHA1" localSheetId="42">#REF!</definedName>
    <definedName name="FOLHA1">#REF!</definedName>
    <definedName name="FOLHA2" localSheetId="42">#REF!</definedName>
    <definedName name="FOLHA2">#REF!</definedName>
    <definedName name="FOLHA3" localSheetId="42">#REF!</definedName>
    <definedName name="FOLHA3">#REF!</definedName>
    <definedName name="FOLHA4" localSheetId="42">#REF!</definedName>
    <definedName name="FOLHA4">#REF!</definedName>
    <definedName name="FOLHA5" localSheetId="42">#REF!</definedName>
    <definedName name="FOLHA5">#REF!</definedName>
    <definedName name="FOLHA6" localSheetId="42">#REF!</definedName>
    <definedName name="FOLHA6">#REF!</definedName>
    <definedName name="FOLHA7" localSheetId="42">#REF!</definedName>
    <definedName name="FOLHA7">#REF!</definedName>
    <definedName name="FOLHA8" localSheetId="42">#REF!</definedName>
    <definedName name="FOLHA8">#REF!</definedName>
    <definedName name="FOLHA9" localSheetId="42">#REF!</definedName>
    <definedName name="FOLHA9">#REF!</definedName>
    <definedName name="Idx" localSheetId="42">#REF!</definedName>
    <definedName name="Idx">#REF!</definedName>
    <definedName name="Imóveis">#REF!</definedName>
    <definedName name="InfCta" localSheetId="42">#REF!</definedName>
    <definedName name="InfCta">#REF!</definedName>
    <definedName name="Instalações">#REF!</definedName>
    <definedName name="jhfushfu" localSheetId="42">#REF!</definedName>
    <definedName name="jhfushfu">#REF!</definedName>
    <definedName name="jih" localSheetId="42">#REF!</definedName>
    <definedName name="jih">#REF!</definedName>
    <definedName name="jniunbi" localSheetId="42">#REF!</definedName>
    <definedName name="jniunbi">#REF!</definedName>
    <definedName name="jojo" localSheetId="42">#REF!</definedName>
    <definedName name="jojo">#REF!</definedName>
    <definedName name="k" localSheetId="42">#REF!</definedName>
    <definedName name="k">#REF!</definedName>
    <definedName name="KKKKK" localSheetId="42">#REF!</definedName>
    <definedName name="KKKKK">#REF!</definedName>
    <definedName name="koko" localSheetId="42">#REF!</definedName>
    <definedName name="koko">#REF!</definedName>
    <definedName name="kt" localSheetId="42">#REF!</definedName>
    <definedName name="kt">#REF!</definedName>
    <definedName name="lll" localSheetId="42">#REF!</definedName>
    <definedName name="lll">#REF!</definedName>
    <definedName name="MEM" localSheetId="42">#REF!</definedName>
    <definedName name="MEM">#REF!</definedName>
    <definedName name="Mobiliário">#REF!</definedName>
    <definedName name="MstTamCnc" localSheetId="17">#REF!</definedName>
    <definedName name="MstTamCnc" localSheetId="18">#REF!</definedName>
    <definedName name="MstTamCnc" localSheetId="19">#REF!</definedName>
    <definedName name="MstTamCnc" localSheetId="27">#REF!</definedName>
    <definedName name="MstTamCnc" localSheetId="28">#REF!</definedName>
    <definedName name="MstTamCnc" localSheetId="29">#REF!</definedName>
    <definedName name="MstTamCnc" localSheetId="37">#REF!</definedName>
    <definedName name="MstTamCnc" localSheetId="38">#REF!</definedName>
    <definedName name="MstTamCnc" localSheetId="39">#REF!</definedName>
    <definedName name="MstTamCnc" localSheetId="46">#REF!</definedName>
    <definedName name="MstTamCnc">#REF!</definedName>
    <definedName name="p" localSheetId="17">#REF!</definedName>
    <definedName name="p" localSheetId="18">#REF!</definedName>
    <definedName name="p" localSheetId="19">#REF!</definedName>
    <definedName name="p" localSheetId="27">#REF!</definedName>
    <definedName name="p" localSheetId="28">#REF!</definedName>
    <definedName name="p" localSheetId="29">#REF!</definedName>
    <definedName name="p" localSheetId="37">#REF!</definedName>
    <definedName name="p" localSheetId="38">#REF!</definedName>
    <definedName name="p" localSheetId="39">#REF!</definedName>
    <definedName name="p" localSheetId="42">#REF!</definedName>
    <definedName name="p" localSheetId="46">#REF!</definedName>
    <definedName name="p">#REF!</definedName>
    <definedName name="P.Aparente" localSheetId="42">#REF!</definedName>
    <definedName name="P.Aparente" localSheetId="46">#REF!</definedName>
    <definedName name="P.Aparente">#REF!</definedName>
    <definedName name="P.Reatia" localSheetId="42">#REF!</definedName>
    <definedName name="P.Reatia" localSheetId="46">#REF!</definedName>
    <definedName name="P.Reatia">#REF!</definedName>
    <definedName name="pativar" localSheetId="42">#REF!</definedName>
    <definedName name="pativar">#REF!</definedName>
    <definedName name="per" localSheetId="17">#REF!</definedName>
    <definedName name="per" localSheetId="18">#REF!</definedName>
    <definedName name="per" localSheetId="19">#REF!</definedName>
    <definedName name="per" localSheetId="27">#REF!</definedName>
    <definedName name="per" localSheetId="28">#REF!</definedName>
    <definedName name="per" localSheetId="29">#REF!</definedName>
    <definedName name="per" localSheetId="37">#REF!</definedName>
    <definedName name="per" localSheetId="38">#REF!</definedName>
    <definedName name="per" localSheetId="39">#REF!</definedName>
    <definedName name="per" localSheetId="42">#REF!</definedName>
    <definedName name="per" localSheetId="46">#REF!</definedName>
    <definedName name="per">#REF!</definedName>
    <definedName name="perp" localSheetId="17">#REF!</definedName>
    <definedName name="perp" localSheetId="18">#REF!</definedName>
    <definedName name="perp" localSheetId="19">#REF!</definedName>
    <definedName name="perp" localSheetId="27">#REF!</definedName>
    <definedName name="perp" localSheetId="28">#REF!</definedName>
    <definedName name="perp" localSheetId="29">#REF!</definedName>
    <definedName name="perp" localSheetId="37">#REF!</definedName>
    <definedName name="perp" localSheetId="38">#REF!</definedName>
    <definedName name="perp" localSheetId="39">#REF!</definedName>
    <definedName name="perp" localSheetId="42">#REF!</definedName>
    <definedName name="perp" localSheetId="46">#REF!</definedName>
    <definedName name="perp">#REF!</definedName>
    <definedName name="PIS" localSheetId="42">#REF!</definedName>
    <definedName name="PIS" localSheetId="46">#REF!</definedName>
    <definedName name="PIS">#REF!</definedName>
    <definedName name="Pln010DtaTdd010L21Cab" localSheetId="42">#REF!</definedName>
    <definedName name="Pln010DtaTdd010L21Cab" localSheetId="46">#REF!</definedName>
    <definedName name="Pln010DtaTdd010L21Cab">#REF!</definedName>
    <definedName name="Pln010DtaTdd010L30Caa" localSheetId="17">#REF!</definedName>
    <definedName name="Pln010DtaTdd010L30Caa" localSheetId="18">#REF!</definedName>
    <definedName name="Pln010DtaTdd010L30Caa" localSheetId="19">#REF!</definedName>
    <definedName name="Pln010DtaTdd010L30Caa" localSheetId="27">#REF!</definedName>
    <definedName name="Pln010DtaTdd010L30Caa" localSheetId="28">#REF!</definedName>
    <definedName name="Pln010DtaTdd010L30Caa" localSheetId="29">#REF!</definedName>
    <definedName name="Pln010DtaTdd010L30Caa" localSheetId="37">#REF!</definedName>
    <definedName name="Pln010DtaTdd010L30Caa" localSheetId="38">#REF!</definedName>
    <definedName name="Pln010DtaTdd010L30Caa" localSheetId="39">#REF!</definedName>
    <definedName name="Pln010DtaTdd010L30Caa" localSheetId="46">#REF!</definedName>
    <definedName name="Pln010DtaTdd010L30Caa">#REF!</definedName>
    <definedName name="Potencia" localSheetId="17">#REF!</definedName>
    <definedName name="Potencia" localSheetId="18">#REF!</definedName>
    <definedName name="Potencia" localSheetId="19">#REF!</definedName>
    <definedName name="Potencia" localSheetId="27">#REF!</definedName>
    <definedName name="Potencia" localSheetId="28">#REF!</definedName>
    <definedName name="Potencia" localSheetId="29">#REF!</definedName>
    <definedName name="Potencia" localSheetId="37">#REF!</definedName>
    <definedName name="Potencia" localSheetId="38">#REF!</definedName>
    <definedName name="Potencia" localSheetId="39">#REF!</definedName>
    <definedName name="Potencia" localSheetId="42">#REF!</definedName>
    <definedName name="Potencia" localSheetId="46">#REF!</definedName>
    <definedName name="Potencia">#REF!</definedName>
    <definedName name="PQ_EMPR" localSheetId="42">#REF!</definedName>
    <definedName name="PQ_EMPR" localSheetId="46">#REF!</definedName>
    <definedName name="PQ_EMPR">#REF!</definedName>
    <definedName name="Print_Area_MI" localSheetId="42">#REF!</definedName>
    <definedName name="Print_Area_MI" localSheetId="46">#REF!</definedName>
    <definedName name="Print_Area_MI">#REF!</definedName>
    <definedName name="QtdCatDnit" localSheetId="42">#REF!</definedName>
    <definedName name="QtdCatDnit">#REF!</definedName>
    <definedName name="ref" localSheetId="42">#REF!</definedName>
    <definedName name="ref">#REF!</definedName>
    <definedName name="Referencial" localSheetId="49">#REF!</definedName>
    <definedName name="Referencial">#REF!</definedName>
    <definedName name="Rendimento" localSheetId="42">#REF!</definedName>
    <definedName name="Rendimento">#REF!</definedName>
    <definedName name="resultadorendimento" localSheetId="42">#REF!</definedName>
    <definedName name="resultadorendimento">#REF!</definedName>
    <definedName name="REV." localSheetId="42">#REF!</definedName>
    <definedName name="REV.">#REF!</definedName>
    <definedName name="RzoAll" localSheetId="17">#REF!</definedName>
    <definedName name="RzoAll" localSheetId="18">#REF!</definedName>
    <definedName name="RzoAll" localSheetId="19">#REF!</definedName>
    <definedName name="RzoAll" localSheetId="27">#REF!</definedName>
    <definedName name="RzoAll" localSheetId="28">#REF!</definedName>
    <definedName name="RzoAll" localSheetId="29">#REF!</definedName>
    <definedName name="RzoAll" localSheetId="37">#REF!</definedName>
    <definedName name="RzoAll" localSheetId="38">#REF!</definedName>
    <definedName name="RzoAll" localSheetId="39">#REF!</definedName>
    <definedName name="RzoAll" localSheetId="46">#REF!</definedName>
    <definedName name="RzoAll">#REF!</definedName>
    <definedName name="SkpCnc" localSheetId="17">#REF!</definedName>
    <definedName name="SkpCnc" localSheetId="18">#REF!</definedName>
    <definedName name="SkpCnc" localSheetId="19">#REF!</definedName>
    <definedName name="SkpCnc" localSheetId="27">#REF!</definedName>
    <definedName name="SkpCnc" localSheetId="28">#REF!</definedName>
    <definedName name="SkpCnc" localSheetId="29">#REF!</definedName>
    <definedName name="SkpCnc" localSheetId="37">#REF!</definedName>
    <definedName name="SkpCnc" localSheetId="38">#REF!</definedName>
    <definedName name="SkpCnc" localSheetId="39">#REF!</definedName>
    <definedName name="SkpCnc" localSheetId="46">#REF!</definedName>
    <definedName name="SkpCnc">#REF!</definedName>
    <definedName name="Subestação" localSheetId="17">#REF!</definedName>
    <definedName name="Subestação" localSheetId="18">#REF!</definedName>
    <definedName name="Subestação" localSheetId="19">#REF!</definedName>
    <definedName name="Subestação" localSheetId="27">#REF!</definedName>
    <definedName name="Subestação" localSheetId="28">#REF!</definedName>
    <definedName name="Subestação" localSheetId="29">#REF!</definedName>
    <definedName name="Subestação" localSheetId="37">#REF!</definedName>
    <definedName name="Subestação" localSheetId="38">#REF!</definedName>
    <definedName name="Subestação" localSheetId="39">#REF!</definedName>
    <definedName name="Subestação" localSheetId="42">#REF!</definedName>
    <definedName name="Subestação" localSheetId="46">#REF!</definedName>
    <definedName name="Subestação">#REF!</definedName>
    <definedName name="t" localSheetId="42">#REF!</definedName>
    <definedName name="t" localSheetId="46">#REF!</definedName>
    <definedName name="t">#REF!</definedName>
    <definedName name="tabelaDenominação" localSheetId="42">#REF!</definedName>
    <definedName name="tabelaDenominação" localSheetId="46">#REF!</definedName>
    <definedName name="tabelaDenominação">#REF!</definedName>
    <definedName name="Tag_Carga" localSheetId="42">#REF!</definedName>
    <definedName name="Tag_Carga">#REF!</definedName>
    <definedName name="Tag_CCM" localSheetId="42">#REF!</definedName>
    <definedName name="Tag_CCM">#REF!</definedName>
    <definedName name="Tdf" localSheetId="42">#REF!</definedName>
    <definedName name="Tdf">#REF!</definedName>
    <definedName name="Teste" localSheetId="42">#REF!</definedName>
    <definedName name="Teste">#REF!</definedName>
    <definedName name="_xlnm.Print_Titles" localSheetId="42">'Diárias e Passagens'!$1:$9</definedName>
    <definedName name="_xlnm.Print_Titles" localSheetId="4">Recursos!$2:$6</definedName>
    <definedName name="_xlnm.Print_Titles" localSheetId="47">'TC 10-2023'!$1:$3</definedName>
    <definedName name="Títulos_impressão_IM" localSheetId="17">#REF!</definedName>
    <definedName name="Títulos_impressão_IM" localSheetId="18">#REF!</definedName>
    <definedName name="Títulos_impressão_IM" localSheetId="19">#REF!</definedName>
    <definedName name="Títulos_impressão_IM" localSheetId="27">#REF!</definedName>
    <definedName name="Títulos_impressão_IM" localSheetId="28">#REF!</definedName>
    <definedName name="Títulos_impressão_IM" localSheetId="29">#REF!</definedName>
    <definedName name="Títulos_impressão_IM" localSheetId="37">#REF!</definedName>
    <definedName name="Títulos_impressão_IM" localSheetId="38">#REF!</definedName>
    <definedName name="Títulos_impressão_IM" localSheetId="39">#REF!</definedName>
    <definedName name="Títulos_impressão_IM" localSheetId="42">#REF!</definedName>
    <definedName name="Títulos_impressão_IM" localSheetId="46">#REF!</definedName>
    <definedName name="Títulos_impressão_IM">#REF!</definedName>
    <definedName name="tt" localSheetId="17">#REF!</definedName>
    <definedName name="tt" localSheetId="18">#REF!</definedName>
    <definedName name="tt" localSheetId="19">#REF!</definedName>
    <definedName name="tt" localSheetId="27">#REF!</definedName>
    <definedName name="tt" localSheetId="28">#REF!</definedName>
    <definedName name="tt" localSheetId="29">#REF!</definedName>
    <definedName name="tt" localSheetId="37">#REF!</definedName>
    <definedName name="tt" localSheetId="38">#REF!</definedName>
    <definedName name="tt" localSheetId="39">#REF!</definedName>
    <definedName name="tt" localSheetId="46">#REF!</definedName>
    <definedName name="tt">#REF!</definedName>
    <definedName name="Veículos">#REF!</definedName>
    <definedName name="VnoCnc" localSheetId="17">#REF!</definedName>
    <definedName name="VnoCnc" localSheetId="18">#REF!</definedName>
    <definedName name="VnoCnc" localSheetId="19">#REF!</definedName>
    <definedName name="VnoCnc" localSheetId="27">#REF!</definedName>
    <definedName name="VnoCnc" localSheetId="28">#REF!</definedName>
    <definedName name="VnoCnc" localSheetId="29">#REF!</definedName>
    <definedName name="VnoCnc" localSheetId="37">#REF!</definedName>
    <definedName name="VnoCnc" localSheetId="38">#REF!</definedName>
    <definedName name="VnoCnc" localSheetId="39">#REF!</definedName>
    <definedName name="VnoCnc" localSheetId="46">#REF!</definedName>
    <definedName name="VnoCnc">#REF!</definedName>
    <definedName name="VsaCitCnc" localSheetId="17">#REF!</definedName>
    <definedName name="VsaCitCnc" localSheetId="18">#REF!</definedName>
    <definedName name="VsaCitCnc" localSheetId="19">#REF!</definedName>
    <definedName name="VsaCitCnc" localSheetId="27">#REF!</definedName>
    <definedName name="VsaCitCnc" localSheetId="28">#REF!</definedName>
    <definedName name="VsaCitCnc" localSheetId="29">#REF!</definedName>
    <definedName name="VsaCitCnc" localSheetId="37">#REF!</definedName>
    <definedName name="VsaCitCnc" localSheetId="38">#REF!</definedName>
    <definedName name="VsaCitCnc" localSheetId="39">#REF!</definedName>
    <definedName name="VsaCitCnc" localSheetId="46">#REF!</definedName>
    <definedName name="VsaCitCnc">#REF!</definedName>
    <definedName name="VsaPsgCnc" localSheetId="17">#REF!</definedName>
    <definedName name="VsaPsgCnc" localSheetId="18">#REF!</definedName>
    <definedName name="VsaPsgCnc" localSheetId="19">#REF!</definedName>
    <definedName name="VsaPsgCnc" localSheetId="27">#REF!</definedName>
    <definedName name="VsaPsgCnc" localSheetId="28">#REF!</definedName>
    <definedName name="VsaPsgCnc" localSheetId="29">#REF!</definedName>
    <definedName name="VsaPsgCnc" localSheetId="37">#REF!</definedName>
    <definedName name="VsaPsgCnc" localSheetId="38">#REF!</definedName>
    <definedName name="VsaPsgCnc" localSheetId="39">#REF!</definedName>
    <definedName name="VsaPsgCnc" localSheetId="46">#REF!</definedName>
    <definedName name="VsaPsgCnc">#REF!</definedName>
    <definedName name="x" localSheetId="17">#REF!</definedName>
    <definedName name="x" localSheetId="18">#REF!</definedName>
    <definedName name="x" localSheetId="19">#REF!</definedName>
    <definedName name="x" localSheetId="27">#REF!</definedName>
    <definedName name="x" localSheetId="28">#REF!</definedName>
    <definedName name="x" localSheetId="29">#REF!</definedName>
    <definedName name="x" localSheetId="37">#REF!</definedName>
    <definedName name="x" localSheetId="38">#REF!</definedName>
    <definedName name="x" localSheetId="39">#REF!</definedName>
    <definedName name="x" localSheetId="46">#REF!</definedName>
    <definedName name="x">#REF!</definedName>
    <definedName name="y" localSheetId="17">#REF!</definedName>
    <definedName name="y" localSheetId="18">#REF!</definedName>
    <definedName name="y" localSheetId="19">#REF!</definedName>
    <definedName name="y" localSheetId="27">#REF!</definedName>
    <definedName name="y" localSheetId="28">#REF!</definedName>
    <definedName name="y" localSheetId="29">#REF!</definedName>
    <definedName name="y" localSheetId="37">#REF!</definedName>
    <definedName name="y" localSheetId="38">#REF!</definedName>
    <definedName name="y" localSheetId="39">#REF!</definedName>
    <definedName name="y" localSheetId="46">#REF!</definedName>
    <definedName name="y">#REF!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 i="26" l="1"/>
  <c r="B20" i="26"/>
  <c r="B9" i="26"/>
  <c r="B74" i="40"/>
  <c r="C7" i="21"/>
  <c r="E35" i="21" s="1"/>
  <c r="E22" i="21"/>
  <c r="E9" i="21"/>
  <c r="C6" i="21" l="1"/>
  <c r="C5" i="21"/>
  <c r="O62" i="40"/>
  <c r="O61" i="40"/>
  <c r="O66" i="40"/>
  <c r="O65" i="40"/>
  <c r="C292" i="27"/>
  <c r="L292" i="27"/>
  <c r="K292" i="27"/>
  <c r="C193" i="27"/>
  <c r="L193" i="27"/>
  <c r="K193" i="27"/>
  <c r="C94" i="27"/>
  <c r="L94" i="27"/>
  <c r="K94" i="27"/>
  <c r="F17" i="47"/>
  <c r="F14" i="47"/>
  <c r="F11" i="47"/>
  <c r="F16" i="47"/>
  <c r="F13" i="47"/>
  <c r="F10" i="47"/>
  <c r="P16" i="47"/>
  <c r="N16" i="47"/>
  <c r="M16" i="47"/>
  <c r="H16" i="47"/>
  <c r="K16" i="47" s="1"/>
  <c r="L16" i="47" s="1"/>
  <c r="D16" i="47"/>
  <c r="P13" i="47"/>
  <c r="N13" i="47"/>
  <c r="M13" i="47"/>
  <c r="H13" i="47"/>
  <c r="K13" i="47" s="1"/>
  <c r="L13" i="47" s="1"/>
  <c r="D13" i="47"/>
  <c r="P10" i="47"/>
  <c r="N10" i="47"/>
  <c r="M10" i="47"/>
  <c r="H10" i="47"/>
  <c r="D10" i="47"/>
  <c r="O64" i="40"/>
  <c r="N64" i="40"/>
  <c r="L64" i="40"/>
  <c r="M64" i="40" s="1"/>
  <c r="G64" i="40"/>
  <c r="F64" i="40"/>
  <c r="A64" i="40"/>
  <c r="R64" i="40" s="1"/>
  <c r="R63" i="40"/>
  <c r="O63" i="40"/>
  <c r="N63" i="40"/>
  <c r="L63" i="40"/>
  <c r="G63" i="40"/>
  <c r="F63" i="40"/>
  <c r="L62" i="40"/>
  <c r="G62" i="40"/>
  <c r="F62" i="40"/>
  <c r="A62" i="40"/>
  <c r="R62" i="40" s="1"/>
  <c r="R61" i="40"/>
  <c r="L61" i="40"/>
  <c r="G61" i="40"/>
  <c r="F61" i="40"/>
  <c r="O58" i="40"/>
  <c r="L58" i="40"/>
  <c r="G58" i="40"/>
  <c r="F58" i="40"/>
  <c r="A58" i="40"/>
  <c r="R58" i="40" s="1"/>
  <c r="R57" i="40"/>
  <c r="O57" i="40"/>
  <c r="L57" i="40"/>
  <c r="G57" i="40"/>
  <c r="F57" i="40"/>
  <c r="B25" i="47" l="1"/>
  <c r="O16" i="47"/>
  <c r="O13" i="47"/>
  <c r="K10" i="47"/>
  <c r="L10" i="47" s="1"/>
  <c r="M63" i="40"/>
  <c r="P63" i="40"/>
  <c r="P64" i="40"/>
  <c r="Q64" i="40" s="1"/>
  <c r="M57" i="40"/>
  <c r="M62" i="40"/>
  <c r="M61" i="40"/>
  <c r="P61" i="40"/>
  <c r="P62" i="40"/>
  <c r="M58" i="40"/>
  <c r="P58" i="40"/>
  <c r="P57" i="40"/>
  <c r="Q63" i="40" l="1"/>
  <c r="Q61" i="40"/>
  <c r="O10" i="47"/>
  <c r="Q62" i="40"/>
  <c r="Q57" i="40"/>
  <c r="Q58" i="40"/>
  <c r="D37" i="26" l="1"/>
  <c r="D38" i="26"/>
  <c r="D39" i="26"/>
  <c r="D40" i="26"/>
  <c r="D41" i="26"/>
  <c r="D36" i="26"/>
  <c r="D26" i="26"/>
  <c r="D27" i="26"/>
  <c r="D28" i="26"/>
  <c r="D29" i="26"/>
  <c r="D30" i="26"/>
  <c r="D25" i="26"/>
  <c r="D15" i="26"/>
  <c r="D16" i="26"/>
  <c r="D17" i="26"/>
  <c r="D18" i="26"/>
  <c r="D19" i="26"/>
  <c r="D14" i="26"/>
  <c r="AT33" i="26"/>
  <c r="AT34" i="26" s="1"/>
  <c r="AT35" i="26" s="1"/>
  <c r="AT36" i="26" s="1"/>
  <c r="AT37" i="26" s="1"/>
  <c r="AT38" i="26" s="1"/>
  <c r="AT39" i="26" s="1"/>
  <c r="AT40" i="26" s="1"/>
  <c r="AT41" i="26" s="1"/>
  <c r="AT23" i="26"/>
  <c r="AT24" i="26" s="1"/>
  <c r="AT25" i="26" s="1"/>
  <c r="AT26" i="26" s="1"/>
  <c r="AT27" i="26" s="1"/>
  <c r="AT28" i="26" s="1"/>
  <c r="AT29" i="26" s="1"/>
  <c r="AT30" i="26" s="1"/>
  <c r="AT22" i="26"/>
  <c r="AT12" i="26"/>
  <c r="AT13" i="26" s="1"/>
  <c r="AT14" i="26" s="1"/>
  <c r="AT15" i="26" s="1"/>
  <c r="AT16" i="26" s="1"/>
  <c r="AT17" i="26" s="1"/>
  <c r="AT18" i="26" s="1"/>
  <c r="AT19" i="26" s="1"/>
  <c r="AT11" i="26"/>
  <c r="B11" i="24"/>
  <c r="B12" i="24"/>
  <c r="B13" i="24"/>
  <c r="B14" i="24"/>
  <c r="C14" i="24"/>
  <c r="D11" i="24"/>
  <c r="C12" i="24"/>
  <c r="C13" i="24"/>
  <c r="C11" i="24"/>
  <c r="C11" i="21"/>
  <c r="C37" i="21" s="1"/>
  <c r="C12" i="21"/>
  <c r="C20" i="27" s="1"/>
  <c r="C30" i="27" s="1"/>
  <c r="C13" i="21"/>
  <c r="C14" i="21"/>
  <c r="C15" i="21"/>
  <c r="C16" i="21"/>
  <c r="C29" i="21" s="1"/>
  <c r="C175" i="27" s="1"/>
  <c r="C17" i="21"/>
  <c r="C83" i="27" s="1"/>
  <c r="C18" i="21"/>
  <c r="C44" i="21" s="1"/>
  <c r="C293" i="27" s="1"/>
  <c r="C19" i="21"/>
  <c r="C45" i="21" s="1"/>
  <c r="C302" i="27" s="1"/>
  <c r="C20" i="21"/>
  <c r="C113" i="27" s="1"/>
  <c r="B175" i="27"/>
  <c r="A175" i="27" s="1"/>
  <c r="A119" i="27"/>
  <c r="A311" i="27"/>
  <c r="B311" i="27"/>
  <c r="B302" i="27"/>
  <c r="A302" i="27" s="1"/>
  <c r="B293" i="27"/>
  <c r="A293" i="27" s="1"/>
  <c r="B281" i="27"/>
  <c r="A281" i="27" s="1"/>
  <c r="B274" i="27"/>
  <c r="A274" i="27" s="1"/>
  <c r="B264" i="27"/>
  <c r="A264" i="27" s="1"/>
  <c r="B250" i="27"/>
  <c r="A250" i="27" s="1"/>
  <c r="C239" i="27"/>
  <c r="B239" i="27"/>
  <c r="A239" i="27" s="1"/>
  <c r="B217" i="27"/>
  <c r="A218" i="27"/>
  <c r="B218" i="27" s="1"/>
  <c r="C217" i="27"/>
  <c r="B212" i="27"/>
  <c r="A212" i="27" s="1"/>
  <c r="B203" i="27"/>
  <c r="A203" i="27" s="1"/>
  <c r="B194" i="27"/>
  <c r="A194" i="27" s="1"/>
  <c r="B182" i="27"/>
  <c r="A182" i="27" s="1"/>
  <c r="B165" i="27"/>
  <c r="A165" i="27" s="1"/>
  <c r="B151" i="27"/>
  <c r="A151" i="27" s="1"/>
  <c r="B140" i="27"/>
  <c r="A140" i="27" s="1"/>
  <c r="C119" i="27"/>
  <c r="C129" i="27" s="1"/>
  <c r="B118" i="27"/>
  <c r="C118" i="27"/>
  <c r="B113" i="27"/>
  <c r="A113" i="27" s="1"/>
  <c r="B104" i="27"/>
  <c r="A104" i="27" s="1"/>
  <c r="C104" i="27"/>
  <c r="B95" i="27"/>
  <c r="A95" i="27" s="1"/>
  <c r="C95" i="27"/>
  <c r="B83" i="27"/>
  <c r="A83" i="27" s="1"/>
  <c r="B76" i="27"/>
  <c r="A76" i="27" s="1"/>
  <c r="B66" i="27"/>
  <c r="A66" i="27" s="1"/>
  <c r="C66" i="27"/>
  <c r="C52" i="27"/>
  <c r="C62" i="27" s="1"/>
  <c r="B52" i="27"/>
  <c r="A52" i="27" s="1"/>
  <c r="C41" i="27"/>
  <c r="B41" i="27"/>
  <c r="A41" i="27" s="1"/>
  <c r="C19" i="27"/>
  <c r="B6" i="50"/>
  <c r="C6" i="50"/>
  <c r="B7" i="50"/>
  <c r="C7" i="50"/>
  <c r="B8" i="50"/>
  <c r="C8" i="50"/>
  <c r="B5" i="50"/>
  <c r="D5" i="50"/>
  <c r="C5" i="50"/>
  <c r="D7" i="21"/>
  <c r="D8" i="50" s="1"/>
  <c r="D6" i="21"/>
  <c r="D13" i="24" s="1"/>
  <c r="D5" i="21"/>
  <c r="D12" i="24" s="1"/>
  <c r="C39" i="21"/>
  <c r="C40" i="21"/>
  <c r="C250" i="27" s="1"/>
  <c r="C41" i="21"/>
  <c r="C264" i="27" s="1"/>
  <c r="C42" i="21"/>
  <c r="C274" i="27" s="1"/>
  <c r="C43" i="21"/>
  <c r="C281" i="27" s="1"/>
  <c r="C24" i="21"/>
  <c r="C25" i="21"/>
  <c r="C26" i="21"/>
  <c r="C140" i="27" s="1"/>
  <c r="C27" i="21"/>
  <c r="C151" i="27" s="1"/>
  <c r="C161" i="27" s="1"/>
  <c r="C28" i="21"/>
  <c r="C165" i="27" s="1"/>
  <c r="C32" i="21"/>
  <c r="C203" i="27" s="1"/>
  <c r="D7" i="50" l="1"/>
  <c r="D14" i="24"/>
  <c r="D6" i="50"/>
  <c r="C33" i="21"/>
  <c r="C212" i="27" s="1"/>
  <c r="C31" i="21"/>
  <c r="C194" i="27" s="1"/>
  <c r="C46" i="21"/>
  <c r="C311" i="27" s="1"/>
  <c r="C38" i="21"/>
  <c r="C218" i="27" s="1"/>
  <c r="C30" i="21"/>
  <c r="C182" i="27" s="1"/>
  <c r="C76" i="27"/>
  <c r="F313" i="27" l="1"/>
  <c r="K313" i="27"/>
  <c r="F214" i="27"/>
  <c r="K214" i="27"/>
  <c r="F115" i="27"/>
  <c r="K115" i="27"/>
  <c r="C276" i="27"/>
  <c r="E276" i="27" s="1"/>
  <c r="F276" i="27"/>
  <c r="K276" i="27"/>
  <c r="C177" i="27"/>
  <c r="E177" i="27" s="1"/>
  <c r="F177" i="27"/>
  <c r="K177" i="27"/>
  <c r="C78" i="27"/>
  <c r="E78" i="27" s="1"/>
  <c r="F78" i="27"/>
  <c r="K78" i="27"/>
  <c r="C252" i="27"/>
  <c r="G252" i="27" s="1"/>
  <c r="F252" i="27"/>
  <c r="K252" i="27"/>
  <c r="C253" i="27"/>
  <c r="E253" i="27" s="1"/>
  <c r="F253" i="27"/>
  <c r="K253" i="27"/>
  <c r="C254" i="27"/>
  <c r="E254" i="27" s="1"/>
  <c r="F254" i="27"/>
  <c r="K254" i="27"/>
  <c r="C153" i="27"/>
  <c r="E153" i="27" s="1"/>
  <c r="F153" i="27"/>
  <c r="K153" i="27"/>
  <c r="C154" i="27"/>
  <c r="E154" i="27" s="1"/>
  <c r="F154" i="27"/>
  <c r="K154" i="27"/>
  <c r="C155" i="27"/>
  <c r="E155" i="27" s="1"/>
  <c r="F155" i="27"/>
  <c r="K155" i="27"/>
  <c r="C54" i="27"/>
  <c r="G54" i="27" s="1"/>
  <c r="F54" i="27"/>
  <c r="K54" i="27"/>
  <c r="C55" i="27"/>
  <c r="E55" i="27" s="1"/>
  <c r="F55" i="27"/>
  <c r="K55" i="27"/>
  <c r="C56" i="27"/>
  <c r="E56" i="27" s="1"/>
  <c r="F56" i="27"/>
  <c r="K56" i="27"/>
  <c r="C241" i="27"/>
  <c r="E241" i="27" s="1"/>
  <c r="F241" i="27"/>
  <c r="K241" i="27"/>
  <c r="C242" i="27"/>
  <c r="E242" i="27" s="1"/>
  <c r="F242" i="27"/>
  <c r="K242" i="27"/>
  <c r="C243" i="27"/>
  <c r="E243" i="27" s="1"/>
  <c r="F243" i="27"/>
  <c r="K243" i="27"/>
  <c r="C142" i="27"/>
  <c r="E142" i="27" s="1"/>
  <c r="F142" i="27"/>
  <c r="K142" i="27"/>
  <c r="C143" i="27"/>
  <c r="G143" i="27" s="1"/>
  <c r="F143" i="27"/>
  <c r="K143" i="27"/>
  <c r="C144" i="27"/>
  <c r="E144" i="27" s="1"/>
  <c r="F144" i="27"/>
  <c r="K144" i="27"/>
  <c r="C43" i="27"/>
  <c r="E43" i="27" s="1"/>
  <c r="F43" i="27"/>
  <c r="K43" i="27"/>
  <c r="C44" i="27"/>
  <c r="G44" i="27" s="1"/>
  <c r="F44" i="27"/>
  <c r="K44" i="27"/>
  <c r="C45" i="27"/>
  <c r="E45" i="27" s="1"/>
  <c r="F45" i="27"/>
  <c r="K45" i="27"/>
  <c r="C230" i="27"/>
  <c r="E230" i="27" s="1"/>
  <c r="F230" i="27"/>
  <c r="K230" i="27"/>
  <c r="C231" i="27"/>
  <c r="G231" i="27" s="1"/>
  <c r="F231" i="27"/>
  <c r="K231" i="27"/>
  <c r="C232" i="27"/>
  <c r="E232" i="27" s="1"/>
  <c r="F232" i="27"/>
  <c r="K232" i="27"/>
  <c r="C233" i="27"/>
  <c r="E233" i="27" s="1"/>
  <c r="F233" i="27"/>
  <c r="K233" i="27"/>
  <c r="C221" i="27"/>
  <c r="E221" i="27" s="1"/>
  <c r="F221" i="27"/>
  <c r="K221" i="27"/>
  <c r="C222" i="27"/>
  <c r="E222" i="27" s="1"/>
  <c r="F222" i="27"/>
  <c r="K222" i="27"/>
  <c r="C220" i="27"/>
  <c r="C131" i="27"/>
  <c r="E131" i="27" s="1"/>
  <c r="F131" i="27"/>
  <c r="K131" i="27"/>
  <c r="C132" i="27"/>
  <c r="G132" i="27" s="1"/>
  <c r="F132" i="27"/>
  <c r="K132" i="27"/>
  <c r="C133" i="27"/>
  <c r="E133" i="27" s="1"/>
  <c r="F133" i="27"/>
  <c r="K133" i="27"/>
  <c r="C134" i="27"/>
  <c r="E134" i="27" s="1"/>
  <c r="F134" i="27"/>
  <c r="K134" i="27"/>
  <c r="C122" i="27"/>
  <c r="G122" i="27" s="1"/>
  <c r="F122" i="27"/>
  <c r="K122" i="27"/>
  <c r="C123" i="27"/>
  <c r="E123" i="27" s="1"/>
  <c r="F123" i="27"/>
  <c r="K123" i="27"/>
  <c r="C121" i="27"/>
  <c r="C32" i="27"/>
  <c r="E32" i="27" s="1"/>
  <c r="F32" i="27"/>
  <c r="K32" i="27"/>
  <c r="C33" i="27"/>
  <c r="G33" i="27" s="1"/>
  <c r="F33" i="27"/>
  <c r="K33" i="27"/>
  <c r="C34" i="27"/>
  <c r="E34" i="27" s="1"/>
  <c r="F34" i="27"/>
  <c r="K34" i="27"/>
  <c r="C35" i="27"/>
  <c r="G35" i="27" s="1"/>
  <c r="F35" i="27"/>
  <c r="K35" i="27"/>
  <c r="C23" i="27"/>
  <c r="E23" i="27" s="1"/>
  <c r="F23" i="27"/>
  <c r="K23" i="27"/>
  <c r="C24" i="27"/>
  <c r="G24" i="27" s="1"/>
  <c r="F24" i="27"/>
  <c r="K24" i="27"/>
  <c r="C22" i="27"/>
  <c r="G19" i="78"/>
  <c r="B19" i="78"/>
  <c r="J19" i="78" s="1"/>
  <c r="G21" i="76"/>
  <c r="B21" i="76"/>
  <c r="J21" i="76" s="1"/>
  <c r="G21" i="75"/>
  <c r="B21" i="75"/>
  <c r="J21" i="75" s="1"/>
  <c r="G22" i="66"/>
  <c r="B22" i="66"/>
  <c r="J22" i="66" s="1"/>
  <c r="J21" i="66"/>
  <c r="G21" i="66"/>
  <c r="B21" i="66"/>
  <c r="J20" i="65"/>
  <c r="G20" i="65"/>
  <c r="G19" i="65"/>
  <c r="B19" i="65"/>
  <c r="J19" i="65" s="1"/>
  <c r="J18" i="65"/>
  <c r="G18" i="65"/>
  <c r="B18" i="65"/>
  <c r="G19" i="70"/>
  <c r="B19" i="70"/>
  <c r="J19" i="70" s="1"/>
  <c r="G21" i="68"/>
  <c r="B21" i="68"/>
  <c r="J21" i="68" s="1"/>
  <c r="G21" i="67"/>
  <c r="B21" i="67"/>
  <c r="J21" i="67" s="1"/>
  <c r="G22" i="64"/>
  <c r="B22" i="64"/>
  <c r="J22" i="64" s="1"/>
  <c r="J21" i="64"/>
  <c r="G21" i="64"/>
  <c r="B21" i="64"/>
  <c r="J20" i="63"/>
  <c r="G20" i="63"/>
  <c r="G19" i="63"/>
  <c r="B19" i="63"/>
  <c r="J19" i="63" s="1"/>
  <c r="J18" i="63"/>
  <c r="G18" i="63"/>
  <c r="B18" i="63"/>
  <c r="G19" i="14"/>
  <c r="B19" i="14"/>
  <c r="J19" i="14" s="1"/>
  <c r="G21" i="12"/>
  <c r="B21" i="12"/>
  <c r="J21" i="12" s="1"/>
  <c r="G21" i="11"/>
  <c r="B21" i="11"/>
  <c r="J21" i="11" s="1"/>
  <c r="G22" i="56"/>
  <c r="L35" i="27" s="1"/>
  <c r="B22" i="56"/>
  <c r="J22" i="56" s="1"/>
  <c r="J21" i="56"/>
  <c r="G21" i="56"/>
  <c r="L34" i="27" s="1"/>
  <c r="B21" i="56"/>
  <c r="J20" i="10"/>
  <c r="G20" i="10"/>
  <c r="L24" i="27" s="1"/>
  <c r="G19" i="10"/>
  <c r="L23" i="27" s="1"/>
  <c r="B19" i="10"/>
  <c r="J19" i="10" s="1"/>
  <c r="J18" i="10"/>
  <c r="G18" i="10"/>
  <c r="L22" i="27" s="1"/>
  <c r="B18" i="10"/>
  <c r="H4" i="18"/>
  <c r="G241" i="27" l="1"/>
  <c r="G144" i="27"/>
  <c r="G34" i="27"/>
  <c r="G233" i="27"/>
  <c r="E122" i="27"/>
  <c r="E35" i="27"/>
  <c r="E33" i="27"/>
  <c r="G232" i="27"/>
  <c r="G155" i="27"/>
  <c r="G276" i="27"/>
  <c r="G222" i="27"/>
  <c r="E132" i="27"/>
  <c r="E231" i="27"/>
  <c r="G242" i="27"/>
  <c r="E54" i="27"/>
  <c r="E44" i="27"/>
  <c r="G243" i="27"/>
  <c r="E24" i="27"/>
  <c r="E252" i="27"/>
  <c r="E143" i="27"/>
  <c r="L144" i="27"/>
  <c r="L222" i="27"/>
  <c r="L134" i="27"/>
  <c r="L177" i="27"/>
  <c r="L155" i="27"/>
  <c r="L232" i="27"/>
  <c r="L233" i="27"/>
  <c r="L122" i="27"/>
  <c r="L254" i="27"/>
  <c r="L121" i="27"/>
  <c r="L123" i="27"/>
  <c r="L133" i="27"/>
  <c r="L243" i="27"/>
  <c r="L56" i="27"/>
  <c r="L221" i="27"/>
  <c r="L45" i="27"/>
  <c r="L78" i="27"/>
  <c r="L276" i="27"/>
  <c r="L220" i="27"/>
  <c r="G177" i="27"/>
  <c r="G78" i="27"/>
  <c r="G254" i="27"/>
  <c r="G253" i="27"/>
  <c r="G154" i="27"/>
  <c r="G153" i="27"/>
  <c r="G56" i="27"/>
  <c r="G55" i="27"/>
  <c r="G142" i="27"/>
  <c r="G45" i="27"/>
  <c r="G43" i="27"/>
  <c r="G230" i="27"/>
  <c r="G221" i="27"/>
  <c r="G134" i="27"/>
  <c r="G133" i="27"/>
  <c r="G131" i="27"/>
  <c r="G123" i="27"/>
  <c r="G32" i="27"/>
  <c r="G23" i="27"/>
  <c r="C14" i="19"/>
  <c r="K32" i="26"/>
  <c r="AM32" i="26" s="1"/>
  <c r="K31" i="26"/>
  <c r="AF31" i="26" s="1"/>
  <c r="K21" i="26"/>
  <c r="AH21" i="26" s="1"/>
  <c r="K20" i="26"/>
  <c r="AE20" i="26" s="1"/>
  <c r="K10" i="26"/>
  <c r="AG10" i="26" s="1"/>
  <c r="AT10" i="26"/>
  <c r="AT21" i="26" s="1"/>
  <c r="AT32" i="26" s="1"/>
  <c r="AU10" i="26"/>
  <c r="AU20" i="26" s="1"/>
  <c r="AU21" i="26" s="1"/>
  <c r="AU31" i="26" s="1"/>
  <c r="AL32" i="26" l="1"/>
  <c r="AM31" i="26"/>
  <c r="AN21" i="26"/>
  <c r="AO20" i="26"/>
  <c r="AS32" i="26"/>
  <c r="AK32" i="26"/>
  <c r="AL31" i="26"/>
  <c r="AM21" i="26"/>
  <c r="AN20" i="26"/>
  <c r="AO10" i="26"/>
  <c r="AQ32" i="26"/>
  <c r="AR31" i="26"/>
  <c r="AS21" i="26"/>
  <c r="AK21" i="26"/>
  <c r="AL20" i="26"/>
  <c r="AM10" i="26"/>
  <c r="AP10" i="26"/>
  <c r="AP32" i="26"/>
  <c r="AQ31" i="26"/>
  <c r="AR21" i="26"/>
  <c r="AS20" i="26"/>
  <c r="AK20" i="26"/>
  <c r="AL10" i="26"/>
  <c r="AR32" i="26"/>
  <c r="AS31" i="26"/>
  <c r="AK31" i="26"/>
  <c r="AL21" i="26"/>
  <c r="AM20" i="26"/>
  <c r="AN10" i="26"/>
  <c r="AO32" i="26"/>
  <c r="AP31" i="26"/>
  <c r="AQ21" i="26"/>
  <c r="AR20" i="26"/>
  <c r="AS10" i="26"/>
  <c r="AK10" i="26"/>
  <c r="AN32" i="26"/>
  <c r="AO31" i="26"/>
  <c r="AP21" i="26"/>
  <c r="AQ20" i="26"/>
  <c r="AR10" i="26"/>
  <c r="AN31" i="26"/>
  <c r="AO21" i="26"/>
  <c r="AP20" i="26"/>
  <c r="AQ10" i="26"/>
  <c r="S10" i="26"/>
  <c r="AA10" i="26"/>
  <c r="AI10" i="26"/>
  <c r="Y20" i="26"/>
  <c r="T10" i="26"/>
  <c r="AB10" i="26"/>
  <c r="AJ10" i="26"/>
  <c r="AB20" i="26"/>
  <c r="M10" i="26"/>
  <c r="U10" i="26"/>
  <c r="AC10" i="26"/>
  <c r="AF20" i="26"/>
  <c r="N10" i="26"/>
  <c r="V10" i="26"/>
  <c r="AD10" i="26"/>
  <c r="AG20" i="26"/>
  <c r="R10" i="26"/>
  <c r="Z10" i="26"/>
  <c r="AH10" i="26"/>
  <c r="X20" i="26"/>
  <c r="O10" i="26"/>
  <c r="W10" i="26"/>
  <c r="AE10" i="26"/>
  <c r="P20" i="26"/>
  <c r="AJ20" i="26"/>
  <c r="P10" i="26"/>
  <c r="X10" i="26"/>
  <c r="AF10" i="26"/>
  <c r="Q20" i="26"/>
  <c r="Q10" i="26"/>
  <c r="Y10" i="26"/>
  <c r="T20" i="26"/>
  <c r="N32" i="26"/>
  <c r="AH32" i="26"/>
  <c r="V32" i="26"/>
  <c r="O32" i="26"/>
  <c r="W32" i="26"/>
  <c r="AE32" i="26"/>
  <c r="AD32" i="26"/>
  <c r="P32" i="26"/>
  <c r="X32" i="26"/>
  <c r="AF32" i="26"/>
  <c r="Q32" i="26"/>
  <c r="Y32" i="26"/>
  <c r="AG32" i="26"/>
  <c r="S32" i="26"/>
  <c r="AA32" i="26"/>
  <c r="AI32" i="26"/>
  <c r="Z32" i="26"/>
  <c r="T32" i="26"/>
  <c r="AB32" i="26"/>
  <c r="AJ32" i="26"/>
  <c r="R32" i="26"/>
  <c r="M32" i="26"/>
  <c r="U32" i="26"/>
  <c r="AC32" i="26"/>
  <c r="R20" i="26"/>
  <c r="Z20" i="26"/>
  <c r="AH20" i="26"/>
  <c r="S20" i="26"/>
  <c r="AA20" i="26"/>
  <c r="AI20" i="26"/>
  <c r="M20" i="26"/>
  <c r="U20" i="26"/>
  <c r="AC20" i="26"/>
  <c r="N20" i="26"/>
  <c r="V20" i="26"/>
  <c r="AD20" i="26"/>
  <c r="O20" i="26"/>
  <c r="W20" i="26"/>
  <c r="AB21" i="26"/>
  <c r="M21" i="26"/>
  <c r="P21" i="26"/>
  <c r="AF21" i="26"/>
  <c r="Q21" i="26"/>
  <c r="AG21" i="26"/>
  <c r="T21" i="26"/>
  <c r="AJ21" i="26"/>
  <c r="AC21" i="26"/>
  <c r="U21" i="26"/>
  <c r="X21" i="26"/>
  <c r="Y21" i="26"/>
  <c r="Q31" i="26"/>
  <c r="Y31" i="26"/>
  <c r="AG31" i="26"/>
  <c r="AH31" i="26"/>
  <c r="AJ31" i="26"/>
  <c r="R31" i="26"/>
  <c r="Z31" i="26"/>
  <c r="S31" i="26"/>
  <c r="AA31" i="26"/>
  <c r="AI31" i="26"/>
  <c r="T31" i="26"/>
  <c r="AB31" i="26"/>
  <c r="M31" i="26"/>
  <c r="U31" i="26"/>
  <c r="AC31" i="26"/>
  <c r="N31" i="26"/>
  <c r="V31" i="26"/>
  <c r="AD31" i="26"/>
  <c r="O31" i="26"/>
  <c r="W31" i="26"/>
  <c r="AE31" i="26"/>
  <c r="P31" i="26"/>
  <c r="X31" i="26"/>
  <c r="S21" i="26"/>
  <c r="AA21" i="26"/>
  <c r="AI21" i="26"/>
  <c r="N21" i="26"/>
  <c r="V21" i="26"/>
  <c r="AD21" i="26"/>
  <c r="O21" i="26"/>
  <c r="W21" i="26"/>
  <c r="AE21" i="26"/>
  <c r="R21" i="26"/>
  <c r="Z21" i="26"/>
  <c r="K41" i="26" l="1"/>
  <c r="K30" i="26"/>
  <c r="K19" i="26"/>
  <c r="K40" i="26"/>
  <c r="K29" i="26"/>
  <c r="K18" i="26"/>
  <c r="K39" i="26"/>
  <c r="K28" i="26"/>
  <c r="K17" i="26"/>
  <c r="K38" i="26"/>
  <c r="K27" i="26"/>
  <c r="K16" i="26"/>
  <c r="K37" i="26"/>
  <c r="K26" i="26"/>
  <c r="K15" i="26"/>
  <c r="K36" i="26"/>
  <c r="K25" i="26"/>
  <c r="K14" i="26"/>
  <c r="K35" i="26"/>
  <c r="K34" i="26"/>
  <c r="K24" i="26"/>
  <c r="K23" i="26"/>
  <c r="K13" i="26"/>
  <c r="K12" i="26"/>
  <c r="K33" i="26"/>
  <c r="K22" i="26"/>
  <c r="K11" i="26"/>
  <c r="AQ12" i="26" l="1"/>
  <c r="AR12" i="26"/>
  <c r="AK12" i="26"/>
  <c r="AS12" i="26"/>
  <c r="AN12" i="26"/>
  <c r="AL12" i="26"/>
  <c r="AM12" i="26"/>
  <c r="AP12" i="26"/>
  <c r="AO12" i="26"/>
  <c r="AQ36" i="26"/>
  <c r="AR36" i="26"/>
  <c r="AK36" i="26"/>
  <c r="AS36" i="26"/>
  <c r="AN36" i="26"/>
  <c r="AL36" i="26"/>
  <c r="AM36" i="26"/>
  <c r="AP36" i="26"/>
  <c r="AO36" i="26"/>
  <c r="AQ28" i="26"/>
  <c r="AR28" i="26"/>
  <c r="AK28" i="26"/>
  <c r="AS28" i="26"/>
  <c r="AN28" i="26"/>
  <c r="AL28" i="26"/>
  <c r="AM28" i="26"/>
  <c r="AP28" i="26"/>
  <c r="AO28" i="26"/>
  <c r="AP13" i="26"/>
  <c r="AQ13" i="26"/>
  <c r="AR13" i="26"/>
  <c r="AM13" i="26"/>
  <c r="AK13" i="26"/>
  <c r="AS13" i="26"/>
  <c r="AL13" i="26"/>
  <c r="AO13" i="26"/>
  <c r="AN13" i="26"/>
  <c r="AP15" i="26"/>
  <c r="AQ15" i="26"/>
  <c r="AR15" i="26"/>
  <c r="AM15" i="26"/>
  <c r="AK15" i="26"/>
  <c r="AS15" i="26"/>
  <c r="AL15" i="26"/>
  <c r="AO15" i="26"/>
  <c r="AN15" i="26"/>
  <c r="AP39" i="26"/>
  <c r="AQ39" i="26"/>
  <c r="AR39" i="26"/>
  <c r="AM39" i="26"/>
  <c r="AK39" i="26"/>
  <c r="AS39" i="26"/>
  <c r="AL39" i="26"/>
  <c r="AO39" i="26"/>
  <c r="AN39" i="26"/>
  <c r="AO18" i="26"/>
  <c r="AP18" i="26"/>
  <c r="AQ18" i="26"/>
  <c r="AL18" i="26"/>
  <c r="AR18" i="26"/>
  <c r="AK18" i="26"/>
  <c r="AS18" i="26"/>
  <c r="AN18" i="26"/>
  <c r="AM18" i="26"/>
  <c r="AN24" i="26"/>
  <c r="AO24" i="26"/>
  <c r="AP24" i="26"/>
  <c r="AK24" i="26"/>
  <c r="AS24" i="26"/>
  <c r="AQ24" i="26"/>
  <c r="AR24" i="26"/>
  <c r="AM24" i="26"/>
  <c r="AL24" i="26"/>
  <c r="AN37" i="26"/>
  <c r="AO37" i="26"/>
  <c r="AP37" i="26"/>
  <c r="AK37" i="26"/>
  <c r="AS37" i="26"/>
  <c r="AQ37" i="26"/>
  <c r="AR37" i="26"/>
  <c r="AM37" i="26"/>
  <c r="AL37" i="26"/>
  <c r="AN29" i="26"/>
  <c r="AO29" i="26"/>
  <c r="AP29" i="26"/>
  <c r="AK29" i="26"/>
  <c r="AS29" i="26"/>
  <c r="AQ29" i="26"/>
  <c r="AR29" i="26"/>
  <c r="AM29" i="26"/>
  <c r="AL29" i="26"/>
  <c r="AO23" i="26"/>
  <c r="AP23" i="26"/>
  <c r="AQ23" i="26"/>
  <c r="AL23" i="26"/>
  <c r="AR23" i="26"/>
  <c r="AK23" i="26"/>
  <c r="AS23" i="26"/>
  <c r="AN23" i="26"/>
  <c r="AM23" i="26"/>
  <c r="AM34" i="26"/>
  <c r="AN34" i="26"/>
  <c r="AO34" i="26"/>
  <c r="AR34" i="26"/>
  <c r="AP34" i="26"/>
  <c r="AQ34" i="26"/>
  <c r="AL34" i="26"/>
  <c r="AK34" i="26"/>
  <c r="AS34" i="26"/>
  <c r="AM16" i="26"/>
  <c r="AN16" i="26"/>
  <c r="AO16" i="26"/>
  <c r="AR16" i="26"/>
  <c r="AP16" i="26"/>
  <c r="AQ16" i="26"/>
  <c r="AL16" i="26"/>
  <c r="AK16" i="26"/>
  <c r="AS16" i="26"/>
  <c r="AM40" i="26"/>
  <c r="AN40" i="26"/>
  <c r="AO40" i="26"/>
  <c r="AP40" i="26"/>
  <c r="AR40" i="26"/>
  <c r="AQ40" i="26"/>
  <c r="AL40" i="26"/>
  <c r="AK40" i="26"/>
  <c r="AS40" i="26"/>
  <c r="AO26" i="26"/>
  <c r="AP26" i="26"/>
  <c r="AQ26" i="26"/>
  <c r="AL26" i="26"/>
  <c r="AR26" i="26"/>
  <c r="AK26" i="26"/>
  <c r="AS26" i="26"/>
  <c r="AN26" i="26"/>
  <c r="AM26" i="26"/>
  <c r="AL11" i="26"/>
  <c r="AM11" i="26"/>
  <c r="AN11" i="26"/>
  <c r="AQ11" i="26"/>
  <c r="AO11" i="26"/>
  <c r="AP11" i="26"/>
  <c r="AK11" i="26"/>
  <c r="AS11" i="26"/>
  <c r="AR11" i="26"/>
  <c r="AL35" i="26"/>
  <c r="AM35" i="26"/>
  <c r="AN35" i="26"/>
  <c r="AQ35" i="26"/>
  <c r="AO35" i="26"/>
  <c r="AP35" i="26"/>
  <c r="AK35" i="26"/>
  <c r="AS35" i="26"/>
  <c r="AR35" i="26"/>
  <c r="AL27" i="26"/>
  <c r="AM27" i="26"/>
  <c r="AN27" i="26"/>
  <c r="AQ27" i="26"/>
  <c r="AO27" i="26"/>
  <c r="AP27" i="26"/>
  <c r="AK27" i="26"/>
  <c r="AS27" i="26"/>
  <c r="AR27" i="26"/>
  <c r="AL19" i="26"/>
  <c r="AM19" i="26"/>
  <c r="AN19" i="26"/>
  <c r="AQ19" i="26"/>
  <c r="AO19" i="26"/>
  <c r="AP19" i="26"/>
  <c r="AK19" i="26"/>
  <c r="AS19" i="26"/>
  <c r="AR19" i="26"/>
  <c r="AK22" i="26"/>
  <c r="AS22" i="26"/>
  <c r="AL22" i="26"/>
  <c r="AM22" i="26"/>
  <c r="AP22" i="26"/>
  <c r="AN22" i="26"/>
  <c r="AO22" i="26"/>
  <c r="AR22" i="26"/>
  <c r="AQ22" i="26"/>
  <c r="AK14" i="26"/>
  <c r="AS14" i="26"/>
  <c r="AL14" i="26"/>
  <c r="AM14" i="26"/>
  <c r="AP14" i="26"/>
  <c r="AN14" i="26"/>
  <c r="AO14" i="26"/>
  <c r="AR14" i="26"/>
  <c r="AQ14" i="26"/>
  <c r="AK38" i="26"/>
  <c r="AS38" i="26"/>
  <c r="AL38" i="26"/>
  <c r="AM38" i="26"/>
  <c r="AP38" i="26"/>
  <c r="AN38" i="26"/>
  <c r="AO38" i="26"/>
  <c r="AR38" i="26"/>
  <c r="AQ38" i="26"/>
  <c r="AK30" i="26"/>
  <c r="AS30" i="26"/>
  <c r="AL30" i="26"/>
  <c r="AM30" i="26"/>
  <c r="AP30" i="26"/>
  <c r="AN30" i="26"/>
  <c r="AO30" i="26"/>
  <c r="AR30" i="26"/>
  <c r="AQ30" i="26"/>
  <c r="AR33" i="26"/>
  <c r="AK33" i="26"/>
  <c r="AS33" i="26"/>
  <c r="AL33" i="26"/>
  <c r="AO33" i="26"/>
  <c r="AM33" i="26"/>
  <c r="AN33" i="26"/>
  <c r="AQ33" i="26"/>
  <c r="AP33" i="26"/>
  <c r="AR25" i="26"/>
  <c r="AK25" i="26"/>
  <c r="AS25" i="26"/>
  <c r="AL25" i="26"/>
  <c r="AO25" i="26"/>
  <c r="AM25" i="26"/>
  <c r="AN25" i="26"/>
  <c r="AQ25" i="26"/>
  <c r="AP25" i="26"/>
  <c r="AR17" i="26"/>
  <c r="AK17" i="26"/>
  <c r="AS17" i="26"/>
  <c r="AL17" i="26"/>
  <c r="AO17" i="26"/>
  <c r="AM17" i="26"/>
  <c r="AN17" i="26"/>
  <c r="AQ17" i="26"/>
  <c r="AP17" i="26"/>
  <c r="AR41" i="26"/>
  <c r="AK41" i="26"/>
  <c r="AS41" i="26"/>
  <c r="AL41" i="26"/>
  <c r="AO41" i="26"/>
  <c r="AM41" i="26"/>
  <c r="AN41" i="26"/>
  <c r="AQ41" i="26"/>
  <c r="AP41" i="26"/>
  <c r="M30" i="26"/>
  <c r="M41" i="26"/>
  <c r="AI30" i="26"/>
  <c r="W30" i="26"/>
  <c r="S30" i="26"/>
  <c r="S41" i="26"/>
  <c r="O41" i="26"/>
  <c r="AE41" i="26"/>
  <c r="W41" i="26"/>
  <c r="AA30" i="26"/>
  <c r="O30" i="26"/>
  <c r="AE30" i="26"/>
  <c r="AJ41" i="26"/>
  <c r="AB41" i="26"/>
  <c r="T41" i="26"/>
  <c r="AA41" i="26"/>
  <c r="AH41" i="26"/>
  <c r="Z41" i="26"/>
  <c r="R41" i="26"/>
  <c r="AI41" i="26"/>
  <c r="AG41" i="26"/>
  <c r="Y41" i="26"/>
  <c r="Q41" i="26"/>
  <c r="AF41" i="26"/>
  <c r="X41" i="26"/>
  <c r="P41" i="26"/>
  <c r="AD41" i="26"/>
  <c r="V41" i="26"/>
  <c r="N41" i="26"/>
  <c r="AC41" i="26"/>
  <c r="U41" i="26"/>
  <c r="AD30" i="26"/>
  <c r="AJ30" i="26"/>
  <c r="AB30" i="26"/>
  <c r="T30" i="26"/>
  <c r="R30" i="26"/>
  <c r="AH30" i="26"/>
  <c r="Z30" i="26"/>
  <c r="AG30" i="26"/>
  <c r="Y30" i="26"/>
  <c r="Q30" i="26"/>
  <c r="AF30" i="26"/>
  <c r="X30" i="26"/>
  <c r="P30" i="26"/>
  <c r="N30" i="26"/>
  <c r="V30" i="26"/>
  <c r="AC30" i="26"/>
  <c r="U30" i="26"/>
  <c r="G31" i="13" l="1"/>
  <c r="G31" i="77"/>
  <c r="G31" i="69"/>
  <c r="G32" i="10"/>
  <c r="G32" i="56"/>
  <c r="G32" i="11"/>
  <c r="G32" i="12"/>
  <c r="G32" i="13"/>
  <c r="G32" i="14"/>
  <c r="G32" i="60"/>
  <c r="G32" i="61"/>
  <c r="G32" i="62"/>
  <c r="G32" i="15"/>
  <c r="G32" i="63"/>
  <c r="G32" i="64"/>
  <c r="G32" i="67"/>
  <c r="G32" i="68"/>
  <c r="G32" i="69"/>
  <c r="G32" i="70"/>
  <c r="G32" i="71"/>
  <c r="G32" i="72"/>
  <c r="G32" i="73"/>
  <c r="G32" i="74"/>
  <c r="G32" i="65"/>
  <c r="G32" i="66"/>
  <c r="G32" i="75"/>
  <c r="G32" i="76"/>
  <c r="G32" i="77"/>
  <c r="G32" i="78"/>
  <c r="G32" i="79"/>
  <c r="G32" i="80"/>
  <c r="G32" i="81"/>
  <c r="G32" i="82"/>
  <c r="G32" i="42"/>
  <c r="G31" i="10"/>
  <c r="G31" i="56"/>
  <c r="G31" i="11"/>
  <c r="G31" i="12"/>
  <c r="G31" i="14"/>
  <c r="G31" i="60"/>
  <c r="G31" i="61"/>
  <c r="G31" i="62"/>
  <c r="G31" i="15"/>
  <c r="G31" i="63"/>
  <c r="G31" i="64"/>
  <c r="G31" i="67"/>
  <c r="G31" i="68"/>
  <c r="G31" i="70"/>
  <c r="G31" i="71"/>
  <c r="G31" i="72"/>
  <c r="G31" i="73"/>
  <c r="G31" i="74"/>
  <c r="G31" i="65"/>
  <c r="G31" i="66"/>
  <c r="G31" i="75"/>
  <c r="G31" i="76"/>
  <c r="G31" i="78"/>
  <c r="G31" i="79"/>
  <c r="G31" i="80"/>
  <c r="G31" i="81"/>
  <c r="G31" i="82"/>
  <c r="G31" i="42"/>
  <c r="J32" i="10"/>
  <c r="J32" i="56"/>
  <c r="J32" i="12"/>
  <c r="J32" i="14"/>
  <c r="J32" i="60"/>
  <c r="J32" i="61"/>
  <c r="J32" i="62"/>
  <c r="J32" i="15"/>
  <c r="J32" i="63"/>
  <c r="J32" i="64"/>
  <c r="J32" i="68"/>
  <c r="J32" i="70"/>
  <c r="J32" i="71"/>
  <c r="J32" i="72"/>
  <c r="J32" i="73"/>
  <c r="J32" i="74"/>
  <c r="J32" i="65"/>
  <c r="J32" i="66"/>
  <c r="J32" i="76"/>
  <c r="J32" i="78"/>
  <c r="J32" i="79"/>
  <c r="J32" i="80"/>
  <c r="J32" i="81"/>
  <c r="J32" i="82"/>
  <c r="J32" i="42"/>
  <c r="A9" i="18"/>
  <c r="A8" i="18"/>
  <c r="A7" i="18"/>
  <c r="J13" i="10"/>
  <c r="I13" i="10"/>
  <c r="J13" i="14"/>
  <c r="I13" i="14"/>
  <c r="J13" i="60"/>
  <c r="I13" i="60"/>
  <c r="J13" i="61"/>
  <c r="I13" i="61"/>
  <c r="J13" i="62"/>
  <c r="I13" i="62"/>
  <c r="J13" i="15"/>
  <c r="I13" i="15"/>
  <c r="J13" i="63"/>
  <c r="I13" i="63"/>
  <c r="J13" i="70"/>
  <c r="I13" i="70"/>
  <c r="J13" i="71"/>
  <c r="I13" i="71"/>
  <c r="J13" i="72"/>
  <c r="I13" i="72"/>
  <c r="J13" i="73"/>
  <c r="I13" i="73"/>
  <c r="J13" i="74"/>
  <c r="I13" i="74"/>
  <c r="J13" i="65"/>
  <c r="I13" i="65"/>
  <c r="J13" i="78"/>
  <c r="I13" i="78"/>
  <c r="J13" i="79"/>
  <c r="I13" i="79"/>
  <c r="J13" i="80"/>
  <c r="I13" i="80"/>
  <c r="J13" i="81"/>
  <c r="I13" i="81"/>
  <c r="J13" i="82"/>
  <c r="I13" i="82"/>
  <c r="J13" i="42"/>
  <c r="I13" i="42"/>
  <c r="D31" i="44" l="1" a="1"/>
  <c r="D31" i="44" s="1"/>
  <c r="D32" i="44" a="1"/>
  <c r="D32" i="44" s="1"/>
  <c r="D33" i="44" a="1"/>
  <c r="D33" i="44" s="1"/>
  <c r="D34" i="44" a="1"/>
  <c r="D34" i="44" s="1"/>
  <c r="D24" i="44" a="1"/>
  <c r="D24" i="44" s="1"/>
  <c r="D25" i="44" a="1"/>
  <c r="D25" i="44" s="1"/>
  <c r="D26" i="44" a="1"/>
  <c r="D26" i="44" s="1"/>
  <c r="D27" i="44" a="1"/>
  <c r="D27" i="44" s="1"/>
  <c r="K11" i="44"/>
  <c r="K12" i="44"/>
  <c r="D28" i="44" l="1"/>
  <c r="L11" i="44" s="1"/>
  <c r="D35" i="44"/>
  <c r="L12" i="44" s="1"/>
  <c r="C6" i="19" l="1"/>
  <c r="E7" i="19"/>
  <c r="E8" i="19"/>
  <c r="E9" i="19"/>
  <c r="D8" i="19"/>
  <c r="D9" i="19"/>
  <c r="D7" i="19"/>
  <c r="C10" i="19"/>
  <c r="E15" i="19" s="1"/>
  <c r="B8" i="81"/>
  <c r="B8" i="80"/>
  <c r="K19" i="40" l="1"/>
  <c r="N19" i="40" s="1"/>
  <c r="K16" i="40"/>
  <c r="N16" i="40" s="1"/>
  <c r="K13" i="40"/>
  <c r="N13" i="40" s="1"/>
  <c r="K227" i="27"/>
  <c r="K128" i="27"/>
  <c r="K29" i="27"/>
  <c r="N60" i="40"/>
  <c r="N59" i="40"/>
  <c r="N56" i="40"/>
  <c r="N55" i="40"/>
  <c r="N54" i="40"/>
  <c r="N53" i="40"/>
  <c r="N52" i="40"/>
  <c r="N51" i="40"/>
  <c r="N50" i="40"/>
  <c r="N49" i="40"/>
  <c r="N48" i="40"/>
  <c r="N47" i="40"/>
  <c r="N46" i="40"/>
  <c r="N45" i="40"/>
  <c r="N44" i="40"/>
  <c r="N43" i="40"/>
  <c r="N42" i="40"/>
  <c r="N41" i="40"/>
  <c r="N40" i="40"/>
  <c r="N39" i="40"/>
  <c r="N38" i="40"/>
  <c r="N37" i="40"/>
  <c r="N36" i="40"/>
  <c r="N35" i="40"/>
  <c r="N34" i="40"/>
  <c r="N33" i="40"/>
  <c r="N32" i="40"/>
  <c r="N31" i="40"/>
  <c r="N30" i="40"/>
  <c r="N29" i="40"/>
  <c r="N28" i="40"/>
  <c r="N27" i="40"/>
  <c r="N26" i="40"/>
  <c r="N25" i="40"/>
  <c r="N24" i="40"/>
  <c r="N23" i="40"/>
  <c r="N22" i="40"/>
  <c r="N21" i="40"/>
  <c r="N20" i="40"/>
  <c r="N18" i="40"/>
  <c r="N17" i="40"/>
  <c r="N15" i="40"/>
  <c r="N14" i="40"/>
  <c r="R19" i="40"/>
  <c r="R17" i="40"/>
  <c r="R16" i="40"/>
  <c r="R13" i="40"/>
  <c r="O19" i="40"/>
  <c r="O16" i="40"/>
  <c r="P16" i="40" s="1"/>
  <c r="O13" i="40"/>
  <c r="F19" i="40"/>
  <c r="F16" i="40"/>
  <c r="F13" i="40"/>
  <c r="A204" i="27"/>
  <c r="A205" i="27" s="1"/>
  <c r="A206" i="27" s="1"/>
  <c r="A207" i="27" s="1"/>
  <c r="A208" i="27" s="1"/>
  <c r="A209" i="27" s="1"/>
  <c r="A210" i="27" s="1"/>
  <c r="A211" i="27" s="1"/>
  <c r="A303" i="27"/>
  <c r="A304" i="27" s="1"/>
  <c r="A305" i="27" s="1"/>
  <c r="A306" i="27" s="1"/>
  <c r="A307" i="27" s="1"/>
  <c r="A308" i="27" s="1"/>
  <c r="A309" i="27" s="1"/>
  <c r="A310" i="27" s="1"/>
  <c r="A114" i="27"/>
  <c r="A115" i="27" s="1"/>
  <c r="A213" i="27"/>
  <c r="A214" i="27" s="1"/>
  <c r="A312" i="27"/>
  <c r="A313" i="27" s="1"/>
  <c r="A314" i="27" l="1"/>
  <c r="A315" i="27" s="1"/>
  <c r="A215" i="27"/>
  <c r="A216" i="27" s="1"/>
  <c r="A116" i="27"/>
  <c r="A117" i="27" s="1"/>
  <c r="P19" i="40"/>
  <c r="P13" i="40"/>
  <c r="P12" i="47"/>
  <c r="P15" i="47"/>
  <c r="P11" i="47"/>
  <c r="P14" i="47"/>
  <c r="P17" i="47"/>
  <c r="P9" i="47"/>
  <c r="R14" i="40"/>
  <c r="R20" i="40"/>
  <c r="R22" i="40"/>
  <c r="R24" i="40"/>
  <c r="R26" i="40"/>
  <c r="R28" i="40"/>
  <c r="R30" i="40"/>
  <c r="R33" i="40"/>
  <c r="R35" i="40"/>
  <c r="R38" i="40"/>
  <c r="R40" i="40"/>
  <c r="R43" i="40"/>
  <c r="R45" i="40"/>
  <c r="R47" i="40"/>
  <c r="R49" i="40"/>
  <c r="R51" i="40"/>
  <c r="R53" i="40"/>
  <c r="R55" i="40"/>
  <c r="R59" i="40"/>
  <c r="R65" i="40"/>
  <c r="R10" i="40"/>
  <c r="AU27" i="26"/>
  <c r="AU38" i="26" s="1"/>
  <c r="AU28" i="26" s="1"/>
  <c r="AU39" i="26" s="1"/>
  <c r="AU29" i="26" s="1"/>
  <c r="AU40" i="26" s="1"/>
  <c r="AU30" i="26" s="1"/>
  <c r="AU41" i="26" s="1"/>
  <c r="AU26" i="26"/>
  <c r="AU37" i="26" s="1"/>
  <c r="AU25" i="26"/>
  <c r="AU36" i="26" s="1"/>
  <c r="AU24" i="26"/>
  <c r="AU35" i="26" s="1"/>
  <c r="AU23" i="26"/>
  <c r="AU34" i="26" s="1"/>
  <c r="AU22" i="26"/>
  <c r="AU33" i="26" s="1"/>
  <c r="AU32" i="26"/>
  <c r="G19" i="80"/>
  <c r="E48" i="40"/>
  <c r="F48" i="40" s="1"/>
  <c r="E46" i="40"/>
  <c r="F46" i="40" s="1"/>
  <c r="E44" i="40"/>
  <c r="F66" i="40"/>
  <c r="F60" i="40"/>
  <c r="L263" i="27"/>
  <c r="L164" i="27"/>
  <c r="L65" i="27"/>
  <c r="L225" i="27"/>
  <c r="L126" i="27"/>
  <c r="C263" i="27"/>
  <c r="C164" i="27"/>
  <c r="C65" i="27"/>
  <c r="C225" i="27"/>
  <c r="C126" i="27"/>
  <c r="C27" i="27"/>
  <c r="B23" i="81"/>
  <c r="B22" i="81"/>
  <c r="B21" i="81"/>
  <c r="B20" i="81"/>
  <c r="B19" i="81"/>
  <c r="B18" i="81"/>
  <c r="B23" i="80"/>
  <c r="B22" i="80"/>
  <c r="B21" i="80"/>
  <c r="B20" i="80"/>
  <c r="B19" i="80"/>
  <c r="B18" i="80"/>
  <c r="C294" i="27" s="1"/>
  <c r="B19" i="79"/>
  <c r="B20" i="79"/>
  <c r="B21" i="79"/>
  <c r="B22" i="79"/>
  <c r="B23" i="79"/>
  <c r="B18" i="79"/>
  <c r="B23" i="73"/>
  <c r="B22" i="73"/>
  <c r="B21" i="73"/>
  <c r="B20" i="73"/>
  <c r="B19" i="73"/>
  <c r="B18" i="73"/>
  <c r="C204" i="27" s="1"/>
  <c r="G204" i="27" s="1"/>
  <c r="B23" i="72"/>
  <c r="B22" i="72"/>
  <c r="B21" i="72"/>
  <c r="C198" i="27" s="1"/>
  <c r="B20" i="72"/>
  <c r="B19" i="72"/>
  <c r="J19" i="72" s="1"/>
  <c r="B18" i="72"/>
  <c r="B19" i="71"/>
  <c r="B20" i="71"/>
  <c r="B21" i="71"/>
  <c r="B22" i="71"/>
  <c r="B23" i="71"/>
  <c r="B18" i="71"/>
  <c r="B23" i="62"/>
  <c r="B22" i="62"/>
  <c r="B21" i="62"/>
  <c r="B20" i="62"/>
  <c r="B19" i="62"/>
  <c r="C106" i="27" s="1"/>
  <c r="G106" i="27" s="1"/>
  <c r="B18" i="62"/>
  <c r="B19" i="61"/>
  <c r="B20" i="61"/>
  <c r="B21" i="61"/>
  <c r="B22" i="61"/>
  <c r="B23" i="61"/>
  <c r="B18" i="61"/>
  <c r="B19" i="60"/>
  <c r="B20" i="60"/>
  <c r="B21" i="60"/>
  <c r="B22" i="60"/>
  <c r="B23" i="60"/>
  <c r="B18" i="60"/>
  <c r="G66" i="40"/>
  <c r="A66" i="40"/>
  <c r="R66" i="40" s="1"/>
  <c r="G65" i="40"/>
  <c r="F65" i="40"/>
  <c r="O60" i="40"/>
  <c r="G60" i="40"/>
  <c r="A60" i="40"/>
  <c r="R60" i="40" s="1"/>
  <c r="O59" i="40"/>
  <c r="G59" i="40"/>
  <c r="F59" i="40"/>
  <c r="O54" i="40"/>
  <c r="F54" i="40"/>
  <c r="A54" i="40"/>
  <c r="R54" i="40" s="1"/>
  <c r="O53" i="40"/>
  <c r="F53" i="40"/>
  <c r="O52" i="40"/>
  <c r="F52" i="40"/>
  <c r="A52" i="40"/>
  <c r="R52" i="40" s="1"/>
  <c r="O51" i="40"/>
  <c r="F51" i="40"/>
  <c r="O48" i="40"/>
  <c r="A48" i="40"/>
  <c r="R48" i="40" s="1"/>
  <c r="O47" i="40"/>
  <c r="F47" i="40"/>
  <c r="O46" i="40"/>
  <c r="A46" i="40"/>
  <c r="R46" i="40" s="1"/>
  <c r="O45" i="40"/>
  <c r="F45" i="40"/>
  <c r="O42" i="40"/>
  <c r="F42" i="40"/>
  <c r="O41" i="40"/>
  <c r="F41" i="40"/>
  <c r="A41" i="40"/>
  <c r="A42" i="40" s="1"/>
  <c r="R42" i="40" s="1"/>
  <c r="O40" i="40"/>
  <c r="F40" i="40"/>
  <c r="O39" i="40"/>
  <c r="F39" i="40"/>
  <c r="A39" i="40"/>
  <c r="R39" i="40" s="1"/>
  <c r="O38" i="40"/>
  <c r="F38" i="40"/>
  <c r="O37" i="40"/>
  <c r="F37" i="40"/>
  <c r="O36" i="40"/>
  <c r="F36" i="40"/>
  <c r="A36" i="40"/>
  <c r="A37" i="40" s="1"/>
  <c r="R37" i="40" s="1"/>
  <c r="O35" i="40"/>
  <c r="F35" i="40"/>
  <c r="O34" i="40"/>
  <c r="F34" i="40"/>
  <c r="A34" i="40"/>
  <c r="R34" i="40" s="1"/>
  <c r="O33" i="40"/>
  <c r="F33" i="40"/>
  <c r="O27" i="40"/>
  <c r="F27" i="40"/>
  <c r="A27" i="40"/>
  <c r="R27" i="40" s="1"/>
  <c r="O26" i="40"/>
  <c r="F26" i="40"/>
  <c r="O25" i="40"/>
  <c r="F25" i="40"/>
  <c r="A25" i="40"/>
  <c r="R25" i="40" s="1"/>
  <c r="O24" i="40"/>
  <c r="F24" i="40"/>
  <c r="O21" i="40"/>
  <c r="F21" i="40"/>
  <c r="A21" i="40"/>
  <c r="R21" i="40" s="1"/>
  <c r="O20" i="40"/>
  <c r="F20" i="40"/>
  <c r="O18" i="40"/>
  <c r="F18" i="40"/>
  <c r="A18" i="40"/>
  <c r="R18" i="40" s="1"/>
  <c r="O17" i="40"/>
  <c r="F17" i="40"/>
  <c r="H12" i="47"/>
  <c r="H15" i="47"/>
  <c r="H9" i="47"/>
  <c r="F15" i="47"/>
  <c r="F12" i="47"/>
  <c r="F9" i="47"/>
  <c r="N11" i="47"/>
  <c r="M11" i="47"/>
  <c r="D11" i="47"/>
  <c r="N14" i="47"/>
  <c r="M14" i="47"/>
  <c r="D14" i="47"/>
  <c r="N15" i="47"/>
  <c r="M15" i="47"/>
  <c r="D15" i="47"/>
  <c r="N12" i="47"/>
  <c r="M12" i="47"/>
  <c r="D12" i="47"/>
  <c r="B8" i="73"/>
  <c r="B8" i="72"/>
  <c r="B8" i="61"/>
  <c r="B8" i="62"/>
  <c r="C308" i="27"/>
  <c r="C307" i="27"/>
  <c r="C306" i="27"/>
  <c r="C305" i="27"/>
  <c r="C304" i="27"/>
  <c r="C303" i="27"/>
  <c r="C209" i="27"/>
  <c r="C208" i="27"/>
  <c r="C207" i="27"/>
  <c r="C206" i="27"/>
  <c r="C205" i="27"/>
  <c r="C110" i="27"/>
  <c r="C109" i="27"/>
  <c r="C108" i="27"/>
  <c r="C107" i="27"/>
  <c r="C105" i="27"/>
  <c r="G105" i="27" s="1"/>
  <c r="F304" i="27"/>
  <c r="F305" i="27"/>
  <c r="F306" i="27"/>
  <c r="F307" i="27"/>
  <c r="F308" i="27"/>
  <c r="F205" i="27"/>
  <c r="F206" i="27"/>
  <c r="F207" i="27"/>
  <c r="F208" i="27"/>
  <c r="F209" i="27"/>
  <c r="F106" i="27"/>
  <c r="F107" i="27"/>
  <c r="F108" i="27"/>
  <c r="F109" i="27"/>
  <c r="F110" i="27"/>
  <c r="A105" i="27"/>
  <c r="A106" i="27" s="1"/>
  <c r="A107" i="27" s="1"/>
  <c r="A108" i="27" s="1"/>
  <c r="A109" i="27" s="1"/>
  <c r="A110" i="27" s="1"/>
  <c r="A111" i="27" s="1"/>
  <c r="A112" i="27" s="1"/>
  <c r="F310" i="27"/>
  <c r="F309" i="27"/>
  <c r="F303" i="27"/>
  <c r="F211" i="27"/>
  <c r="F210" i="27"/>
  <c r="F204" i="27"/>
  <c r="F112" i="27"/>
  <c r="F111" i="27"/>
  <c r="F105" i="27"/>
  <c r="C295" i="27"/>
  <c r="F295" i="27"/>
  <c r="C296" i="27"/>
  <c r="F296" i="27"/>
  <c r="C297" i="27"/>
  <c r="F297" i="27"/>
  <c r="C298" i="27"/>
  <c r="F298" i="27"/>
  <c r="C299" i="27"/>
  <c r="F299" i="27"/>
  <c r="C196" i="27"/>
  <c r="F196" i="27"/>
  <c r="C197" i="27"/>
  <c r="G197" i="27" s="1"/>
  <c r="F197" i="27"/>
  <c r="F198" i="27"/>
  <c r="C199" i="27"/>
  <c r="F199" i="27"/>
  <c r="C200" i="27"/>
  <c r="F200" i="27"/>
  <c r="C195" i="27"/>
  <c r="C97" i="27"/>
  <c r="F97" i="27"/>
  <c r="C98" i="27"/>
  <c r="G98" i="27" s="1"/>
  <c r="F98" i="27"/>
  <c r="C99" i="27"/>
  <c r="F99" i="27"/>
  <c r="C100" i="27"/>
  <c r="F100" i="27"/>
  <c r="C101" i="27"/>
  <c r="F101" i="27"/>
  <c r="C96" i="27"/>
  <c r="A294" i="27"/>
  <c r="A295" i="27" s="1"/>
  <c r="A296" i="27" s="1"/>
  <c r="A297" i="27" s="1"/>
  <c r="A298" i="27" s="1"/>
  <c r="A299" i="27" s="1"/>
  <c r="A195" i="27"/>
  <c r="A196" i="27" s="1"/>
  <c r="A197" i="27" s="1"/>
  <c r="A198" i="27" s="1"/>
  <c r="A199" i="27" s="1"/>
  <c r="A200" i="27" s="1"/>
  <c r="A96" i="27"/>
  <c r="A97" i="27" s="1"/>
  <c r="A98" i="27" s="1"/>
  <c r="A99" i="27" s="1"/>
  <c r="A100" i="27" s="1"/>
  <c r="A101" i="27" s="1"/>
  <c r="F301" i="27"/>
  <c r="F300" i="27"/>
  <c r="F294" i="27"/>
  <c r="F202" i="27"/>
  <c r="F201" i="27"/>
  <c r="F195" i="27"/>
  <c r="F103" i="27"/>
  <c r="F102" i="27"/>
  <c r="F96" i="27"/>
  <c r="F213" i="27"/>
  <c r="F315" i="27"/>
  <c r="F314" i="27"/>
  <c r="F312" i="27"/>
  <c r="F216" i="27"/>
  <c r="F215" i="27"/>
  <c r="A282" i="27"/>
  <c r="A283" i="27" s="1"/>
  <c r="A284" i="27" s="1"/>
  <c r="A285" i="27" s="1"/>
  <c r="A286" i="27" s="1"/>
  <c r="A287" i="27" s="1"/>
  <c r="C283" i="27"/>
  <c r="F283" i="27"/>
  <c r="C284" i="27"/>
  <c r="F284" i="27"/>
  <c r="C285" i="27"/>
  <c r="F285" i="27"/>
  <c r="C286" i="27"/>
  <c r="F286" i="27"/>
  <c r="C287" i="27"/>
  <c r="F287" i="27"/>
  <c r="C184" i="27"/>
  <c r="F184" i="27"/>
  <c r="C185" i="27"/>
  <c r="G185" i="27" s="1"/>
  <c r="F185" i="27"/>
  <c r="C186" i="27"/>
  <c r="F186" i="27"/>
  <c r="C187" i="27"/>
  <c r="F187" i="27"/>
  <c r="C188" i="27"/>
  <c r="F188" i="27"/>
  <c r="C183" i="27"/>
  <c r="C282" i="27"/>
  <c r="G282" i="27" s="1"/>
  <c r="K291" i="27"/>
  <c r="F289" i="27"/>
  <c r="F288" i="27"/>
  <c r="F282" i="27"/>
  <c r="K192" i="27"/>
  <c r="F190" i="27"/>
  <c r="F189" i="27"/>
  <c r="F183" i="27"/>
  <c r="C275" i="27"/>
  <c r="G275" i="27" s="1"/>
  <c r="C176" i="27"/>
  <c r="G176" i="27" s="1"/>
  <c r="A275" i="27"/>
  <c r="A176" i="27"/>
  <c r="K280" i="27"/>
  <c r="F278" i="27"/>
  <c r="F277" i="27"/>
  <c r="F275" i="27"/>
  <c r="K181" i="27"/>
  <c r="F179" i="27"/>
  <c r="F178" i="27"/>
  <c r="F176" i="27"/>
  <c r="C266" i="27"/>
  <c r="G266" i="27" s="1"/>
  <c r="F266" i="27"/>
  <c r="C267" i="27"/>
  <c r="F267" i="27"/>
  <c r="C265" i="27"/>
  <c r="C271" i="27"/>
  <c r="E271" i="27" s="1"/>
  <c r="C270" i="27"/>
  <c r="C167" i="27"/>
  <c r="F167" i="27"/>
  <c r="C168" i="27"/>
  <c r="G168" i="27" s="1"/>
  <c r="F168" i="27"/>
  <c r="C166" i="27"/>
  <c r="C172" i="27"/>
  <c r="E172" i="27" s="1"/>
  <c r="C171" i="27"/>
  <c r="C169" i="27"/>
  <c r="K273" i="27"/>
  <c r="F271" i="27"/>
  <c r="F270" i="27"/>
  <c r="F269" i="27"/>
  <c r="F268" i="27"/>
  <c r="F265" i="27"/>
  <c r="K174" i="27"/>
  <c r="F172" i="27"/>
  <c r="F171" i="27"/>
  <c r="F170" i="27"/>
  <c r="F169" i="27"/>
  <c r="F166" i="27"/>
  <c r="C251" i="27"/>
  <c r="G251" i="27" s="1"/>
  <c r="C257" i="27"/>
  <c r="E257" i="27" s="1"/>
  <c r="K262" i="27"/>
  <c r="K259" i="27"/>
  <c r="F257" i="27"/>
  <c r="F256" i="27"/>
  <c r="F255" i="27"/>
  <c r="F251" i="27"/>
  <c r="C152" i="27"/>
  <c r="G152" i="27" s="1"/>
  <c r="C158" i="27"/>
  <c r="C156" i="27"/>
  <c r="E156" i="27" s="1"/>
  <c r="A53" i="27"/>
  <c r="K163" i="27"/>
  <c r="K160" i="27"/>
  <c r="F158" i="27"/>
  <c r="F157" i="27"/>
  <c r="F156" i="27"/>
  <c r="F152" i="27"/>
  <c r="C244" i="27"/>
  <c r="E244" i="27" s="1"/>
  <c r="C240" i="27"/>
  <c r="C246" i="27"/>
  <c r="E246" i="27" s="1"/>
  <c r="K249" i="27"/>
  <c r="F247" i="27"/>
  <c r="F246" i="27"/>
  <c r="F245" i="27"/>
  <c r="F244" i="27"/>
  <c r="F240" i="27"/>
  <c r="C141" i="27"/>
  <c r="G141" i="27" s="1"/>
  <c r="C147" i="27"/>
  <c r="E147" i="27" s="1"/>
  <c r="A240" i="27"/>
  <c r="A241" i="27" s="1"/>
  <c r="A242" i="27" s="1"/>
  <c r="A141" i="27"/>
  <c r="A142" i="27" s="1"/>
  <c r="A143" i="27" s="1"/>
  <c r="C236" i="27"/>
  <c r="C229" i="27"/>
  <c r="G229" i="27" s="1"/>
  <c r="F89" i="27"/>
  <c r="C224" i="27"/>
  <c r="E224" i="27" s="1"/>
  <c r="C137" i="27"/>
  <c r="C130" i="27"/>
  <c r="C38" i="27"/>
  <c r="F137" i="27"/>
  <c r="F136" i="27"/>
  <c r="F135" i="27"/>
  <c r="C31" i="27"/>
  <c r="G31" i="27" s="1"/>
  <c r="C125" i="27"/>
  <c r="C124" i="27"/>
  <c r="F121" i="27"/>
  <c r="A219" i="27"/>
  <c r="K238" i="27"/>
  <c r="F236" i="27"/>
  <c r="F235" i="27"/>
  <c r="F234" i="27"/>
  <c r="F229" i="27"/>
  <c r="F224" i="27"/>
  <c r="F223" i="27"/>
  <c r="F220" i="27"/>
  <c r="B119" i="27"/>
  <c r="K150" i="27"/>
  <c r="F148" i="27"/>
  <c r="F147" i="27"/>
  <c r="F146" i="27"/>
  <c r="F145" i="27"/>
  <c r="F141" i="27"/>
  <c r="K139" i="27"/>
  <c r="F130" i="27"/>
  <c r="F125" i="27"/>
  <c r="F124" i="27"/>
  <c r="D46" i="21"/>
  <c r="K7" i="82" s="1"/>
  <c r="D33" i="21"/>
  <c r="K7" i="74" s="1"/>
  <c r="D20" i="21"/>
  <c r="C32" i="82"/>
  <c r="B31" i="82"/>
  <c r="C315" i="27" s="1"/>
  <c r="E315" i="27" s="1"/>
  <c r="B19" i="82"/>
  <c r="B18" i="82"/>
  <c r="C312" i="27" s="1"/>
  <c r="B12" i="82"/>
  <c r="B8" i="82"/>
  <c r="B31" i="81"/>
  <c r="J23" i="81"/>
  <c r="J22" i="81"/>
  <c r="G22" i="81"/>
  <c r="J21" i="81"/>
  <c r="J20" i="81"/>
  <c r="J19" i="81"/>
  <c r="J18" i="81"/>
  <c r="G18" i="81"/>
  <c r="B12" i="81"/>
  <c r="G23" i="81"/>
  <c r="B31" i="80"/>
  <c r="G23" i="80"/>
  <c r="J23" i="80"/>
  <c r="J22" i="80"/>
  <c r="J21" i="80"/>
  <c r="J20" i="80"/>
  <c r="J19" i="80"/>
  <c r="J18" i="80"/>
  <c r="B12" i="80"/>
  <c r="G21" i="80"/>
  <c r="B31" i="79"/>
  <c r="J23" i="79"/>
  <c r="G23" i="79"/>
  <c r="J22" i="79"/>
  <c r="G22" i="79"/>
  <c r="G21" i="79"/>
  <c r="J21" i="79"/>
  <c r="J20" i="79"/>
  <c r="J19" i="79"/>
  <c r="G19" i="79"/>
  <c r="J18" i="79"/>
  <c r="G18" i="79"/>
  <c r="B12" i="79"/>
  <c r="B8" i="79"/>
  <c r="C32" i="78"/>
  <c r="B31" i="78"/>
  <c r="C278" i="27" s="1"/>
  <c r="E278" i="27" s="1"/>
  <c r="J18" i="78"/>
  <c r="G18" i="78"/>
  <c r="B18" i="78"/>
  <c r="C12" i="78"/>
  <c r="B12" i="78"/>
  <c r="B8" i="78"/>
  <c r="C32" i="77"/>
  <c r="C31" i="77"/>
  <c r="B20" i="77"/>
  <c r="J20" i="77" s="1"/>
  <c r="J19" i="77"/>
  <c r="G19" i="77"/>
  <c r="B19" i="77"/>
  <c r="J18" i="77"/>
  <c r="B18" i="77"/>
  <c r="B13" i="77"/>
  <c r="C13" i="77" s="1"/>
  <c r="B12" i="77"/>
  <c r="C268" i="27" s="1"/>
  <c r="B8" i="77"/>
  <c r="G20" i="77" s="1"/>
  <c r="C32" i="76"/>
  <c r="C31" i="76"/>
  <c r="B20" i="76"/>
  <c r="J20" i="76" s="1"/>
  <c r="J19" i="76"/>
  <c r="B19" i="76"/>
  <c r="J18" i="76"/>
  <c r="B18" i="76"/>
  <c r="B13" i="76"/>
  <c r="C256" i="27" s="1"/>
  <c r="E256" i="27" s="1"/>
  <c r="B12" i="76"/>
  <c r="B8" i="76"/>
  <c r="B32" i="75"/>
  <c r="C247" i="27" s="1"/>
  <c r="C31" i="75"/>
  <c r="G20" i="75"/>
  <c r="L242" i="27" s="1"/>
  <c r="B20" i="75"/>
  <c r="J20" i="75" s="1"/>
  <c r="B19" i="75"/>
  <c r="J19" i="75" s="1"/>
  <c r="J18" i="75"/>
  <c r="G18" i="75"/>
  <c r="B18" i="75"/>
  <c r="B13" i="75"/>
  <c r="C12" i="75"/>
  <c r="B12" i="75"/>
  <c r="B8" i="75"/>
  <c r="G19" i="75" s="1"/>
  <c r="L241" i="27" s="1"/>
  <c r="C32" i="74"/>
  <c r="B31" i="74"/>
  <c r="B19" i="74"/>
  <c r="B18" i="74"/>
  <c r="C213" i="27" s="1"/>
  <c r="G213" i="27" s="1"/>
  <c r="B12" i="74"/>
  <c r="C215" i="27" s="1"/>
  <c r="B8" i="74"/>
  <c r="B31" i="73"/>
  <c r="G23" i="73"/>
  <c r="J23" i="73"/>
  <c r="J22" i="73"/>
  <c r="G22" i="73"/>
  <c r="J21" i="73"/>
  <c r="G20" i="73"/>
  <c r="J20" i="73"/>
  <c r="G19" i="73"/>
  <c r="J19" i="73"/>
  <c r="G18" i="73"/>
  <c r="B12" i="73"/>
  <c r="G21" i="73"/>
  <c r="B31" i="72"/>
  <c r="J23" i="72"/>
  <c r="J22" i="72"/>
  <c r="J20" i="72"/>
  <c r="J18" i="72"/>
  <c r="C12" i="72"/>
  <c r="B12" i="72"/>
  <c r="G21" i="72"/>
  <c r="B31" i="71"/>
  <c r="G23" i="71"/>
  <c r="J23" i="71"/>
  <c r="J22" i="71"/>
  <c r="G21" i="71"/>
  <c r="J21" i="71"/>
  <c r="G20" i="71"/>
  <c r="J20" i="71"/>
  <c r="G19" i="71"/>
  <c r="J19" i="71"/>
  <c r="J18" i="71"/>
  <c r="G18" i="71"/>
  <c r="B12" i="71"/>
  <c r="B8" i="71"/>
  <c r="G22" i="71" s="1"/>
  <c r="C32" i="70"/>
  <c r="B31" i="70"/>
  <c r="C179" i="27" s="1"/>
  <c r="J18" i="70"/>
  <c r="B18" i="70"/>
  <c r="C12" i="70"/>
  <c r="B12" i="70"/>
  <c r="B8" i="70"/>
  <c r="G18" i="70" s="1"/>
  <c r="C32" i="69"/>
  <c r="C31" i="69"/>
  <c r="G20" i="69"/>
  <c r="B20" i="69"/>
  <c r="J20" i="69" s="1"/>
  <c r="J19" i="69"/>
  <c r="G19" i="69"/>
  <c r="B19" i="69"/>
  <c r="J18" i="69"/>
  <c r="B18" i="69"/>
  <c r="C13" i="69"/>
  <c r="B13" i="69"/>
  <c r="C12" i="69"/>
  <c r="B12" i="69"/>
  <c r="B8" i="69"/>
  <c r="C32" i="68"/>
  <c r="C31" i="68"/>
  <c r="J20" i="68"/>
  <c r="B20" i="68"/>
  <c r="J19" i="68"/>
  <c r="B19" i="68"/>
  <c r="B18" i="68"/>
  <c r="J18" i="68" s="1"/>
  <c r="C13" i="68"/>
  <c r="B13" i="68"/>
  <c r="C157" i="27" s="1"/>
  <c r="C12" i="68"/>
  <c r="B12" i="68"/>
  <c r="B8" i="68"/>
  <c r="B32" i="67"/>
  <c r="C31" i="67"/>
  <c r="G20" i="67"/>
  <c r="L143" i="27" s="1"/>
  <c r="B20" i="67"/>
  <c r="J20" i="67" s="1"/>
  <c r="G19" i="67"/>
  <c r="L142" i="27" s="1"/>
  <c r="B19" i="67"/>
  <c r="J19" i="67" s="1"/>
  <c r="J18" i="67"/>
  <c r="G18" i="67"/>
  <c r="B18" i="67"/>
  <c r="B13" i="67"/>
  <c r="C12" i="67"/>
  <c r="B12" i="67"/>
  <c r="C145" i="27" s="1"/>
  <c r="B8" i="67"/>
  <c r="C32" i="66"/>
  <c r="C31" i="66"/>
  <c r="B20" i="66"/>
  <c r="J20" i="66" s="1"/>
  <c r="B19" i="66"/>
  <c r="J19" i="66" s="1"/>
  <c r="J18" i="66"/>
  <c r="G18" i="66"/>
  <c r="B18" i="66"/>
  <c r="B13" i="66"/>
  <c r="C235" i="27" s="1"/>
  <c r="E235" i="27" s="1"/>
  <c r="B12" i="66"/>
  <c r="C234" i="27" s="1"/>
  <c r="E234" i="27" s="1"/>
  <c r="B8" i="66"/>
  <c r="C32" i="65"/>
  <c r="C31" i="65"/>
  <c r="B12" i="65"/>
  <c r="B8" i="65"/>
  <c r="C32" i="64"/>
  <c r="C31" i="64"/>
  <c r="J20" i="64"/>
  <c r="B20" i="64"/>
  <c r="J19" i="64"/>
  <c r="B19" i="64"/>
  <c r="B18" i="64"/>
  <c r="J18" i="64" s="1"/>
  <c r="B13" i="64"/>
  <c r="C12" i="64"/>
  <c r="B12" i="64"/>
  <c r="B8" i="64"/>
  <c r="C32" i="63"/>
  <c r="C31" i="63"/>
  <c r="B12" i="63"/>
  <c r="B8" i="63"/>
  <c r="D44" i="21"/>
  <c r="K7" i="80" s="1"/>
  <c r="D45" i="21"/>
  <c r="K7" i="81" s="1"/>
  <c r="D31" i="21"/>
  <c r="D32" i="21"/>
  <c r="D18" i="21"/>
  <c r="K7" i="61" s="1"/>
  <c r="D19" i="21"/>
  <c r="K7" i="62" s="1"/>
  <c r="Q11" i="26"/>
  <c r="Q12" i="26"/>
  <c r="Q35" i="26"/>
  <c r="O14" i="26"/>
  <c r="R15" i="26"/>
  <c r="M16" i="26"/>
  <c r="O19" i="26"/>
  <c r="Q22" i="26"/>
  <c r="Q26" i="26"/>
  <c r="Q38" i="26"/>
  <c r="Q18" i="26"/>
  <c r="P22" i="26"/>
  <c r="X22" i="26"/>
  <c r="AF22"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M13" i="26"/>
  <c r="N13" i="26"/>
  <c r="O13" i="26"/>
  <c r="P13" i="26"/>
  <c r="Q13" i="26"/>
  <c r="R13" i="26"/>
  <c r="S13" i="26"/>
  <c r="T13" i="26"/>
  <c r="U13" i="26"/>
  <c r="V13" i="26"/>
  <c r="W13" i="26"/>
  <c r="X13" i="26"/>
  <c r="Y13" i="26"/>
  <c r="Z13" i="26"/>
  <c r="AA13" i="26"/>
  <c r="AB13" i="26"/>
  <c r="AC13" i="26"/>
  <c r="AD13" i="26"/>
  <c r="AE13" i="26"/>
  <c r="AF13" i="26"/>
  <c r="AG13" i="26"/>
  <c r="AH13" i="26"/>
  <c r="AI13" i="26"/>
  <c r="AJ13" i="26"/>
  <c r="M23" i="26"/>
  <c r="N23" i="26"/>
  <c r="O23" i="26"/>
  <c r="P23" i="26"/>
  <c r="Q23" i="26"/>
  <c r="R23" i="26"/>
  <c r="S23" i="26"/>
  <c r="T23" i="26"/>
  <c r="U23" i="26"/>
  <c r="V23" i="26"/>
  <c r="W23" i="26"/>
  <c r="X23" i="26"/>
  <c r="Y23" i="26"/>
  <c r="Z23" i="26"/>
  <c r="AA23" i="26"/>
  <c r="AB23" i="26"/>
  <c r="AC23" i="26"/>
  <c r="AD23" i="26"/>
  <c r="AE23" i="26"/>
  <c r="AF23" i="26"/>
  <c r="AG23" i="26"/>
  <c r="AH23" i="26"/>
  <c r="AI23" i="26"/>
  <c r="AJ23" i="26"/>
  <c r="M24" i="26"/>
  <c r="N24" i="26"/>
  <c r="O24" i="26"/>
  <c r="P24" i="26"/>
  <c r="Q24" i="26"/>
  <c r="R24" i="26"/>
  <c r="S24" i="26"/>
  <c r="T24" i="26"/>
  <c r="U24" i="26"/>
  <c r="V24" i="26"/>
  <c r="W24" i="26"/>
  <c r="X24" i="26"/>
  <c r="Y24" i="26"/>
  <c r="Z24" i="26"/>
  <c r="AA24" i="26"/>
  <c r="AB24" i="26"/>
  <c r="AC24" i="26"/>
  <c r="AD24" i="26"/>
  <c r="AE24" i="26"/>
  <c r="AF24" i="26"/>
  <c r="AG24" i="26"/>
  <c r="AH24" i="26"/>
  <c r="AI24" i="26"/>
  <c r="AJ2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D14" i="26"/>
  <c r="M25" i="26"/>
  <c r="N25" i="26"/>
  <c r="O25" i="26"/>
  <c r="P25" i="26"/>
  <c r="Q25" i="26"/>
  <c r="R25" i="26"/>
  <c r="S25" i="26"/>
  <c r="T25" i="26"/>
  <c r="U25" i="26"/>
  <c r="V25" i="26"/>
  <c r="W25" i="26"/>
  <c r="X25" i="26"/>
  <c r="Y25" i="26"/>
  <c r="Z25" i="26"/>
  <c r="AA25" i="26"/>
  <c r="AB25" i="26"/>
  <c r="AC25" i="26"/>
  <c r="AD25" i="26"/>
  <c r="AE25" i="26"/>
  <c r="AF25" i="26"/>
  <c r="AG25" i="26"/>
  <c r="AH25" i="26"/>
  <c r="AI25" i="26"/>
  <c r="AJ25"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M15" i="26"/>
  <c r="Q15" i="26"/>
  <c r="U15" i="26"/>
  <c r="Y15" i="26"/>
  <c r="AC15" i="26"/>
  <c r="AG15" i="26"/>
  <c r="P26" i="26"/>
  <c r="X26" i="26"/>
  <c r="AF26"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M27" i="26"/>
  <c r="N27" i="26"/>
  <c r="O27" i="26"/>
  <c r="P27" i="26"/>
  <c r="Q27" i="26"/>
  <c r="R27" i="26"/>
  <c r="S27" i="26"/>
  <c r="T27" i="26"/>
  <c r="U27" i="26"/>
  <c r="V27" i="26"/>
  <c r="W27" i="26"/>
  <c r="X27" i="26"/>
  <c r="Y27" i="26"/>
  <c r="Z27" i="26"/>
  <c r="AA27" i="26"/>
  <c r="AB27" i="26"/>
  <c r="AC27" i="26"/>
  <c r="AD27" i="26"/>
  <c r="AE27" i="26"/>
  <c r="AF27" i="26"/>
  <c r="AG27" i="26"/>
  <c r="AH27" i="26"/>
  <c r="AI27" i="26"/>
  <c r="AJ27" i="26"/>
  <c r="P38" i="26"/>
  <c r="X38" i="26"/>
  <c r="AF38" i="26"/>
  <c r="M17" i="26"/>
  <c r="N17" i="26"/>
  <c r="O17" i="26"/>
  <c r="P17" i="26"/>
  <c r="Q17" i="26"/>
  <c r="R17" i="26"/>
  <c r="S17" i="26"/>
  <c r="T17" i="26"/>
  <c r="U17" i="26"/>
  <c r="V17" i="26"/>
  <c r="W17" i="26"/>
  <c r="X17" i="26"/>
  <c r="Y17" i="26"/>
  <c r="Z17" i="26"/>
  <c r="AA17" i="26"/>
  <c r="AB17" i="26"/>
  <c r="AC17" i="26"/>
  <c r="AD17" i="26"/>
  <c r="AE17" i="26"/>
  <c r="AF17" i="26"/>
  <c r="AG17" i="26"/>
  <c r="AH17" i="26"/>
  <c r="AI17" i="26"/>
  <c r="AJ17" i="26"/>
  <c r="M28" i="26"/>
  <c r="N28" i="26"/>
  <c r="O28" i="26"/>
  <c r="P28" i="26"/>
  <c r="Q28" i="26"/>
  <c r="R28" i="26"/>
  <c r="S28" i="26"/>
  <c r="T28" i="26"/>
  <c r="U28" i="26"/>
  <c r="V28" i="26"/>
  <c r="W28" i="26"/>
  <c r="X28" i="26"/>
  <c r="Y28" i="26"/>
  <c r="Z28" i="26"/>
  <c r="AA28" i="26"/>
  <c r="AB28" i="26"/>
  <c r="AC28" i="26"/>
  <c r="AD28" i="26"/>
  <c r="AE28" i="26"/>
  <c r="AF28" i="26"/>
  <c r="AG28" i="26"/>
  <c r="AH28" i="26"/>
  <c r="AI28" i="26"/>
  <c r="AJ28"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P18" i="26"/>
  <c r="X18" i="26"/>
  <c r="AF18" i="26"/>
  <c r="M29" i="26"/>
  <c r="N29" i="26"/>
  <c r="O29" i="26"/>
  <c r="P29" i="26"/>
  <c r="Q29" i="26"/>
  <c r="R29" i="26"/>
  <c r="S29" i="26"/>
  <c r="T29" i="26"/>
  <c r="U29" i="26"/>
  <c r="V29" i="26"/>
  <c r="W29" i="26"/>
  <c r="X29" i="26"/>
  <c r="Y29" i="26"/>
  <c r="Z29" i="26"/>
  <c r="AA29" i="26"/>
  <c r="AB29" i="26"/>
  <c r="AC29" i="26"/>
  <c r="AD29" i="26"/>
  <c r="AE29" i="26"/>
  <c r="AF29" i="26"/>
  <c r="AG29" i="26"/>
  <c r="AH29" i="26"/>
  <c r="AI29" i="26"/>
  <c r="AJ29" i="26"/>
  <c r="M40" i="26"/>
  <c r="N40" i="26"/>
  <c r="O40" i="26"/>
  <c r="P40" i="26"/>
  <c r="Q40" i="26"/>
  <c r="R40" i="26"/>
  <c r="S40" i="26"/>
  <c r="T40" i="26"/>
  <c r="U40" i="26"/>
  <c r="V40" i="26"/>
  <c r="W40" i="26"/>
  <c r="X40" i="26"/>
  <c r="Y40" i="26"/>
  <c r="Z40" i="26"/>
  <c r="AA40" i="26"/>
  <c r="AB40" i="26"/>
  <c r="AC40" i="26"/>
  <c r="AD40" i="26"/>
  <c r="AE40" i="26"/>
  <c r="AF40" i="26"/>
  <c r="AG40" i="26"/>
  <c r="AH40" i="26"/>
  <c r="AI40" i="26"/>
  <c r="AJ40" i="26"/>
  <c r="B31" i="62"/>
  <c r="J23" i="62"/>
  <c r="J22" i="62"/>
  <c r="J21" i="62"/>
  <c r="J20" i="62"/>
  <c r="J19" i="62"/>
  <c r="J18" i="62"/>
  <c r="B12" i="62"/>
  <c r="G23" i="62"/>
  <c r="B31" i="61"/>
  <c r="J23" i="61"/>
  <c r="J22" i="61"/>
  <c r="J21" i="61"/>
  <c r="J20" i="61"/>
  <c r="J19" i="61"/>
  <c r="J18" i="61"/>
  <c r="B12" i="61"/>
  <c r="G23" i="61"/>
  <c r="B8" i="60"/>
  <c r="G20" i="60" s="1"/>
  <c r="D4" i="21"/>
  <c r="K7" i="42" s="1"/>
  <c r="D43" i="21"/>
  <c r="K7" i="79" s="1"/>
  <c r="D42" i="21"/>
  <c r="K7" i="78" s="1"/>
  <c r="H19" i="78" s="1"/>
  <c r="D41" i="21"/>
  <c r="K7" i="77" s="1"/>
  <c r="D40" i="21"/>
  <c r="K7" i="76" s="1"/>
  <c r="H21" i="76" s="1"/>
  <c r="D39" i="21"/>
  <c r="K7" i="75" s="1"/>
  <c r="H21" i="75" s="1"/>
  <c r="D38" i="21"/>
  <c r="K7" i="66" s="1"/>
  <c r="D37" i="21"/>
  <c r="K7" i="65" s="1"/>
  <c r="D30" i="21"/>
  <c r="D29" i="21"/>
  <c r="D28" i="21"/>
  <c r="D27" i="21"/>
  <c r="D26" i="21"/>
  <c r="K7" i="67" s="1"/>
  <c r="H21" i="67" s="1"/>
  <c r="D25" i="21"/>
  <c r="D24" i="21"/>
  <c r="D11" i="21"/>
  <c r="K7" i="10" s="1"/>
  <c r="D12" i="21"/>
  <c r="K7" i="56" s="1"/>
  <c r="D13" i="21"/>
  <c r="K7" i="11" s="1"/>
  <c r="H21" i="11" s="1"/>
  <c r="D14" i="21"/>
  <c r="K7" i="12" s="1"/>
  <c r="H21" i="12" s="1"/>
  <c r="D15" i="21"/>
  <c r="K7" i="13" s="1"/>
  <c r="D16" i="21"/>
  <c r="K7" i="14" s="1"/>
  <c r="H19" i="14" s="1"/>
  <c r="D17" i="21"/>
  <c r="K7" i="60" s="1"/>
  <c r="C85" i="27"/>
  <c r="F85" i="27"/>
  <c r="C86" i="27"/>
  <c r="G86" i="27" s="1"/>
  <c r="F86" i="27"/>
  <c r="C87" i="27"/>
  <c r="F87" i="27"/>
  <c r="C88" i="27"/>
  <c r="F88" i="27"/>
  <c r="C89" i="27"/>
  <c r="G89" i="27" s="1"/>
  <c r="C84" i="27"/>
  <c r="F43" i="40"/>
  <c r="K93" i="27"/>
  <c r="F91" i="27"/>
  <c r="F90" i="27"/>
  <c r="F84" i="27"/>
  <c r="B31" i="60"/>
  <c r="J19" i="60"/>
  <c r="J20" i="60"/>
  <c r="J21" i="60"/>
  <c r="J22" i="60"/>
  <c r="J23" i="60"/>
  <c r="J18" i="60"/>
  <c r="B12" i="60"/>
  <c r="I21" i="76" l="1"/>
  <c r="K21" i="76" s="1"/>
  <c r="H254" i="27"/>
  <c r="I254" i="27" s="1"/>
  <c r="I19" i="78"/>
  <c r="K19" i="78" s="1"/>
  <c r="H276" i="27"/>
  <c r="I276" i="27" s="1"/>
  <c r="I21" i="75"/>
  <c r="K21" i="75" s="1"/>
  <c r="H243" i="27"/>
  <c r="I243" i="27" s="1"/>
  <c r="H20" i="65"/>
  <c r="H19" i="65"/>
  <c r="H18" i="65"/>
  <c r="H22" i="66"/>
  <c r="H21" i="66"/>
  <c r="A102" i="27"/>
  <c r="A103" i="27" s="1"/>
  <c r="B219" i="27"/>
  <c r="A220" i="27"/>
  <c r="A221" i="27" s="1"/>
  <c r="A144" i="27"/>
  <c r="A145" i="27" s="1"/>
  <c r="A146" i="27" s="1"/>
  <c r="A147" i="27" s="1"/>
  <c r="A148" i="27" s="1"/>
  <c r="A149" i="27" s="1"/>
  <c r="A150" i="27" s="1"/>
  <c r="A177" i="27"/>
  <c r="A178" i="27" s="1"/>
  <c r="A179" i="27" s="1"/>
  <c r="A180" i="27" s="1"/>
  <c r="A181" i="27" s="1"/>
  <c r="A201" i="27"/>
  <c r="A202" i="27" s="1"/>
  <c r="A243" i="27"/>
  <c r="A244" i="27" s="1"/>
  <c r="A245" i="27" s="1"/>
  <c r="A246" i="27" s="1"/>
  <c r="A247" i="27" s="1"/>
  <c r="A248" i="27" s="1"/>
  <c r="A249" i="27" s="1"/>
  <c r="A276" i="27"/>
  <c r="A277" i="27" s="1"/>
  <c r="A278" i="27" s="1"/>
  <c r="A279" i="27" s="1"/>
  <c r="A280" i="27" s="1"/>
  <c r="A300" i="27"/>
  <c r="A301" i="27" s="1"/>
  <c r="A288" i="27"/>
  <c r="A289" i="27" s="1"/>
  <c r="A290" i="27" s="1"/>
  <c r="A291" i="27" s="1"/>
  <c r="A292" i="27" s="1"/>
  <c r="J18" i="74"/>
  <c r="J19" i="74"/>
  <c r="C214" i="27"/>
  <c r="J18" i="82"/>
  <c r="J19" i="82"/>
  <c r="C313" i="27"/>
  <c r="G18" i="82"/>
  <c r="H18" i="82" s="1"/>
  <c r="I19" i="14"/>
  <c r="K19" i="14" s="1"/>
  <c r="H78" i="27"/>
  <c r="I78" i="27" s="1"/>
  <c r="I21" i="12"/>
  <c r="K21" i="12" s="1"/>
  <c r="H56" i="27"/>
  <c r="I56" i="27" s="1"/>
  <c r="I21" i="11"/>
  <c r="K21" i="11" s="1"/>
  <c r="H45" i="27"/>
  <c r="I45" i="27" s="1"/>
  <c r="H21" i="56"/>
  <c r="H22" i="56"/>
  <c r="H19" i="10"/>
  <c r="H20" i="10"/>
  <c r="H18" i="10"/>
  <c r="I21" i="67"/>
  <c r="K21" i="67" s="1"/>
  <c r="H144" i="27"/>
  <c r="I144" i="27" s="1"/>
  <c r="K7" i="15"/>
  <c r="E286" i="27"/>
  <c r="L286" i="27" s="1"/>
  <c r="G286" i="27"/>
  <c r="E96" i="27"/>
  <c r="G96" i="27"/>
  <c r="E200" i="27"/>
  <c r="G200" i="27"/>
  <c r="E206" i="27"/>
  <c r="L206" i="27" s="1"/>
  <c r="G206" i="27"/>
  <c r="E307" i="27"/>
  <c r="L307" i="27" s="1"/>
  <c r="G307" i="27"/>
  <c r="E196" i="27"/>
  <c r="G196" i="27"/>
  <c r="E85" i="27"/>
  <c r="G85" i="27"/>
  <c r="E130" i="27"/>
  <c r="G130" i="27"/>
  <c r="E265" i="27"/>
  <c r="G265" i="27"/>
  <c r="E188" i="27"/>
  <c r="L188" i="27" s="1"/>
  <c r="G188" i="27"/>
  <c r="E184" i="27"/>
  <c r="L184" i="27" s="1"/>
  <c r="G184" i="27"/>
  <c r="E312" i="27"/>
  <c r="L312" i="27" s="1"/>
  <c r="G312" i="27"/>
  <c r="E296" i="27"/>
  <c r="G296" i="27"/>
  <c r="E207" i="27"/>
  <c r="L207" i="27" s="1"/>
  <c r="G207" i="27"/>
  <c r="E308" i="27"/>
  <c r="L308" i="27" s="1"/>
  <c r="G308" i="27"/>
  <c r="E297" i="27"/>
  <c r="L297" i="27" s="1"/>
  <c r="G297" i="27"/>
  <c r="E285" i="27"/>
  <c r="L285" i="27" s="1"/>
  <c r="G285" i="27"/>
  <c r="E199" i="27"/>
  <c r="G199" i="27"/>
  <c r="E208" i="27"/>
  <c r="L208" i="27" s="1"/>
  <c r="G208" i="27"/>
  <c r="E267" i="27"/>
  <c r="L267" i="27" s="1"/>
  <c r="G267" i="27"/>
  <c r="E99" i="27"/>
  <c r="G99" i="27"/>
  <c r="E306" i="27"/>
  <c r="G306" i="27"/>
  <c r="E88" i="27"/>
  <c r="G88" i="27"/>
  <c r="E220" i="27"/>
  <c r="G220" i="27"/>
  <c r="E187" i="27"/>
  <c r="L187" i="27" s="1"/>
  <c r="G187" i="27"/>
  <c r="E101" i="27"/>
  <c r="L101" i="27" s="1"/>
  <c r="G101" i="27"/>
  <c r="E97" i="27"/>
  <c r="G97" i="27"/>
  <c r="E299" i="27"/>
  <c r="L299" i="27" s="1"/>
  <c r="G299" i="27"/>
  <c r="E295" i="27"/>
  <c r="L295" i="27" s="1"/>
  <c r="G295" i="27"/>
  <c r="E107" i="27"/>
  <c r="G107" i="27"/>
  <c r="E209" i="27"/>
  <c r="L209" i="27" s="1"/>
  <c r="G209" i="27"/>
  <c r="E121" i="27"/>
  <c r="G121" i="27"/>
  <c r="E284" i="27"/>
  <c r="G284" i="27"/>
  <c r="E195" i="27"/>
  <c r="G195" i="27"/>
  <c r="E108" i="27"/>
  <c r="G108" i="27"/>
  <c r="E303" i="27"/>
  <c r="L303" i="27" s="1"/>
  <c r="G303" i="27"/>
  <c r="E198" i="27"/>
  <c r="L198" i="27" s="1"/>
  <c r="G198" i="27"/>
  <c r="E205" i="27"/>
  <c r="L205" i="27" s="1"/>
  <c r="G205" i="27"/>
  <c r="E87" i="27"/>
  <c r="G87" i="27"/>
  <c r="E183" i="27"/>
  <c r="L183" i="27" s="1"/>
  <c r="G183" i="27"/>
  <c r="E186" i="27"/>
  <c r="L186" i="27" s="1"/>
  <c r="G186" i="27"/>
  <c r="E100" i="27"/>
  <c r="G100" i="27"/>
  <c r="E298" i="27"/>
  <c r="G298" i="27"/>
  <c r="E109" i="27"/>
  <c r="G109" i="27"/>
  <c r="E304" i="27"/>
  <c r="G304" i="27"/>
  <c r="E294" i="27"/>
  <c r="G294" i="27"/>
  <c r="E84" i="27"/>
  <c r="G84" i="27"/>
  <c r="E240" i="27"/>
  <c r="L240" i="27" s="1"/>
  <c r="G240" i="27"/>
  <c r="E166" i="27"/>
  <c r="G166" i="27"/>
  <c r="E167" i="27"/>
  <c r="L167" i="27" s="1"/>
  <c r="G167" i="27"/>
  <c r="E287" i="27"/>
  <c r="L287" i="27" s="1"/>
  <c r="G287" i="27"/>
  <c r="E283" i="27"/>
  <c r="L283" i="27" s="1"/>
  <c r="G283" i="27"/>
  <c r="E110" i="27"/>
  <c r="L110" i="27" s="1"/>
  <c r="G110" i="27"/>
  <c r="E305" i="27"/>
  <c r="G305" i="27"/>
  <c r="X12" i="26"/>
  <c r="C12" i="76"/>
  <c r="C170" i="27"/>
  <c r="E170" i="27" s="1"/>
  <c r="C13" i="76"/>
  <c r="C255" i="27"/>
  <c r="E255" i="27" s="1"/>
  <c r="C12" i="80"/>
  <c r="C12" i="74"/>
  <c r="C12" i="79"/>
  <c r="C223" i="27"/>
  <c r="E223" i="27" s="1"/>
  <c r="C245" i="27"/>
  <c r="E245" i="27" s="1"/>
  <c r="C178" i="27"/>
  <c r="E178" i="27" s="1"/>
  <c r="C12" i="62"/>
  <c r="C12" i="63"/>
  <c r="C12" i="71"/>
  <c r="C135" i="27"/>
  <c r="E135" i="27" s="1"/>
  <c r="C269" i="27"/>
  <c r="E269" i="27" s="1"/>
  <c r="C277" i="27"/>
  <c r="E277" i="27" s="1"/>
  <c r="C136" i="27"/>
  <c r="E136" i="27" s="1"/>
  <c r="C146" i="27"/>
  <c r="E146" i="27" s="1"/>
  <c r="C314" i="27"/>
  <c r="E314" i="27" s="1"/>
  <c r="C31" i="72"/>
  <c r="C31" i="80"/>
  <c r="C31" i="74"/>
  <c r="C31" i="79"/>
  <c r="C31" i="71"/>
  <c r="C31" i="82"/>
  <c r="C148" i="27"/>
  <c r="E148" i="27" s="1"/>
  <c r="C216" i="27"/>
  <c r="E216" i="27" s="1"/>
  <c r="R36" i="40"/>
  <c r="R41" i="40"/>
  <c r="E105" i="27"/>
  <c r="H22" i="81"/>
  <c r="I22" i="81" s="1"/>
  <c r="K22" i="81" s="1"/>
  <c r="H18" i="81"/>
  <c r="I18" i="81" s="1"/>
  <c r="K18" i="81" s="1"/>
  <c r="H20" i="77"/>
  <c r="I20" i="77" s="1"/>
  <c r="K20" i="77" s="1"/>
  <c r="H18" i="66"/>
  <c r="I18" i="66" s="1"/>
  <c r="H18" i="78"/>
  <c r="I18" i="78" s="1"/>
  <c r="K18" i="78" s="1"/>
  <c r="K7" i="70"/>
  <c r="K7" i="71"/>
  <c r="H21" i="71" s="1"/>
  <c r="I21" i="71" s="1"/>
  <c r="K21" i="71" s="1"/>
  <c r="K7" i="72"/>
  <c r="H21" i="72" s="1"/>
  <c r="K7" i="73"/>
  <c r="H19" i="73" s="1"/>
  <c r="K7" i="68"/>
  <c r="H21" i="68" s="1"/>
  <c r="K7" i="69"/>
  <c r="K7" i="63"/>
  <c r="K7" i="64"/>
  <c r="L229" i="27"/>
  <c r="P65" i="40"/>
  <c r="J18" i="73"/>
  <c r="J21" i="72"/>
  <c r="P66" i="40"/>
  <c r="P51" i="40"/>
  <c r="P60" i="40"/>
  <c r="P59" i="40"/>
  <c r="P52" i="40"/>
  <c r="P54" i="40"/>
  <c r="P53" i="40"/>
  <c r="P48" i="40"/>
  <c r="P47" i="40"/>
  <c r="P45" i="40"/>
  <c r="P37" i="40"/>
  <c r="P40" i="40"/>
  <c r="P41" i="40"/>
  <c r="P46" i="40"/>
  <c r="P33" i="40"/>
  <c r="P27" i="40"/>
  <c r="P39" i="40"/>
  <c r="P36" i="40"/>
  <c r="P38" i="40"/>
  <c r="P42" i="40"/>
  <c r="P34" i="40"/>
  <c r="P35" i="40"/>
  <c r="P26" i="40"/>
  <c r="P25" i="40"/>
  <c r="P24" i="40"/>
  <c r="P20" i="40"/>
  <c r="P18" i="40"/>
  <c r="P21" i="40"/>
  <c r="P17" i="40"/>
  <c r="K11" i="47"/>
  <c r="L11" i="47" s="1"/>
  <c r="K14" i="47"/>
  <c r="L14" i="47" s="1"/>
  <c r="K15" i="47"/>
  <c r="K12" i="47"/>
  <c r="L12" i="47" s="1"/>
  <c r="H19" i="80"/>
  <c r="H21" i="80"/>
  <c r="H23" i="79"/>
  <c r="H21" i="79"/>
  <c r="H23" i="80"/>
  <c r="E106" i="27"/>
  <c r="E98" i="27"/>
  <c r="E204" i="27"/>
  <c r="L204" i="27" s="1"/>
  <c r="E197" i="27"/>
  <c r="E185" i="27"/>
  <c r="L185" i="27" s="1"/>
  <c r="E213" i="27"/>
  <c r="E215" i="27"/>
  <c r="A183" i="27"/>
  <c r="A184" i="27" s="1"/>
  <c r="A185" i="27" s="1"/>
  <c r="A186" i="27" s="1"/>
  <c r="A187" i="27" s="1"/>
  <c r="A188" i="27" s="1"/>
  <c r="A84" i="27"/>
  <c r="E282" i="27"/>
  <c r="L282" i="27" s="1"/>
  <c r="E176" i="27"/>
  <c r="L176" i="27" s="1"/>
  <c r="E275" i="27"/>
  <c r="L275" i="27" s="1"/>
  <c r="A77" i="27"/>
  <c r="A78" i="27" s="1"/>
  <c r="E179" i="27"/>
  <c r="E168" i="27"/>
  <c r="L168" i="27" s="1"/>
  <c r="E266" i="27"/>
  <c r="L266" i="27" s="1"/>
  <c r="A67" i="27"/>
  <c r="A265" i="27"/>
  <c r="A266" i="27" s="1"/>
  <c r="A267" i="27" s="1"/>
  <c r="A166" i="27"/>
  <c r="A167" i="27" s="1"/>
  <c r="A168" i="27" s="1"/>
  <c r="A251" i="27"/>
  <c r="A252" i="27" s="1"/>
  <c r="A253" i="27" s="1"/>
  <c r="E268" i="27"/>
  <c r="E270" i="27"/>
  <c r="E169" i="27"/>
  <c r="E171" i="27"/>
  <c r="E251" i="27"/>
  <c r="E152" i="27"/>
  <c r="A152" i="27"/>
  <c r="A153" i="27" s="1"/>
  <c r="A154" i="27" s="1"/>
  <c r="E236" i="27"/>
  <c r="E158" i="27"/>
  <c r="E157" i="27"/>
  <c r="A42" i="27"/>
  <c r="E89" i="27"/>
  <c r="A228" i="27"/>
  <c r="B228" i="27" s="1"/>
  <c r="E247" i="27"/>
  <c r="A129" i="27"/>
  <c r="A120" i="27"/>
  <c r="E137" i="27"/>
  <c r="E229" i="27"/>
  <c r="E141" i="27"/>
  <c r="L141" i="27" s="1"/>
  <c r="E145" i="27"/>
  <c r="E124" i="27"/>
  <c r="E125" i="27"/>
  <c r="H19" i="67"/>
  <c r="H142" i="27" s="1"/>
  <c r="I142" i="27" s="1"/>
  <c r="H19" i="75"/>
  <c r="H241" i="27" s="1"/>
  <c r="I241" i="27" s="1"/>
  <c r="H20" i="75"/>
  <c r="H242" i="27" s="1"/>
  <c r="I242" i="27" s="1"/>
  <c r="H19" i="77"/>
  <c r="H20" i="67"/>
  <c r="H143" i="27" s="1"/>
  <c r="I143" i="27" s="1"/>
  <c r="H23" i="81"/>
  <c r="H19" i="79"/>
  <c r="H18" i="67"/>
  <c r="H18" i="75"/>
  <c r="H22" i="79"/>
  <c r="C13" i="75"/>
  <c r="G20" i="80"/>
  <c r="H20" i="80" s="1"/>
  <c r="C12" i="81"/>
  <c r="G19" i="82"/>
  <c r="G18" i="77"/>
  <c r="H18" i="77" s="1"/>
  <c r="G21" i="81"/>
  <c r="H21" i="81" s="1"/>
  <c r="H18" i="79"/>
  <c r="G20" i="76"/>
  <c r="G20" i="81"/>
  <c r="H20" i="81" s="1"/>
  <c r="C12" i="82"/>
  <c r="C32" i="75"/>
  <c r="G19" i="76"/>
  <c r="C12" i="77"/>
  <c r="C31" i="78"/>
  <c r="G18" i="80"/>
  <c r="H18" i="80" s="1"/>
  <c r="G22" i="80"/>
  <c r="H22" i="80" s="1"/>
  <c r="C31" i="81"/>
  <c r="G20" i="79"/>
  <c r="H20" i="79" s="1"/>
  <c r="G19" i="81"/>
  <c r="H19" i="81" s="1"/>
  <c r="G18" i="76"/>
  <c r="H18" i="76" s="1"/>
  <c r="C13" i="67"/>
  <c r="G20" i="72"/>
  <c r="C12" i="73"/>
  <c r="G19" i="74"/>
  <c r="G18" i="69"/>
  <c r="G20" i="68"/>
  <c r="L154" i="27" s="1"/>
  <c r="G19" i="72"/>
  <c r="G23" i="72"/>
  <c r="G18" i="74"/>
  <c r="H18" i="74" s="1"/>
  <c r="C32" i="67"/>
  <c r="G19" i="68"/>
  <c r="L153" i="27" s="1"/>
  <c r="C31" i="70"/>
  <c r="G18" i="72"/>
  <c r="G22" i="72"/>
  <c r="C31" i="73"/>
  <c r="G18" i="68"/>
  <c r="C13" i="66"/>
  <c r="C12" i="65"/>
  <c r="G20" i="66"/>
  <c r="L231" i="27" s="1"/>
  <c r="C12" i="66"/>
  <c r="G19" i="66"/>
  <c r="L230" i="27" s="1"/>
  <c r="C13" i="64"/>
  <c r="G18" i="64"/>
  <c r="G20" i="64"/>
  <c r="L132" i="27" s="1"/>
  <c r="G19" i="64"/>
  <c r="L131" i="27" s="1"/>
  <c r="R19" i="26"/>
  <c r="N19" i="26"/>
  <c r="AJ16" i="26"/>
  <c r="AH16" i="26"/>
  <c r="AB16" i="26"/>
  <c r="Z16" i="26"/>
  <c r="T16" i="26"/>
  <c r="R16" i="26"/>
  <c r="AI16" i="26"/>
  <c r="AA16" i="26"/>
  <c r="S16" i="26"/>
  <c r="AG16" i="26"/>
  <c r="Y16" i="26"/>
  <c r="Q16" i="26"/>
  <c r="AF16" i="26"/>
  <c r="X16" i="26"/>
  <c r="P16" i="26"/>
  <c r="AE16" i="26"/>
  <c r="W16" i="26"/>
  <c r="O16" i="26"/>
  <c r="AD16" i="26"/>
  <c r="V16" i="26"/>
  <c r="N16" i="26"/>
  <c r="AC16" i="26"/>
  <c r="U16" i="26"/>
  <c r="AH19" i="26"/>
  <c r="AD19" i="26"/>
  <c r="P12" i="26"/>
  <c r="Z19" i="26"/>
  <c r="V19" i="26"/>
  <c r="AF12" i="26"/>
  <c r="Z14" i="26"/>
  <c r="V14" i="26"/>
  <c r="R14" i="26"/>
  <c r="N14" i="26"/>
  <c r="AF35" i="26"/>
  <c r="AH14" i="26"/>
  <c r="X35" i="26"/>
  <c r="P35" i="26"/>
  <c r="AF11" i="26"/>
  <c r="P11" i="26"/>
  <c r="AC19" i="26"/>
  <c r="U19" i="26"/>
  <c r="M19" i="26"/>
  <c r="AF15" i="26"/>
  <c r="X15" i="26"/>
  <c r="P15" i="26"/>
  <c r="AC14" i="26"/>
  <c r="U14" i="26"/>
  <c r="M14" i="26"/>
  <c r="AE11" i="26"/>
  <c r="W11" i="26"/>
  <c r="O11" i="26"/>
  <c r="X11" i="26"/>
  <c r="AJ19" i="26"/>
  <c r="AB19" i="26"/>
  <c r="T19" i="26"/>
  <c r="AE15" i="26"/>
  <c r="W15" i="26"/>
  <c r="O15" i="26"/>
  <c r="AJ14" i="26"/>
  <c r="AB14" i="26"/>
  <c r="T14" i="26"/>
  <c r="AD11" i="26"/>
  <c r="V11" i="26"/>
  <c r="N11" i="26"/>
  <c r="AI19" i="26"/>
  <c r="AA19" i="26"/>
  <c r="S19" i="26"/>
  <c r="AD15" i="26"/>
  <c r="V15" i="26"/>
  <c r="N15" i="26"/>
  <c r="AI14" i="26"/>
  <c r="AA14" i="26"/>
  <c r="S14" i="26"/>
  <c r="AC11" i="26"/>
  <c r="U11" i="26"/>
  <c r="M11" i="26"/>
  <c r="AG19" i="26"/>
  <c r="Y19" i="26"/>
  <c r="Q19" i="26"/>
  <c r="AJ15" i="26"/>
  <c r="AB15" i="26"/>
  <c r="T15" i="26"/>
  <c r="AG14" i="26"/>
  <c r="Y14" i="26"/>
  <c r="Q14" i="26"/>
  <c r="AI11" i="26"/>
  <c r="AA11" i="26"/>
  <c r="S11" i="26"/>
  <c r="AF19" i="26"/>
  <c r="X19" i="26"/>
  <c r="P19" i="26"/>
  <c r="AI15" i="26"/>
  <c r="AA15" i="26"/>
  <c r="S15" i="26"/>
  <c r="AF14" i="26"/>
  <c r="X14" i="26"/>
  <c r="P14" i="26"/>
  <c r="AH11" i="26"/>
  <c r="Z11" i="26"/>
  <c r="R11" i="26"/>
  <c r="AJ11" i="26"/>
  <c r="AB11" i="26"/>
  <c r="T11" i="26"/>
  <c r="AE19" i="26"/>
  <c r="W19" i="26"/>
  <c r="AH15" i="26"/>
  <c r="Z15" i="26"/>
  <c r="AE14" i="26"/>
  <c r="W14" i="26"/>
  <c r="AG11" i="26"/>
  <c r="Y11" i="26"/>
  <c r="W18" i="26"/>
  <c r="AE38" i="26"/>
  <c r="O38" i="26"/>
  <c r="AE26" i="26"/>
  <c r="W26" i="26"/>
  <c r="O26" i="26"/>
  <c r="AE35" i="26"/>
  <c r="W35" i="26"/>
  <c r="O35" i="26"/>
  <c r="AE12" i="26"/>
  <c r="W12" i="26"/>
  <c r="O12" i="26"/>
  <c r="AE22" i="26"/>
  <c r="W22" i="26"/>
  <c r="O22" i="26"/>
  <c r="AE18" i="26"/>
  <c r="O18" i="26"/>
  <c r="W38" i="26"/>
  <c r="AD18" i="26"/>
  <c r="V18" i="26"/>
  <c r="N18" i="26"/>
  <c r="AD38" i="26"/>
  <c r="V38" i="26"/>
  <c r="N38" i="26"/>
  <c r="AD26" i="26"/>
  <c r="V26" i="26"/>
  <c r="N26" i="26"/>
  <c r="AD35" i="26"/>
  <c r="V35" i="26"/>
  <c r="N35" i="26"/>
  <c r="AD12" i="26"/>
  <c r="V12" i="26"/>
  <c r="N12" i="26"/>
  <c r="AD22" i="26"/>
  <c r="V22" i="26"/>
  <c r="N22" i="26"/>
  <c r="AC12" i="26"/>
  <c r="U12" i="26"/>
  <c r="M12" i="26"/>
  <c r="AC22" i="26"/>
  <c r="U22" i="26"/>
  <c r="M22" i="26"/>
  <c r="U18" i="26"/>
  <c r="U38" i="26"/>
  <c r="AC26" i="26"/>
  <c r="U26" i="26"/>
  <c r="M26" i="26"/>
  <c r="AC35" i="26"/>
  <c r="U35" i="26"/>
  <c r="M35" i="26"/>
  <c r="AJ18" i="26"/>
  <c r="AB18" i="26"/>
  <c r="T18" i="26"/>
  <c r="AJ38" i="26"/>
  <c r="AB38" i="26"/>
  <c r="T38" i="26"/>
  <c r="AJ26" i="26"/>
  <c r="AB26" i="26"/>
  <c r="T26" i="26"/>
  <c r="AJ35" i="26"/>
  <c r="AB35" i="26"/>
  <c r="T35" i="26"/>
  <c r="AJ12" i="26"/>
  <c r="AB12" i="26"/>
  <c r="T12" i="26"/>
  <c r="AJ22" i="26"/>
  <c r="AB22" i="26"/>
  <c r="T22" i="26"/>
  <c r="AA18" i="26"/>
  <c r="S18" i="26"/>
  <c r="AA38" i="26"/>
  <c r="AI26" i="26"/>
  <c r="AA26" i="26"/>
  <c r="S26" i="26"/>
  <c r="AI35" i="26"/>
  <c r="AA35" i="26"/>
  <c r="S35" i="26"/>
  <c r="AI12" i="26"/>
  <c r="AA12" i="26"/>
  <c r="S12" i="26"/>
  <c r="AI22" i="26"/>
  <c r="AA22" i="26"/>
  <c r="S22" i="26"/>
  <c r="AC18" i="26"/>
  <c r="M18" i="26"/>
  <c r="AC38" i="26"/>
  <c r="M38" i="26"/>
  <c r="AI18" i="26"/>
  <c r="AI38" i="26"/>
  <c r="S38" i="26"/>
  <c r="AH18" i="26"/>
  <c r="Z18" i="26"/>
  <c r="R18" i="26"/>
  <c r="AH38" i="26"/>
  <c r="Z38" i="26"/>
  <c r="R38" i="26"/>
  <c r="AH26" i="26"/>
  <c r="Z26" i="26"/>
  <c r="R26" i="26"/>
  <c r="AH35" i="26"/>
  <c r="Z35" i="26"/>
  <c r="R35" i="26"/>
  <c r="AH12" i="26"/>
  <c r="Z12" i="26"/>
  <c r="R12" i="26"/>
  <c r="AH22" i="26"/>
  <c r="Z22" i="26"/>
  <c r="R22" i="26"/>
  <c r="AG18" i="26"/>
  <c r="Y18" i="26"/>
  <c r="AG38" i="26"/>
  <c r="Y38" i="26"/>
  <c r="AG26" i="26"/>
  <c r="Y26" i="26"/>
  <c r="AG35" i="26"/>
  <c r="Y35" i="26"/>
  <c r="AG12" i="26"/>
  <c r="Y12" i="26"/>
  <c r="AG22" i="26"/>
  <c r="Y22" i="26"/>
  <c r="H20" i="60"/>
  <c r="G22" i="62"/>
  <c r="G18" i="62"/>
  <c r="G21" i="62"/>
  <c r="G20" i="62"/>
  <c r="C31" i="62"/>
  <c r="G19" i="62"/>
  <c r="G18" i="61"/>
  <c r="G22" i="61"/>
  <c r="C12" i="61"/>
  <c r="G21" i="61"/>
  <c r="G20" i="61"/>
  <c r="C31" i="61"/>
  <c r="G19" i="61"/>
  <c r="G18" i="60"/>
  <c r="H18" i="60" s="1"/>
  <c r="G21" i="60"/>
  <c r="G23" i="60"/>
  <c r="E86" i="27"/>
  <c r="L86" i="27" s="1"/>
  <c r="G22" i="60"/>
  <c r="G19" i="60"/>
  <c r="H19" i="60" s="1"/>
  <c r="C31" i="60"/>
  <c r="C12" i="60"/>
  <c r="A222" i="27" l="1"/>
  <c r="L100" i="27"/>
  <c r="L96" i="27"/>
  <c r="H19" i="63"/>
  <c r="H20" i="63"/>
  <c r="H18" i="63"/>
  <c r="I21" i="66"/>
  <c r="K21" i="66" s="1"/>
  <c r="H232" i="27"/>
  <c r="I232" i="27" s="1"/>
  <c r="I22" i="66"/>
  <c r="K22" i="66" s="1"/>
  <c r="H233" i="27"/>
  <c r="I233" i="27" s="1"/>
  <c r="I18" i="65"/>
  <c r="K18" i="65" s="1"/>
  <c r="H220" i="27"/>
  <c r="I220" i="27" s="1"/>
  <c r="I19" i="65"/>
  <c r="K19" i="65" s="1"/>
  <c r="H221" i="27"/>
  <c r="I221" i="27" s="1"/>
  <c r="H22" i="64"/>
  <c r="H21" i="64"/>
  <c r="I20" i="65"/>
  <c r="K20" i="65" s="1"/>
  <c r="H222" i="27"/>
  <c r="I222" i="27" s="1"/>
  <c r="L88" i="27"/>
  <c r="A169" i="27"/>
  <c r="A170" i="27" s="1"/>
  <c r="A171" i="27" s="1"/>
  <c r="A172" i="27" s="1"/>
  <c r="A173" i="27" s="1"/>
  <c r="A174" i="27" s="1"/>
  <c r="A268" i="27"/>
  <c r="A269" i="27" s="1"/>
  <c r="A270" i="27" s="1"/>
  <c r="A271" i="27" s="1"/>
  <c r="A272" i="27" s="1"/>
  <c r="A273" i="27" s="1"/>
  <c r="A189" i="27"/>
  <c r="A190" i="27" s="1"/>
  <c r="A191" i="27" s="1"/>
  <c r="A192" i="27" s="1"/>
  <c r="A193" i="27" s="1"/>
  <c r="A254" i="27"/>
  <c r="A255" i="27" s="1"/>
  <c r="A256" i="27" s="1"/>
  <c r="A257" i="27" s="1"/>
  <c r="A258" i="27" s="1"/>
  <c r="A259" i="27" s="1"/>
  <c r="A260" i="27" s="1"/>
  <c r="A121" i="27"/>
  <c r="A122" i="27" s="1"/>
  <c r="A124" i="27" s="1"/>
  <c r="A125" i="27" s="1"/>
  <c r="A126" i="27" s="1"/>
  <c r="E214" i="27"/>
  <c r="L214" i="27" s="1"/>
  <c r="G214" i="27"/>
  <c r="E313" i="27"/>
  <c r="L313" i="27" s="1"/>
  <c r="G313" i="27"/>
  <c r="H19" i="76"/>
  <c r="H252" i="27" s="1"/>
  <c r="I252" i="27" s="1"/>
  <c r="L252" i="27"/>
  <c r="H19" i="82"/>
  <c r="H313" i="27" s="1"/>
  <c r="H19" i="74"/>
  <c r="H214" i="27" s="1"/>
  <c r="H20" i="76"/>
  <c r="H253" i="27" s="1"/>
  <c r="I253" i="27" s="1"/>
  <c r="L253" i="27"/>
  <c r="K18" i="66"/>
  <c r="A155" i="27"/>
  <c r="A156" i="27" s="1"/>
  <c r="A157" i="27" s="1"/>
  <c r="A158" i="27" s="1"/>
  <c r="A159" i="27" s="1"/>
  <c r="A160" i="27" s="1"/>
  <c r="A161" i="27" s="1"/>
  <c r="H18" i="73"/>
  <c r="I18" i="73" s="1"/>
  <c r="I19" i="10"/>
  <c r="K19" i="10" s="1"/>
  <c r="H23" i="27"/>
  <c r="I23" i="27" s="1"/>
  <c r="I21" i="56"/>
  <c r="K21" i="56" s="1"/>
  <c r="H34" i="27"/>
  <c r="I34" i="27" s="1"/>
  <c r="I22" i="56"/>
  <c r="H35" i="27"/>
  <c r="I35" i="27" s="1"/>
  <c r="I18" i="10"/>
  <c r="K18" i="10" s="1"/>
  <c r="H22" i="27"/>
  <c r="I20" i="10"/>
  <c r="K20" i="10" s="1"/>
  <c r="H24" i="27"/>
  <c r="I24" i="27" s="1"/>
  <c r="H18" i="70"/>
  <c r="I18" i="70" s="1"/>
  <c r="K18" i="70" s="1"/>
  <c r="H19" i="70"/>
  <c r="I21" i="68"/>
  <c r="K21" i="68" s="1"/>
  <c r="H155" i="27"/>
  <c r="I155" i="27" s="1"/>
  <c r="L99" i="27"/>
  <c r="H23" i="72"/>
  <c r="I23" i="72" s="1"/>
  <c r="K23" i="72" s="1"/>
  <c r="H19" i="72"/>
  <c r="H196" i="27" s="1"/>
  <c r="I196" i="27" s="1"/>
  <c r="H22" i="71"/>
  <c r="I22" i="71" s="1"/>
  <c r="K22" i="71" s="1"/>
  <c r="H23" i="73"/>
  <c r="H209" i="27" s="1"/>
  <c r="I209" i="27" s="1"/>
  <c r="H20" i="73"/>
  <c r="I20" i="73" s="1"/>
  <c r="K20" i="73" s="1"/>
  <c r="L87" i="27"/>
  <c r="L108" i="27"/>
  <c r="L97" i="27"/>
  <c r="L107" i="27"/>
  <c r="L109" i="27"/>
  <c r="H20" i="71"/>
  <c r="I20" i="71" s="1"/>
  <c r="K20" i="71" s="1"/>
  <c r="H19" i="71"/>
  <c r="I19" i="71" s="1"/>
  <c r="K19" i="71" s="1"/>
  <c r="H23" i="71"/>
  <c r="I23" i="71" s="1"/>
  <c r="K23" i="71" s="1"/>
  <c r="H18" i="71"/>
  <c r="I18" i="71" s="1"/>
  <c r="K18" i="71" s="1"/>
  <c r="H303" i="27"/>
  <c r="I303" i="27" s="1"/>
  <c r="H307" i="27"/>
  <c r="I307" i="27" s="1"/>
  <c r="H229" i="27"/>
  <c r="I229" i="27" s="1"/>
  <c r="L105" i="27"/>
  <c r="H267" i="27"/>
  <c r="I267" i="27" s="1"/>
  <c r="H275" i="27"/>
  <c r="I275" i="27" s="1"/>
  <c r="H22" i="72"/>
  <c r="H199" i="27" s="1"/>
  <c r="I199" i="27" s="1"/>
  <c r="H20" i="68"/>
  <c r="H18" i="72"/>
  <c r="I18" i="72" s="1"/>
  <c r="K18" i="72" s="1"/>
  <c r="H19" i="68"/>
  <c r="H22" i="73"/>
  <c r="H18" i="68"/>
  <c r="H152" i="27" s="1"/>
  <c r="I152" i="27" s="1"/>
  <c r="H20" i="72"/>
  <c r="I20" i="72" s="1"/>
  <c r="K20" i="72" s="1"/>
  <c r="H21" i="73"/>
  <c r="H207" i="27" s="1"/>
  <c r="I207" i="27" s="1"/>
  <c r="H186" i="27"/>
  <c r="I186" i="27" s="1"/>
  <c r="H20" i="69"/>
  <c r="I20" i="69" s="1"/>
  <c r="H18" i="69"/>
  <c r="H166" i="27" s="1"/>
  <c r="I166" i="27" s="1"/>
  <c r="H19" i="69"/>
  <c r="L298" i="27"/>
  <c r="L251" i="27"/>
  <c r="L152" i="27"/>
  <c r="H18" i="64"/>
  <c r="I18" i="64" s="1"/>
  <c r="L130" i="27"/>
  <c r="G15" i="47"/>
  <c r="L294" i="27"/>
  <c r="L166" i="27"/>
  <c r="L306" i="27"/>
  <c r="H19" i="66"/>
  <c r="H230" i="27" s="1"/>
  <c r="I230" i="27" s="1"/>
  <c r="L89" i="27"/>
  <c r="L213" i="27"/>
  <c r="L265" i="27"/>
  <c r="L305" i="27"/>
  <c r="L304" i="27"/>
  <c r="H20" i="66"/>
  <c r="H231" i="27" s="1"/>
  <c r="I231" i="27" s="1"/>
  <c r="H19" i="64"/>
  <c r="L284" i="27"/>
  <c r="G12" i="47"/>
  <c r="O12" i="47" s="1"/>
  <c r="H20" i="64"/>
  <c r="L296" i="27"/>
  <c r="O11" i="47"/>
  <c r="L15" i="47"/>
  <c r="O14" i="47"/>
  <c r="I20" i="80"/>
  <c r="K20" i="80" s="1"/>
  <c r="H296" i="27"/>
  <c r="I296" i="27" s="1"/>
  <c r="I22" i="79"/>
  <c r="K22" i="79" s="1"/>
  <c r="H286" i="27"/>
  <c r="I286" i="27" s="1"/>
  <c r="F12" i="78"/>
  <c r="I19" i="75"/>
  <c r="I18" i="76"/>
  <c r="H251" i="27"/>
  <c r="I251" i="27" s="1"/>
  <c r="I18" i="79"/>
  <c r="K18" i="79" s="1"/>
  <c r="H282" i="27"/>
  <c r="I282" i="27" s="1"/>
  <c r="I21" i="81"/>
  <c r="K21" i="81" s="1"/>
  <c r="H306" i="27"/>
  <c r="I306" i="27" s="1"/>
  <c r="I18" i="77"/>
  <c r="F13" i="77" s="1"/>
  <c r="H269" i="27" s="1"/>
  <c r="H265" i="27"/>
  <c r="I265" i="27" s="1"/>
  <c r="I23" i="81"/>
  <c r="K23" i="81" s="1"/>
  <c r="H308" i="27"/>
  <c r="I308" i="27" s="1"/>
  <c r="I21" i="79"/>
  <c r="K21" i="79" s="1"/>
  <c r="H285" i="27"/>
  <c r="I285" i="27" s="1"/>
  <c r="I21" i="80"/>
  <c r="K21" i="80" s="1"/>
  <c r="H297" i="27"/>
  <c r="I297" i="27" s="1"/>
  <c r="I18" i="82"/>
  <c r="K18" i="82" s="1"/>
  <c r="H312" i="27"/>
  <c r="I312" i="27" s="1"/>
  <c r="I18" i="75"/>
  <c r="F13" i="75" s="1"/>
  <c r="H240" i="27"/>
  <c r="I240" i="27" s="1"/>
  <c r="I19" i="77"/>
  <c r="H266" i="27"/>
  <c r="I266" i="27" s="1"/>
  <c r="I19" i="76"/>
  <c r="I23" i="80"/>
  <c r="K23" i="80" s="1"/>
  <c r="H299" i="27"/>
  <c r="I299" i="27" s="1"/>
  <c r="I22" i="80"/>
  <c r="K22" i="80" s="1"/>
  <c r="H298" i="27"/>
  <c r="I298" i="27" s="1"/>
  <c r="I20" i="81"/>
  <c r="K20" i="81" s="1"/>
  <c r="H305" i="27"/>
  <c r="I305" i="27" s="1"/>
  <c r="I20" i="75"/>
  <c r="K20" i="75" s="1"/>
  <c r="I19" i="81"/>
  <c r="K19" i="81" s="1"/>
  <c r="H304" i="27"/>
  <c r="I304" i="27" s="1"/>
  <c r="I23" i="79"/>
  <c r="K23" i="79" s="1"/>
  <c r="H287" i="27"/>
  <c r="I287" i="27" s="1"/>
  <c r="I20" i="79"/>
  <c r="K20" i="79" s="1"/>
  <c r="H284" i="27"/>
  <c r="I284" i="27" s="1"/>
  <c r="I18" i="80"/>
  <c r="K18" i="80" s="1"/>
  <c r="H294" i="27"/>
  <c r="I294" i="27" s="1"/>
  <c r="I19" i="79"/>
  <c r="K19" i="79" s="1"/>
  <c r="H283" i="27"/>
  <c r="I283" i="27" s="1"/>
  <c r="I19" i="80"/>
  <c r="K19" i="80" s="1"/>
  <c r="H295" i="27"/>
  <c r="I295" i="27" s="1"/>
  <c r="L197" i="27"/>
  <c r="L196" i="27"/>
  <c r="L199" i="27"/>
  <c r="L195" i="27"/>
  <c r="L200" i="27"/>
  <c r="I19" i="67"/>
  <c r="I18" i="67"/>
  <c r="F13" i="67" s="1"/>
  <c r="H141" i="27"/>
  <c r="I141" i="27" s="1"/>
  <c r="I20" i="67"/>
  <c r="K20" i="67" s="1"/>
  <c r="I18" i="74"/>
  <c r="H213" i="27"/>
  <c r="I213" i="27" s="1"/>
  <c r="I21" i="72"/>
  <c r="K21" i="72" s="1"/>
  <c r="H198" i="27"/>
  <c r="I198" i="27" s="1"/>
  <c r="I19" i="73"/>
  <c r="K19" i="73" s="1"/>
  <c r="H205" i="27"/>
  <c r="I205" i="27" s="1"/>
  <c r="L98" i="27"/>
  <c r="H22" i="61"/>
  <c r="H100" i="27" s="1"/>
  <c r="I100" i="27" s="1"/>
  <c r="L106" i="27"/>
  <c r="A223" i="27"/>
  <c r="A224" i="27" s="1"/>
  <c r="A225" i="27" s="1"/>
  <c r="A226" i="27" s="1"/>
  <c r="A229" i="27"/>
  <c r="A230" i="27" s="1"/>
  <c r="A231" i="27" s="1"/>
  <c r="B120" i="27"/>
  <c r="B129" i="27"/>
  <c r="A130" i="27"/>
  <c r="A131" i="27" s="1"/>
  <c r="A132" i="27" s="1"/>
  <c r="H23" i="61"/>
  <c r="H23" i="62"/>
  <c r="L84" i="27"/>
  <c r="H84" i="27"/>
  <c r="I84" i="27" s="1"/>
  <c r="H85" i="27"/>
  <c r="I85" i="27" s="1"/>
  <c r="I19" i="60"/>
  <c r="K19" i="60" s="1"/>
  <c r="L85" i="27"/>
  <c r="H21" i="60"/>
  <c r="H22" i="60"/>
  <c r="H23" i="60"/>
  <c r="H86" i="27"/>
  <c r="I86" i="27" s="1"/>
  <c r="I20" i="60"/>
  <c r="K20" i="60" s="1"/>
  <c r="I193" i="27" l="1"/>
  <c r="E193" i="27"/>
  <c r="I19" i="72"/>
  <c r="K19" i="72" s="1"/>
  <c r="I21" i="64"/>
  <c r="K21" i="64" s="1"/>
  <c r="H133" i="27"/>
  <c r="I133" i="27" s="1"/>
  <c r="I22" i="64"/>
  <c r="K22" i="64" s="1"/>
  <c r="H134" i="27"/>
  <c r="I134" i="27" s="1"/>
  <c r="I18" i="63"/>
  <c r="K18" i="63" s="1"/>
  <c r="H121" i="27"/>
  <c r="I121" i="27" s="1"/>
  <c r="H184" i="27"/>
  <c r="I184" i="27" s="1"/>
  <c r="I20" i="63"/>
  <c r="K20" i="63" s="1"/>
  <c r="H123" i="27"/>
  <c r="I123" i="27" s="1"/>
  <c r="F13" i="66"/>
  <c r="I19" i="63"/>
  <c r="K19" i="63" s="1"/>
  <c r="H122" i="27"/>
  <c r="I122" i="27" s="1"/>
  <c r="I313" i="27"/>
  <c r="A123" i="27"/>
  <c r="A127" i="27"/>
  <c r="A128" i="27" s="1"/>
  <c r="E126" i="27"/>
  <c r="A133" i="27"/>
  <c r="A134" i="27" s="1"/>
  <c r="A135" i="27" s="1"/>
  <c r="A136" i="27" s="1"/>
  <c r="A137" i="27" s="1"/>
  <c r="A138" i="27" s="1"/>
  <c r="A139" i="27" s="1"/>
  <c r="I126" i="27"/>
  <c r="A232" i="27"/>
  <c r="A233" i="27" s="1"/>
  <c r="A234" i="27" s="1"/>
  <c r="A235" i="27" s="1"/>
  <c r="A236" i="27" s="1"/>
  <c r="A237" i="27" s="1"/>
  <c r="A238" i="27" s="1"/>
  <c r="I214" i="27"/>
  <c r="I19" i="82"/>
  <c r="K19" i="82" s="1"/>
  <c r="K26" i="82" s="1"/>
  <c r="I20" i="76"/>
  <c r="K20" i="76" s="1"/>
  <c r="H176" i="27"/>
  <c r="I176" i="27" s="1"/>
  <c r="I18" i="69"/>
  <c r="F13" i="69" s="1"/>
  <c r="H170" i="27" s="1"/>
  <c r="I20" i="64"/>
  <c r="K20" i="64" s="1"/>
  <c r="H132" i="27"/>
  <c r="I132" i="27" s="1"/>
  <c r="H204" i="27"/>
  <c r="I204" i="27" s="1"/>
  <c r="K18" i="64"/>
  <c r="F13" i="64"/>
  <c r="H136" i="27" s="1"/>
  <c r="H200" i="27"/>
  <c r="I200" i="27" s="1"/>
  <c r="K18" i="76"/>
  <c r="F13" i="76"/>
  <c r="H256" i="27" s="1"/>
  <c r="I19" i="64"/>
  <c r="H131" i="27"/>
  <c r="I131" i="27" s="1"/>
  <c r="F12" i="75"/>
  <c r="I19" i="74"/>
  <c r="K19" i="74" s="1"/>
  <c r="K19" i="76"/>
  <c r="I21" i="73"/>
  <c r="K21" i="73" s="1"/>
  <c r="I23" i="73"/>
  <c r="K23" i="73" s="1"/>
  <c r="K22" i="56"/>
  <c r="H187" i="27"/>
  <c r="I187" i="27" s="1"/>
  <c r="H183" i="27"/>
  <c r="I183" i="27" s="1"/>
  <c r="I19" i="70"/>
  <c r="K19" i="70" s="1"/>
  <c r="H177" i="27"/>
  <c r="I177" i="27" s="1"/>
  <c r="I20" i="68"/>
  <c r="K20" i="68" s="1"/>
  <c r="H154" i="27"/>
  <c r="I154" i="27" s="1"/>
  <c r="I19" i="68"/>
  <c r="H153" i="27"/>
  <c r="I153" i="27" s="1"/>
  <c r="F12" i="67"/>
  <c r="I22" i="72"/>
  <c r="K22" i="72" s="1"/>
  <c r="K26" i="72" s="1"/>
  <c r="H188" i="27"/>
  <c r="I188" i="27" s="1"/>
  <c r="H206" i="27"/>
  <c r="I206" i="27" s="1"/>
  <c r="H185" i="27"/>
  <c r="I185" i="27" s="1"/>
  <c r="I32" i="75"/>
  <c r="H247" i="27" s="1"/>
  <c r="H277" i="27"/>
  <c r="I31" i="78"/>
  <c r="H278" i="27" s="1"/>
  <c r="I32" i="67"/>
  <c r="H148" i="27" s="1"/>
  <c r="I32" i="77"/>
  <c r="H271" i="27" s="1"/>
  <c r="I20" i="66"/>
  <c r="K20" i="66" s="1"/>
  <c r="K26" i="65"/>
  <c r="I19" i="66"/>
  <c r="H195" i="27"/>
  <c r="I195" i="27" s="1"/>
  <c r="H197" i="27"/>
  <c r="I197" i="27" s="1"/>
  <c r="H168" i="27"/>
  <c r="I168" i="27" s="1"/>
  <c r="I18" i="68"/>
  <c r="A227" i="27"/>
  <c r="K26" i="70"/>
  <c r="I22" i="73"/>
  <c r="K22" i="73" s="1"/>
  <c r="H208" i="27"/>
  <c r="I208" i="27" s="1"/>
  <c r="I19" i="69"/>
  <c r="H167" i="27"/>
  <c r="I167" i="27" s="1"/>
  <c r="O15" i="47"/>
  <c r="I225" i="27" s="1"/>
  <c r="H130" i="27"/>
  <c r="I130" i="27" s="1"/>
  <c r="F12" i="79"/>
  <c r="K19" i="77"/>
  <c r="K26" i="80"/>
  <c r="F12" i="80"/>
  <c r="E225" i="27"/>
  <c r="K26" i="81"/>
  <c r="K26" i="79"/>
  <c r="K26" i="78"/>
  <c r="K18" i="77"/>
  <c r="F12" i="77"/>
  <c r="F12" i="82"/>
  <c r="K19" i="75"/>
  <c r="H235" i="27"/>
  <c r="F12" i="81"/>
  <c r="H245" i="27"/>
  <c r="K18" i="75"/>
  <c r="K18" i="67"/>
  <c r="H146" i="27"/>
  <c r="K18" i="74"/>
  <c r="K19" i="67"/>
  <c r="K18" i="73"/>
  <c r="K20" i="69"/>
  <c r="I23" i="62"/>
  <c r="K23" i="62" s="1"/>
  <c r="H110" i="27"/>
  <c r="I110" i="27" s="1"/>
  <c r="I23" i="61"/>
  <c r="K23" i="61" s="1"/>
  <c r="H101" i="27"/>
  <c r="I101" i="27" s="1"/>
  <c r="B161" i="27"/>
  <c r="A162" i="27"/>
  <c r="F12" i="65"/>
  <c r="H18" i="61"/>
  <c r="I22" i="61"/>
  <c r="K22" i="61" s="1"/>
  <c r="H20" i="61"/>
  <c r="H19" i="61"/>
  <c r="H21" i="61"/>
  <c r="H19" i="62"/>
  <c r="H18" i="62"/>
  <c r="H21" i="62"/>
  <c r="H22" i="62"/>
  <c r="H20" i="62"/>
  <c r="I18" i="60"/>
  <c r="K18" i="60" s="1"/>
  <c r="H87" i="27"/>
  <c r="I87" i="27" s="1"/>
  <c r="I21" i="60"/>
  <c r="K21" i="60" s="1"/>
  <c r="H88" i="27"/>
  <c r="I88" i="27" s="1"/>
  <c r="I22" i="60"/>
  <c r="K22" i="60" s="1"/>
  <c r="H89" i="27"/>
  <c r="I89" i="27" s="1"/>
  <c r="I23" i="60"/>
  <c r="K23" i="60" s="1"/>
  <c r="F12" i="76" l="1"/>
  <c r="K18" i="69"/>
  <c r="K26" i="74"/>
  <c r="F12" i="74"/>
  <c r="I31" i="74" s="1"/>
  <c r="H216" i="27" s="1"/>
  <c r="K26" i="76"/>
  <c r="E8" i="50" s="1"/>
  <c r="K19" i="66"/>
  <c r="K26" i="66" s="1"/>
  <c r="F12" i="66"/>
  <c r="K19" i="64"/>
  <c r="K26" i="64" s="1"/>
  <c r="F12" i="64"/>
  <c r="I31" i="64" s="1"/>
  <c r="H137" i="27" s="1"/>
  <c r="F12" i="72"/>
  <c r="F12" i="68"/>
  <c r="F13" i="68"/>
  <c r="H157" i="27" s="1"/>
  <c r="K19" i="68"/>
  <c r="I31" i="67"/>
  <c r="H147" i="27" s="1"/>
  <c r="K26" i="71"/>
  <c r="F12" i="71"/>
  <c r="H268" i="27"/>
  <c r="I31" i="77"/>
  <c r="H270" i="27" s="1"/>
  <c r="H223" i="27"/>
  <c r="I31" i="65"/>
  <c r="H224" i="27" s="1"/>
  <c r="H244" i="27"/>
  <c r="I31" i="75"/>
  <c r="H246" i="27" s="1"/>
  <c r="F12" i="69"/>
  <c r="I32" i="69"/>
  <c r="H172" i="27" s="1"/>
  <c r="F12" i="73"/>
  <c r="I31" i="73" s="1"/>
  <c r="H211" i="27" s="1"/>
  <c r="I31" i="80"/>
  <c r="H301" i="27" s="1"/>
  <c r="H255" i="27"/>
  <c r="I31" i="76"/>
  <c r="H257" i="27" s="1"/>
  <c r="H309" i="27"/>
  <c r="I31" i="81"/>
  <c r="H310" i="27" s="1"/>
  <c r="H201" i="27"/>
  <c r="I31" i="72"/>
  <c r="H202" i="27" s="1"/>
  <c r="H314" i="27"/>
  <c r="I31" i="82"/>
  <c r="H315" i="27" s="1"/>
  <c r="H288" i="27"/>
  <c r="I31" i="79"/>
  <c r="H289" i="27" s="1"/>
  <c r="K18" i="68"/>
  <c r="K26" i="73"/>
  <c r="F12" i="70"/>
  <c r="I31" i="70" s="1"/>
  <c r="K26" i="63"/>
  <c r="K19" i="69"/>
  <c r="K26" i="77"/>
  <c r="H300" i="27"/>
  <c r="F12" i="63"/>
  <c r="K26" i="75"/>
  <c r="K26" i="67"/>
  <c r="H145" i="27"/>
  <c r="I20" i="62"/>
  <c r="K20" i="62" s="1"/>
  <c r="H107" i="27"/>
  <c r="I107" i="27" s="1"/>
  <c r="I22" i="62"/>
  <c r="K22" i="62" s="1"/>
  <c r="H109" i="27"/>
  <c r="I109" i="27" s="1"/>
  <c r="I19" i="62"/>
  <c r="K19" i="62" s="1"/>
  <c r="H106" i="27"/>
  <c r="I106" i="27" s="1"/>
  <c r="I21" i="62"/>
  <c r="K21" i="62" s="1"/>
  <c r="H108" i="27"/>
  <c r="I108" i="27" s="1"/>
  <c r="I18" i="62"/>
  <c r="K18" i="62" s="1"/>
  <c r="H105" i="27"/>
  <c r="I105" i="27" s="1"/>
  <c r="I21" i="61"/>
  <c r="K21" i="61" s="1"/>
  <c r="H99" i="27"/>
  <c r="I99" i="27" s="1"/>
  <c r="I19" i="61"/>
  <c r="K19" i="61" s="1"/>
  <c r="H97" i="27"/>
  <c r="I97" i="27" s="1"/>
  <c r="I20" i="61"/>
  <c r="K20" i="61" s="1"/>
  <c r="H98" i="27"/>
  <c r="I98" i="27" s="1"/>
  <c r="I18" i="61"/>
  <c r="K18" i="61" s="1"/>
  <c r="H96" i="27"/>
  <c r="I96" i="27" s="1"/>
  <c r="A163" i="27"/>
  <c r="K26" i="60"/>
  <c r="F12" i="60"/>
  <c r="K26" i="69" l="1"/>
  <c r="H215" i="27"/>
  <c r="H135" i="27"/>
  <c r="K26" i="68"/>
  <c r="E7" i="50" s="1"/>
  <c r="H210" i="27"/>
  <c r="I31" i="71"/>
  <c r="H190" i="27" s="1"/>
  <c r="H189" i="27"/>
  <c r="H90" i="27"/>
  <c r="I31" i="60"/>
  <c r="H91" i="27" s="1"/>
  <c r="H124" i="27"/>
  <c r="I31" i="63"/>
  <c r="H125" i="27" s="1"/>
  <c r="H234" i="27"/>
  <c r="I31" i="66"/>
  <c r="H236" i="27" s="1"/>
  <c r="H156" i="27"/>
  <c r="I31" i="68"/>
  <c r="H158" i="27" s="1"/>
  <c r="H169" i="27"/>
  <c r="I31" i="69"/>
  <c r="H171" i="27" s="1"/>
  <c r="H178" i="27"/>
  <c r="H179" i="27"/>
  <c r="F12" i="61"/>
  <c r="K26" i="61"/>
  <c r="K26" i="62"/>
  <c r="F12" i="62"/>
  <c r="A164" i="27"/>
  <c r="I31" i="62" l="1"/>
  <c r="H112" i="27" s="1"/>
  <c r="H102" i="27"/>
  <c r="I31" i="61"/>
  <c r="H103" i="27" s="1"/>
  <c r="I164" i="27"/>
  <c r="E164" i="27"/>
  <c r="H111" i="27"/>
  <c r="B6" i="59" l="1"/>
  <c r="B3" i="32"/>
  <c r="F71" i="27"/>
  <c r="F37" i="27"/>
  <c r="F47" i="27"/>
  <c r="C48" i="27"/>
  <c r="F48" i="27"/>
  <c r="F58" i="27"/>
  <c r="E48" i="27" l="1"/>
  <c r="B31" i="15" l="1"/>
  <c r="B31" i="14"/>
  <c r="B12" i="42"/>
  <c r="B12" i="15"/>
  <c r="B12" i="14"/>
  <c r="B13" i="13"/>
  <c r="B12" i="13"/>
  <c r="B13" i="12"/>
  <c r="B12" i="12"/>
  <c r="B13" i="11"/>
  <c r="B12" i="11"/>
  <c r="B13" i="56"/>
  <c r="B12" i="56"/>
  <c r="C58" i="27" l="1"/>
  <c r="E58" i="27" s="1"/>
  <c r="C70" i="27"/>
  <c r="C71" i="27"/>
  <c r="E71" i="27" s="1"/>
  <c r="C36" i="27"/>
  <c r="C46" i="27"/>
  <c r="C37" i="27"/>
  <c r="E37" i="27" s="1"/>
  <c r="C309" i="27"/>
  <c r="E309" i="27" s="1"/>
  <c r="C201" i="27"/>
  <c r="E201" i="27" s="1"/>
  <c r="C210" i="27"/>
  <c r="E210" i="27" s="1"/>
  <c r="C288" i="27"/>
  <c r="E288" i="27" s="1"/>
  <c r="C300" i="27"/>
  <c r="E300" i="27" s="1"/>
  <c r="C102" i="27"/>
  <c r="E102" i="27" s="1"/>
  <c r="C90" i="27"/>
  <c r="E90" i="27" s="1"/>
  <c r="C111" i="27"/>
  <c r="E111" i="27" s="1"/>
  <c r="C189" i="27"/>
  <c r="E189" i="27" s="1"/>
  <c r="C47" i="27"/>
  <c r="E47" i="27" s="1"/>
  <c r="C112" i="27"/>
  <c r="E112" i="27" s="1"/>
  <c r="C289" i="27"/>
  <c r="E289" i="27" s="1"/>
  <c r="C211" i="27"/>
  <c r="E211" i="27" s="1"/>
  <c r="C103" i="27"/>
  <c r="E103" i="27" s="1"/>
  <c r="C91" i="27"/>
  <c r="E91" i="27" s="1"/>
  <c r="C310" i="27"/>
  <c r="E310" i="27" s="1"/>
  <c r="C202" i="27"/>
  <c r="E202" i="27" s="1"/>
  <c r="C301" i="27"/>
  <c r="E301" i="27" s="1"/>
  <c r="C190" i="27"/>
  <c r="E190" i="27" s="1"/>
  <c r="C13" i="13"/>
  <c r="C13" i="11"/>
  <c r="C13" i="12"/>
  <c r="C13" i="56"/>
  <c r="B12" i="32" l="1"/>
  <c r="C16" i="19" l="1"/>
  <c r="K10" i="44"/>
  <c r="D20" i="44" a="1"/>
  <c r="D20" i="44" s="1"/>
  <c r="D19" i="44" a="1"/>
  <c r="D19" i="44" s="1"/>
  <c r="D18" i="44" a="1"/>
  <c r="D18" i="44" s="1"/>
  <c r="D17" i="44" a="1"/>
  <c r="D17" i="44" s="1"/>
  <c r="D21" i="44" s="1"/>
  <c r="D13" i="44" a="1"/>
  <c r="D13" i="44" s="1"/>
  <c r="D12" i="44" a="1"/>
  <c r="D12" i="44" s="1"/>
  <c r="D11" i="44" a="1"/>
  <c r="D11" i="44" s="1"/>
  <c r="D10" i="44" a="1"/>
  <c r="D10" i="44" s="1"/>
  <c r="K263" i="27" l="1"/>
  <c r="K3" i="61"/>
  <c r="K3" i="70"/>
  <c r="K3" i="76"/>
  <c r="K3" i="11"/>
  <c r="K304" i="27"/>
  <c r="K308" i="27"/>
  <c r="K208" i="27"/>
  <c r="K108" i="27"/>
  <c r="K295" i="27"/>
  <c r="K101" i="27"/>
  <c r="K213" i="27"/>
  <c r="K284" i="27"/>
  <c r="K184" i="27"/>
  <c r="K266" i="27"/>
  <c r="K265" i="27"/>
  <c r="K121" i="27"/>
  <c r="K141" i="27"/>
  <c r="K65" i="27"/>
  <c r="K3" i="62"/>
  <c r="K3" i="71"/>
  <c r="K3" i="77"/>
  <c r="K3" i="56"/>
  <c r="K298" i="27"/>
  <c r="K287" i="27"/>
  <c r="K187" i="27"/>
  <c r="K167" i="27"/>
  <c r="K251" i="27"/>
  <c r="K88" i="27"/>
  <c r="K3" i="69"/>
  <c r="K85" i="27"/>
  <c r="K225" i="27"/>
  <c r="K3" i="15"/>
  <c r="K3" i="72"/>
  <c r="K3" i="78"/>
  <c r="K305" i="27"/>
  <c r="K205" i="27"/>
  <c r="K209" i="27"/>
  <c r="K109" i="27"/>
  <c r="K196" i="27"/>
  <c r="K199" i="27"/>
  <c r="K99" i="27"/>
  <c r="K152" i="27"/>
  <c r="K98" i="27"/>
  <c r="K126" i="27"/>
  <c r="K3" i="63"/>
  <c r="K3" i="73"/>
  <c r="K3" i="79"/>
  <c r="K105" i="27"/>
  <c r="K296" i="27"/>
  <c r="K96" i="27"/>
  <c r="K312" i="27"/>
  <c r="K285" i="27"/>
  <c r="K185" i="27"/>
  <c r="K176" i="27"/>
  <c r="K267" i="27"/>
  <c r="K130" i="27"/>
  <c r="K86" i="27"/>
  <c r="K89" i="27"/>
  <c r="K164" i="27"/>
  <c r="K3" i="75"/>
  <c r="K27" i="27"/>
  <c r="K3" i="12"/>
  <c r="K3" i="64"/>
  <c r="K3" i="74"/>
  <c r="K3" i="80"/>
  <c r="K306" i="27"/>
  <c r="K206" i="27"/>
  <c r="K106" i="27"/>
  <c r="K110" i="27"/>
  <c r="K204" i="27"/>
  <c r="K299" i="27"/>
  <c r="K97" i="27"/>
  <c r="K195" i="27"/>
  <c r="K188" i="27"/>
  <c r="K168" i="27"/>
  <c r="K240" i="27"/>
  <c r="K198" i="27"/>
  <c r="K166" i="27"/>
  <c r="K3" i="13"/>
  <c r="K3" i="67"/>
  <c r="K3" i="65"/>
  <c r="K3" i="81"/>
  <c r="K303" i="27"/>
  <c r="K197" i="27"/>
  <c r="K200" i="27"/>
  <c r="K100" i="27"/>
  <c r="K294" i="27"/>
  <c r="K283" i="27"/>
  <c r="K84" i="27"/>
  <c r="K3" i="60"/>
  <c r="K282" i="27"/>
  <c r="K3" i="14"/>
  <c r="K3" i="68"/>
  <c r="K3" i="66"/>
  <c r="K3" i="82"/>
  <c r="K307" i="27"/>
  <c r="K207" i="27"/>
  <c r="K107" i="27"/>
  <c r="K297" i="27"/>
  <c r="K286" i="27"/>
  <c r="K186" i="27"/>
  <c r="K183" i="27"/>
  <c r="K275" i="27"/>
  <c r="K229" i="27"/>
  <c r="K220" i="27"/>
  <c r="K87" i="27"/>
  <c r="H1" i="17"/>
  <c r="H1" i="18"/>
  <c r="K31" i="27"/>
  <c r="K12" i="27"/>
  <c r="K69" i="27"/>
  <c r="K13" i="27"/>
  <c r="K68" i="27"/>
  <c r="K14" i="27"/>
  <c r="K114" i="27"/>
  <c r="K67" i="27"/>
  <c r="K42" i="27"/>
  <c r="K22" i="27"/>
  <c r="K8" i="27"/>
  <c r="K10" i="27"/>
  <c r="K9" i="27"/>
  <c r="K77" i="27"/>
  <c r="K53" i="27"/>
  <c r="K11" i="27"/>
  <c r="D14" i="44"/>
  <c r="D37" i="44" s="1"/>
  <c r="L27" i="27"/>
  <c r="K64" i="27"/>
  <c r="O56" i="40"/>
  <c r="O55" i="40"/>
  <c r="O50" i="40"/>
  <c r="O49" i="40"/>
  <c r="O44" i="40"/>
  <c r="O43" i="40"/>
  <c r="O29" i="40"/>
  <c r="O28" i="40"/>
  <c r="O32" i="40"/>
  <c r="O31" i="40"/>
  <c r="O30" i="40"/>
  <c r="O23" i="40"/>
  <c r="O22" i="40"/>
  <c r="O15" i="40"/>
  <c r="O14" i="40"/>
  <c r="O12" i="40"/>
  <c r="O11" i="40"/>
  <c r="O10" i="40"/>
  <c r="F30" i="40"/>
  <c r="F31" i="40"/>
  <c r="F32" i="40"/>
  <c r="L13" i="44" l="1"/>
  <c r="P30" i="40"/>
  <c r="P31" i="40"/>
  <c r="K17" i="47" l="1"/>
  <c r="L17" i="47" s="1"/>
  <c r="D17" i="47"/>
  <c r="M17" i="47"/>
  <c r="N17" i="47"/>
  <c r="B26" i="47" l="1"/>
  <c r="E292" i="27"/>
  <c r="O17" i="47"/>
  <c r="I292" i="27" s="1"/>
  <c r="E16" i="30" l="1"/>
  <c r="C16" i="27" l="1"/>
  <c r="C15" i="27"/>
  <c r="K9" i="44"/>
  <c r="L37" i="40" l="1"/>
  <c r="M37" i="40" s="1"/>
  <c r="Q37" i="40" s="1"/>
  <c r="L41" i="40"/>
  <c r="M41" i="40" s="1"/>
  <c r="Q41" i="40" s="1"/>
  <c r="L36" i="40"/>
  <c r="M36" i="40" s="1"/>
  <c r="Q36" i="40" s="1"/>
  <c r="L40" i="40"/>
  <c r="M40" i="40" s="1"/>
  <c r="Q40" i="40" s="1"/>
  <c r="L42" i="40"/>
  <c r="M42" i="40" s="1"/>
  <c r="Q42" i="40" s="1"/>
  <c r="L35" i="40"/>
  <c r="M35" i="40" s="1"/>
  <c r="Q35" i="40" s="1"/>
  <c r="L31" i="40"/>
  <c r="L32" i="40"/>
  <c r="M32" i="40" s="1"/>
  <c r="L30" i="40"/>
  <c r="L10" i="44"/>
  <c r="L13" i="40" s="1"/>
  <c r="M13" i="40" s="1"/>
  <c r="Q13" i="40" s="1"/>
  <c r="L9" i="44"/>
  <c r="L47" i="40" l="1"/>
  <c r="M47" i="40" s="1"/>
  <c r="Q47" i="40" s="1"/>
  <c r="L52" i="40"/>
  <c r="M52" i="40" s="1"/>
  <c r="Q52" i="40" s="1"/>
  <c r="L59" i="40"/>
  <c r="M59" i="40" s="1"/>
  <c r="Q59" i="40" s="1"/>
  <c r="L20" i="40"/>
  <c r="M20" i="40" s="1"/>
  <c r="Q20" i="40" s="1"/>
  <c r="L27" i="40"/>
  <c r="M27" i="40" s="1"/>
  <c r="Q27" i="40" s="1"/>
  <c r="L65" i="40"/>
  <c r="M65" i="40" s="1"/>
  <c r="Q65" i="40" s="1"/>
  <c r="L54" i="40"/>
  <c r="M54" i="40" s="1"/>
  <c r="Q54" i="40" s="1"/>
  <c r="L48" i="40"/>
  <c r="M48" i="40" s="1"/>
  <c r="Q48" i="40" s="1"/>
  <c r="L18" i="40"/>
  <c r="M18" i="40" s="1"/>
  <c r="Q18" i="40" s="1"/>
  <c r="L60" i="40"/>
  <c r="M60" i="40" s="1"/>
  <c r="Q60" i="40" s="1"/>
  <c r="L25" i="40"/>
  <c r="M25" i="40" s="1"/>
  <c r="Q25" i="40" s="1"/>
  <c r="L33" i="40"/>
  <c r="M33" i="40" s="1"/>
  <c r="Q33" i="40" s="1"/>
  <c r="L66" i="40"/>
  <c r="M66" i="40" s="1"/>
  <c r="Q66" i="40" s="1"/>
  <c r="L38" i="40"/>
  <c r="M38" i="40" s="1"/>
  <c r="Q38" i="40" s="1"/>
  <c r="L51" i="40"/>
  <c r="M51" i="40" s="1"/>
  <c r="Q51" i="40" s="1"/>
  <c r="L17" i="40"/>
  <c r="M17" i="40" s="1"/>
  <c r="Q17" i="40" s="1"/>
  <c r="L21" i="40"/>
  <c r="M21" i="40" s="1"/>
  <c r="Q21" i="40" s="1"/>
  <c r="L16" i="40"/>
  <c r="M16" i="40" s="1"/>
  <c r="Q16" i="40" s="1"/>
  <c r="L24" i="40"/>
  <c r="M24" i="40" s="1"/>
  <c r="Q24" i="40" s="1"/>
  <c r="L34" i="40"/>
  <c r="M34" i="40" s="1"/>
  <c r="Q34" i="40" s="1"/>
  <c r="L46" i="40"/>
  <c r="M46" i="40" s="1"/>
  <c r="Q46" i="40" s="1"/>
  <c r="L19" i="40"/>
  <c r="M19" i="40" s="1"/>
  <c r="Q19" i="40" s="1"/>
  <c r="L26" i="40"/>
  <c r="M26" i="40" s="1"/>
  <c r="Q26" i="40" s="1"/>
  <c r="L39" i="40"/>
  <c r="M39" i="40" s="1"/>
  <c r="Q39" i="40" s="1"/>
  <c r="L45" i="40"/>
  <c r="M45" i="40" s="1"/>
  <c r="Q45" i="40" s="1"/>
  <c r="L53" i="40"/>
  <c r="M53" i="40" s="1"/>
  <c r="Q53" i="40" s="1"/>
  <c r="M30" i="40"/>
  <c r="Q30" i="40" s="1"/>
  <c r="M31" i="40"/>
  <c r="Q31" i="40" s="1"/>
  <c r="L49" i="40" l="1"/>
  <c r="L12" i="40"/>
  <c r="L22" i="40"/>
  <c r="M22" i="40" s="1"/>
  <c r="L10" i="40"/>
  <c r="L11" i="40"/>
  <c r="L28" i="40"/>
  <c r="M28" i="40" s="1"/>
  <c r="L29" i="40"/>
  <c r="M29" i="40" s="1"/>
  <c r="L50" i="40"/>
  <c r="L44" i="40"/>
  <c r="M44" i="40" s="1"/>
  <c r="L56" i="40"/>
  <c r="L15" i="40"/>
  <c r="M15" i="40" s="1"/>
  <c r="L23" i="40"/>
  <c r="M23" i="40" s="1"/>
  <c r="L55" i="40"/>
  <c r="L43" i="40"/>
  <c r="M43" i="40" s="1"/>
  <c r="L14" i="40"/>
  <c r="M14" i="40" s="1"/>
  <c r="F38" i="27"/>
  <c r="F36" i="27"/>
  <c r="F31" i="27"/>
  <c r="A20" i="27"/>
  <c r="A30" i="27" l="1"/>
  <c r="B30" i="27" s="1"/>
  <c r="B20" i="27"/>
  <c r="A21" i="27"/>
  <c r="A22" i="27" s="1"/>
  <c r="A23" i="27" s="1"/>
  <c r="E36" i="27"/>
  <c r="E38" i="27"/>
  <c r="K9" i="47"/>
  <c r="B12" i="10"/>
  <c r="B8" i="56"/>
  <c r="C32" i="56"/>
  <c r="C31" i="56"/>
  <c r="C12" i="56"/>
  <c r="A31" i="27" l="1"/>
  <c r="A32" i="27" s="1"/>
  <c r="A33" i="27" s="1"/>
  <c r="A25" i="27"/>
  <c r="B21" i="27"/>
  <c r="G20" i="56"/>
  <c r="L33" i="27" s="1"/>
  <c r="G19" i="56"/>
  <c r="L32" i="27" s="1"/>
  <c r="G18" i="56"/>
  <c r="L31" i="27" s="1"/>
  <c r="A34" i="27" l="1"/>
  <c r="A35" i="27" s="1"/>
  <c r="A36" i="27" s="1"/>
  <c r="A37" i="27" s="1"/>
  <c r="A38" i="27" s="1"/>
  <c r="A39" i="27" s="1"/>
  <c r="A29" i="40" l="1"/>
  <c r="A11" i="40"/>
  <c r="A54" i="27"/>
  <c r="A55" i="27" s="1"/>
  <c r="A8" i="27"/>
  <c r="A9" i="27" s="1"/>
  <c r="A10" i="27" s="1"/>
  <c r="A11" i="27" s="1"/>
  <c r="A12" i="27" s="1"/>
  <c r="A13" i="27" s="1"/>
  <c r="A14" i="27" s="1"/>
  <c r="A56" i="27" l="1"/>
  <c r="A57" i="27" s="1"/>
  <c r="A58" i="27" s="1"/>
  <c r="A59" i="27" s="1"/>
  <c r="A60" i="27" s="1"/>
  <c r="A61" i="27" s="1"/>
  <c r="A62" i="27" s="1"/>
  <c r="A63" i="27" s="1"/>
  <c r="R11" i="40"/>
  <c r="A44" i="40"/>
  <c r="R44" i="40" s="1"/>
  <c r="R29" i="40"/>
  <c r="A12" i="40"/>
  <c r="A50" i="40"/>
  <c r="R50" i="40" s="1"/>
  <c r="A56" i="40"/>
  <c r="R56" i="40" s="1"/>
  <c r="A15" i="27"/>
  <c r="A16" i="27" s="1"/>
  <c r="A17" i="27" s="1"/>
  <c r="A18" i="27" s="1"/>
  <c r="A68" i="27"/>
  <c r="A69" i="27" s="1"/>
  <c r="A23" i="40"/>
  <c r="B9" i="50"/>
  <c r="A70" i="27" l="1"/>
  <c r="A71" i="27" s="1"/>
  <c r="A72" i="27" s="1"/>
  <c r="A73" i="27" s="1"/>
  <c r="A15" i="40"/>
  <c r="R12" i="40"/>
  <c r="A31" i="40"/>
  <c r="R31" i="40" s="1"/>
  <c r="R23" i="40"/>
  <c r="B62" i="27"/>
  <c r="A64" i="27"/>
  <c r="A65" i="27" s="1"/>
  <c r="A26" i="27"/>
  <c r="A27" i="27" s="1"/>
  <c r="A28" i="27" s="1"/>
  <c r="A24" i="27"/>
  <c r="A79" i="27"/>
  <c r="A43" i="27"/>
  <c r="A44" i="27" s="1"/>
  <c r="A45" i="27" s="1"/>
  <c r="A40" i="27"/>
  <c r="R15" i="40" l="1"/>
  <c r="A29" i="27"/>
  <c r="A32" i="40"/>
  <c r="I227" i="27" s="1"/>
  <c r="I65" i="27"/>
  <c r="E65" i="27"/>
  <c r="I138" i="27"/>
  <c r="H290" i="27"/>
  <c r="H280" i="27"/>
  <c r="A46" i="27"/>
  <c r="A47" i="27" s="1"/>
  <c r="A48" i="27" s="1"/>
  <c r="A49" i="27" s="1"/>
  <c r="A74" i="27"/>
  <c r="A75" i="27" s="1"/>
  <c r="A85" i="27"/>
  <c r="A86" i="27" s="1"/>
  <c r="A80" i="27"/>
  <c r="A81" i="27" s="1"/>
  <c r="A82" i="27" s="1"/>
  <c r="B8" i="26"/>
  <c r="K9" i="26"/>
  <c r="I272" i="27" l="1"/>
  <c r="H291" i="27"/>
  <c r="H248" i="27"/>
  <c r="I291" i="27"/>
  <c r="H249" i="27"/>
  <c r="H237" i="27"/>
  <c r="I160" i="27"/>
  <c r="I249" i="27"/>
  <c r="I139" i="27"/>
  <c r="I290" i="27"/>
  <c r="I281" i="27" s="1"/>
  <c r="H173" i="27"/>
  <c r="I191" i="27"/>
  <c r="I258" i="27"/>
  <c r="I192" i="27"/>
  <c r="I280" i="27"/>
  <c r="G280" i="27" s="1"/>
  <c r="I279" i="27"/>
  <c r="H181" i="27"/>
  <c r="H64" i="27"/>
  <c r="H180" i="27"/>
  <c r="H149" i="27"/>
  <c r="H279" i="27"/>
  <c r="H191" i="27"/>
  <c r="I238" i="27"/>
  <c r="I150" i="27"/>
  <c r="I162" i="27"/>
  <c r="I237" i="27"/>
  <c r="I174" i="27"/>
  <c r="H258" i="27"/>
  <c r="H162" i="27"/>
  <c r="H138" i="27"/>
  <c r="G138" i="27" s="1"/>
  <c r="I28" i="27"/>
  <c r="I273" i="27"/>
  <c r="I163" i="27"/>
  <c r="I248" i="27"/>
  <c r="G248" i="27" s="1"/>
  <c r="H163" i="27"/>
  <c r="I149" i="27"/>
  <c r="G149" i="27" s="1"/>
  <c r="H192" i="27"/>
  <c r="H28" i="27"/>
  <c r="I173" i="27"/>
  <c r="H139" i="27"/>
  <c r="G139" i="27" s="1"/>
  <c r="H259" i="27"/>
  <c r="H273" i="27"/>
  <c r="H272" i="27"/>
  <c r="G272" i="27" s="1"/>
  <c r="H159" i="27"/>
  <c r="I226" i="27"/>
  <c r="I180" i="27"/>
  <c r="G180" i="27" s="1"/>
  <c r="I181" i="27"/>
  <c r="H174" i="27"/>
  <c r="H160" i="27"/>
  <c r="I259" i="27"/>
  <c r="H150" i="27"/>
  <c r="I159" i="27"/>
  <c r="G159" i="27" s="1"/>
  <c r="AR9" i="26"/>
  <c r="AQ9" i="26"/>
  <c r="AK9" i="26"/>
  <c r="AS9" i="26"/>
  <c r="AL9" i="26"/>
  <c r="AO9" i="26"/>
  <c r="AM9" i="26"/>
  <c r="AN9" i="26"/>
  <c r="AP9" i="26"/>
  <c r="I128" i="27"/>
  <c r="H226" i="27"/>
  <c r="H128" i="27"/>
  <c r="H127" i="27"/>
  <c r="I127" i="27"/>
  <c r="H227" i="27"/>
  <c r="G227" i="27" s="1"/>
  <c r="I29" i="27"/>
  <c r="H29" i="27"/>
  <c r="H238" i="27"/>
  <c r="R32" i="40"/>
  <c r="G291" i="27"/>
  <c r="G290" i="27"/>
  <c r="A50" i="27"/>
  <c r="A51" i="27" s="1"/>
  <c r="A87" i="27"/>
  <c r="A88" i="27" s="1"/>
  <c r="A89" i="27" s="1"/>
  <c r="A90" i="27" s="1"/>
  <c r="X9" i="26"/>
  <c r="Y9" i="26"/>
  <c r="P9" i="26"/>
  <c r="Z9" i="26"/>
  <c r="AH9" i="26"/>
  <c r="Q9" i="26"/>
  <c r="AA9" i="26"/>
  <c r="AI9" i="26"/>
  <c r="R9" i="26"/>
  <c r="AB9" i="26"/>
  <c r="AJ9" i="26"/>
  <c r="S9" i="26"/>
  <c r="AC9" i="26"/>
  <c r="T9" i="26"/>
  <c r="AD9" i="26"/>
  <c r="M9" i="26"/>
  <c r="U9" i="26"/>
  <c r="AE9" i="26"/>
  <c r="N9" i="26"/>
  <c r="V9" i="26"/>
  <c r="AF9" i="26"/>
  <c r="O9" i="26"/>
  <c r="W9" i="26"/>
  <c r="AG9" i="26"/>
  <c r="G249" i="27" l="1"/>
  <c r="G237" i="27"/>
  <c r="G160" i="27"/>
  <c r="G259" i="27"/>
  <c r="G258" i="27"/>
  <c r="G191" i="27"/>
  <c r="G192" i="27"/>
  <c r="G226" i="27"/>
  <c r="G173" i="27"/>
  <c r="G279" i="27"/>
  <c r="G150" i="27"/>
  <c r="G273" i="27"/>
  <c r="G162" i="27"/>
  <c r="G181" i="27"/>
  <c r="G163" i="27"/>
  <c r="G238" i="27"/>
  <c r="G28" i="27"/>
  <c r="G174" i="27"/>
  <c r="G127" i="27"/>
  <c r="G128" i="27"/>
  <c r="G29" i="27"/>
  <c r="A91" i="27"/>
  <c r="A92" i="27" s="1"/>
  <c r="B7" i="27"/>
  <c r="B19" i="27"/>
  <c r="K8" i="26"/>
  <c r="H60" i="27"/>
  <c r="H50" i="27"/>
  <c r="H39" i="27"/>
  <c r="H17" i="27"/>
  <c r="N9" i="47"/>
  <c r="M9" i="47"/>
  <c r="D9" i="47"/>
  <c r="E27" i="27" l="1"/>
  <c r="B24" i="47"/>
  <c r="AK8" i="26"/>
  <c r="AS8" i="26"/>
  <c r="AL8" i="26"/>
  <c r="AM8" i="26"/>
  <c r="AP8" i="26"/>
  <c r="AN8" i="26"/>
  <c r="AR8" i="26"/>
  <c r="AO8" i="26"/>
  <c r="AQ8" i="26"/>
  <c r="A93" i="27"/>
  <c r="H92" i="27"/>
  <c r="X8" i="26"/>
  <c r="Y8" i="26"/>
  <c r="N8" i="26"/>
  <c r="V8" i="26"/>
  <c r="AF8" i="26"/>
  <c r="O8" i="26"/>
  <c r="W8" i="26"/>
  <c r="AG8" i="26"/>
  <c r="AJ8" i="26"/>
  <c r="U8" i="26"/>
  <c r="P8" i="26"/>
  <c r="Z8" i="26"/>
  <c r="AH8" i="26"/>
  <c r="AB8" i="26"/>
  <c r="Q8" i="26"/>
  <c r="AA8" i="26"/>
  <c r="AI8" i="26"/>
  <c r="R8" i="26"/>
  <c r="AE8" i="26"/>
  <c r="S8" i="26"/>
  <c r="AC8" i="26"/>
  <c r="T8" i="26"/>
  <c r="AD8" i="26"/>
  <c r="M8" i="26"/>
  <c r="H93" i="27" l="1"/>
  <c r="A94" i="27"/>
  <c r="G56" i="40"/>
  <c r="M56" i="40" s="1"/>
  <c r="G55" i="40"/>
  <c r="M55" i="40" s="1"/>
  <c r="I92" i="27" s="1"/>
  <c r="G92" i="27" s="1"/>
  <c r="M50" i="40"/>
  <c r="M49" i="40"/>
  <c r="G12" i="40"/>
  <c r="M12" i="40" s="1"/>
  <c r="G11" i="40"/>
  <c r="M11" i="40" s="1"/>
  <c r="F55" i="40"/>
  <c r="F50" i="40"/>
  <c r="F49" i="40"/>
  <c r="F29" i="40"/>
  <c r="F28" i="40"/>
  <c r="F23" i="40"/>
  <c r="F22" i="40"/>
  <c r="F15" i="40"/>
  <c r="F14" i="40"/>
  <c r="F12" i="40"/>
  <c r="F11" i="40"/>
  <c r="G10" i="40"/>
  <c r="M10" i="40" s="1"/>
  <c r="B22" i="40"/>
  <c r="F10" i="40"/>
  <c r="K61" i="27"/>
  <c r="K51" i="27"/>
  <c r="K40" i="27"/>
  <c r="K18" i="27"/>
  <c r="K82" i="27"/>
  <c r="K75" i="27"/>
  <c r="B4" i="40"/>
  <c r="B4" i="47" s="1"/>
  <c r="I94" i="27" l="1"/>
  <c r="E94" i="27"/>
  <c r="H74" i="27"/>
  <c r="H81" i="27"/>
  <c r="H51" i="27"/>
  <c r="H18" i="27"/>
  <c r="I50" i="27" l="1"/>
  <c r="I17" i="27"/>
  <c r="G17" i="27" s="1"/>
  <c r="I60" i="27"/>
  <c r="I39" i="27"/>
  <c r="I81" i="27"/>
  <c r="B4" i="21"/>
  <c r="C4" i="21"/>
  <c r="G81" i="27" l="1"/>
  <c r="G50" i="27"/>
  <c r="G39" i="27"/>
  <c r="L9" i="47"/>
  <c r="H19" i="56" l="1"/>
  <c r="H32" i="27" s="1"/>
  <c r="I32" i="27" s="1"/>
  <c r="H20" i="56"/>
  <c r="H33" i="27" s="1"/>
  <c r="I33" i="27" s="1"/>
  <c r="H18" i="56"/>
  <c r="H31" i="27" s="1"/>
  <c r="I74" i="27"/>
  <c r="G74" i="27" s="1"/>
  <c r="F16" i="27"/>
  <c r="F15" i="27"/>
  <c r="E15" i="27"/>
  <c r="F14" i="27"/>
  <c r="F13" i="27"/>
  <c r="F12" i="27"/>
  <c r="F11" i="27"/>
  <c r="F10" i="27"/>
  <c r="F9" i="27"/>
  <c r="F8" i="27"/>
  <c r="B55" i="40"/>
  <c r="B49" i="40"/>
  <c r="B43" i="40"/>
  <c r="B28" i="40"/>
  <c r="B13" i="40"/>
  <c r="D8" i="26"/>
  <c r="B8" i="42"/>
  <c r="K32" i="42"/>
  <c r="C32" i="42"/>
  <c r="C31" i="42"/>
  <c r="C12" i="42"/>
  <c r="K3" i="42"/>
  <c r="I18" i="56" l="1"/>
  <c r="F13" i="56" s="1"/>
  <c r="I20" i="56"/>
  <c r="I19" i="56"/>
  <c r="F12" i="56" s="1"/>
  <c r="G24" i="42"/>
  <c r="G23" i="42"/>
  <c r="B10" i="40"/>
  <c r="E16" i="27"/>
  <c r="G20" i="42"/>
  <c r="G19" i="42"/>
  <c r="G18" i="42"/>
  <c r="H37" i="27" l="1"/>
  <c r="C7" i="27"/>
  <c r="B5" i="40"/>
  <c r="B5" i="47" s="1"/>
  <c r="H36" i="27" l="1"/>
  <c r="I31" i="56"/>
  <c r="B3" i="40"/>
  <c r="B3" i="47" s="1"/>
  <c r="B4" i="24"/>
  <c r="H75" i="27"/>
  <c r="H82" i="27"/>
  <c r="H40" i="27"/>
  <c r="H61" i="27"/>
  <c r="G22" i="42"/>
  <c r="G4" i="27"/>
  <c r="F4" i="27"/>
  <c r="C6" i="24"/>
  <c r="F9"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35" i="30" s="1"/>
  <c r="E35" i="30" s="1"/>
  <c r="F8" i="30"/>
  <c r="E34" i="30"/>
  <c r="E33" i="30"/>
  <c r="E32" i="30"/>
  <c r="E31" i="30"/>
  <c r="E30" i="30"/>
  <c r="E29" i="30"/>
  <c r="E28" i="30"/>
  <c r="E27" i="30"/>
  <c r="E26" i="30"/>
  <c r="E25" i="30"/>
  <c r="E24" i="30"/>
  <c r="E23" i="30"/>
  <c r="E22" i="30"/>
  <c r="E21" i="30"/>
  <c r="E20" i="30"/>
  <c r="E19" i="30"/>
  <c r="E18" i="30"/>
  <c r="E17" i="30"/>
  <c r="E12" i="30"/>
  <c r="E13" i="30"/>
  <c r="E14" i="30"/>
  <c r="E15" i="30"/>
  <c r="E11" i="30"/>
  <c r="E9" i="30"/>
  <c r="E10" i="30"/>
  <c r="E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s="1"/>
  <c r="D8" i="30"/>
  <c r="C34" i="30"/>
  <c r="C33" i="30"/>
  <c r="C32" i="30"/>
  <c r="C31" i="30"/>
  <c r="C30" i="30"/>
  <c r="C29" i="30"/>
  <c r="C28" i="30"/>
  <c r="C27" i="30"/>
  <c r="C26" i="30"/>
  <c r="C25" i="30"/>
  <c r="C24" i="30"/>
  <c r="C23" i="30"/>
  <c r="C22" i="30"/>
  <c r="C21" i="30"/>
  <c r="C20" i="30"/>
  <c r="C19" i="30"/>
  <c r="C18" i="30"/>
  <c r="C17" i="30"/>
  <c r="C12" i="30"/>
  <c r="C13" i="30"/>
  <c r="C14" i="30"/>
  <c r="C15" i="30"/>
  <c r="C11" i="30"/>
  <c r="C16" i="30"/>
  <c r="C10" i="30"/>
  <c r="C9" i="30"/>
  <c r="C8" i="30"/>
  <c r="F53" i="27"/>
  <c r="C57" i="27"/>
  <c r="F57" i="27"/>
  <c r="E57" i="27" l="1"/>
  <c r="H38" i="27"/>
  <c r="P11" i="40"/>
  <c r="Q11" i="40" s="1"/>
  <c r="P10" i="40"/>
  <c r="P56" i="40"/>
  <c r="Q56" i="40" s="1"/>
  <c r="P12" i="40"/>
  <c r="Q12" i="40" s="1"/>
  <c r="P55" i="40"/>
  <c r="P23" i="40"/>
  <c r="Q23" i="40" s="1"/>
  <c r="P50" i="40"/>
  <c r="Q50" i="40" s="1"/>
  <c r="P22" i="40"/>
  <c r="P43" i="40"/>
  <c r="P49" i="40"/>
  <c r="Q49" i="40" s="1"/>
  <c r="P15" i="40"/>
  <c r="Q15" i="40" s="1"/>
  <c r="P14" i="40"/>
  <c r="Q14" i="40" s="1"/>
  <c r="P44" i="40"/>
  <c r="Q44" i="40" s="1"/>
  <c r="P29" i="40"/>
  <c r="Q29" i="40" s="1"/>
  <c r="P28" i="40"/>
  <c r="Q28" i="40" s="1"/>
  <c r="G21" i="42"/>
  <c r="Q55" i="40" l="1"/>
  <c r="I93" i="27"/>
  <c r="Q43" i="40"/>
  <c r="I75" i="27"/>
  <c r="G75" i="27" s="1"/>
  <c r="I82" i="27"/>
  <c r="I40" i="27"/>
  <c r="G40" i="27" s="1"/>
  <c r="Q22" i="40"/>
  <c r="I51" i="27"/>
  <c r="I18" i="27"/>
  <c r="G18" i="27" s="1"/>
  <c r="Q10" i="40"/>
  <c r="D8" i="28"/>
  <c r="D7" i="28"/>
  <c r="G93" i="27" l="1"/>
  <c r="G82" i="27"/>
  <c r="G51" i="27"/>
  <c r="C59" i="27"/>
  <c r="C117" i="27"/>
  <c r="C116" i="27"/>
  <c r="F117" i="27"/>
  <c r="F116" i="27"/>
  <c r="F80" i="27"/>
  <c r="F79" i="27"/>
  <c r="C80" i="27"/>
  <c r="C79" i="27"/>
  <c r="F77" i="27"/>
  <c r="F59" i="27"/>
  <c r="F70" i="27"/>
  <c r="F72" i="27"/>
  <c r="F73" i="27"/>
  <c r="C73" i="27"/>
  <c r="C72" i="27"/>
  <c r="F114" i="27"/>
  <c r="F69" i="27"/>
  <c r="F68" i="27"/>
  <c r="F67" i="27"/>
  <c r="F49" i="27"/>
  <c r="F46" i="27"/>
  <c r="F42" i="27"/>
  <c r="F22" i="27"/>
  <c r="F25" i="27"/>
  <c r="F26" i="27"/>
  <c r="C12" i="10"/>
  <c r="C26" i="27"/>
  <c r="C25" i="27"/>
  <c r="E22" i="28"/>
  <c r="C19" i="28"/>
  <c r="B19" i="28"/>
  <c r="D18" i="28"/>
  <c r="C18" i="28"/>
  <c r="C17" i="28"/>
  <c r="C16" i="28"/>
  <c r="D16" i="28" s="1"/>
  <c r="E14" i="28"/>
  <c r="C6" i="28"/>
  <c r="D19" i="28" l="1"/>
  <c r="C260" i="27"/>
  <c r="C228" i="27"/>
  <c r="C219" i="27"/>
  <c r="E73" i="27"/>
  <c r="E46" i="27"/>
  <c r="E70" i="27"/>
  <c r="E117" i="27"/>
  <c r="E116" i="27"/>
  <c r="E79" i="27"/>
  <c r="E80" i="27"/>
  <c r="E72" i="27"/>
  <c r="E59" i="27"/>
  <c r="E26" i="27"/>
  <c r="E25" i="27"/>
  <c r="D17" i="28"/>
  <c r="D21" i="28" l="1"/>
  <c r="C21" i="27"/>
  <c r="C120" i="27"/>
  <c r="B8" i="15"/>
  <c r="B8" i="14"/>
  <c r="B8" i="13"/>
  <c r="B8" i="12"/>
  <c r="B8" i="11"/>
  <c r="B8" i="10"/>
  <c r="K3" i="10"/>
  <c r="G19" i="15" l="1"/>
  <c r="H23" i="42"/>
  <c r="H24" i="42"/>
  <c r="H18" i="42"/>
  <c r="G20" i="11"/>
  <c r="L44" i="27" s="1"/>
  <c r="G20" i="12"/>
  <c r="L55" i="27" s="1"/>
  <c r="G18" i="12"/>
  <c r="G19" i="12"/>
  <c r="L54" i="27" s="1"/>
  <c r="G20" i="13"/>
  <c r="G18" i="14"/>
  <c r="G18" i="11"/>
  <c r="G18" i="15"/>
  <c r="G19" i="11"/>
  <c r="L43" i="27" s="1"/>
  <c r="G18" i="13"/>
  <c r="G19" i="13"/>
  <c r="C32" i="10"/>
  <c r="C32" i="13"/>
  <c r="C32" i="14"/>
  <c r="C32" i="15"/>
  <c r="C32" i="12"/>
  <c r="C31" i="11"/>
  <c r="B32" i="11"/>
  <c r="C31" i="12"/>
  <c r="C31" i="13"/>
  <c r="C31" i="14"/>
  <c r="C31" i="15"/>
  <c r="C31" i="10"/>
  <c r="C12" i="11"/>
  <c r="C12" i="12"/>
  <c r="C12" i="13"/>
  <c r="C12" i="14"/>
  <c r="C12" i="15"/>
  <c r="G9" i="47" l="1"/>
  <c r="O9" i="47" s="1"/>
  <c r="I27" i="27" s="1"/>
  <c r="C32" i="11"/>
  <c r="I24" i="42"/>
  <c r="I23" i="42"/>
  <c r="I18" i="42"/>
  <c r="H8" i="27"/>
  <c r="H19" i="42"/>
  <c r="H20" i="42"/>
  <c r="H22" i="42"/>
  <c r="H21" i="42"/>
  <c r="C49" i="27"/>
  <c r="H13" i="27" l="1"/>
  <c r="I21" i="42"/>
  <c r="H11" i="27"/>
  <c r="H14" i="27"/>
  <c r="I22" i="42"/>
  <c r="H12" i="27"/>
  <c r="I20" i="42"/>
  <c r="H10" i="27"/>
  <c r="I19" i="42"/>
  <c r="H9" i="27"/>
  <c r="E49" i="27"/>
  <c r="F12" i="42" l="1"/>
  <c r="I31" i="42" s="1"/>
  <c r="A5" i="5"/>
  <c r="H15" i="27" l="1"/>
  <c r="H18" i="11"/>
  <c r="H20" i="11"/>
  <c r="H44" i="27" s="1"/>
  <c r="I44" i="27" s="1"/>
  <c r="H18" i="15"/>
  <c r="H19" i="15"/>
  <c r="H115" i="27" s="1"/>
  <c r="H18" i="14"/>
  <c r="H18" i="13"/>
  <c r="H20" i="13"/>
  <c r="H19" i="13"/>
  <c r="H18" i="12"/>
  <c r="H20" i="12"/>
  <c r="H55" i="27" s="1"/>
  <c r="I55" i="27" s="1"/>
  <c r="H19" i="12"/>
  <c r="H54" i="27" s="1"/>
  <c r="I54" i="27" s="1"/>
  <c r="H19" i="11"/>
  <c r="H43" i="27" s="1"/>
  <c r="I43" i="27" s="1"/>
  <c r="A27" i="5"/>
  <c r="A101" i="5"/>
  <c r="B101"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B4" i="5"/>
  <c r="A4" i="5"/>
  <c r="B20" i="56" l="1"/>
  <c r="B19" i="56"/>
  <c r="B18" i="56"/>
  <c r="B24" i="42"/>
  <c r="B23" i="42"/>
  <c r="B22" i="42"/>
  <c r="B21" i="42"/>
  <c r="B20" i="42"/>
  <c r="B18" i="42"/>
  <c r="B19" i="42"/>
  <c r="H53" i="27"/>
  <c r="H16" i="27"/>
  <c r="I18" i="15"/>
  <c r="H114" i="27"/>
  <c r="I19" i="15"/>
  <c r="C22" i="19"/>
  <c r="I20" i="12"/>
  <c r="I20" i="13"/>
  <c r="H69" i="27"/>
  <c r="I19" i="11"/>
  <c r="I18" i="12"/>
  <c r="F13" i="12" s="1"/>
  <c r="I18" i="14"/>
  <c r="H77" i="27"/>
  <c r="I18" i="11"/>
  <c r="F13" i="11" s="1"/>
  <c r="H42" i="27"/>
  <c r="I19" i="12"/>
  <c r="F12" i="12" s="1"/>
  <c r="I19" i="13"/>
  <c r="H68" i="27"/>
  <c r="I18" i="13"/>
  <c r="F13" i="13" s="1"/>
  <c r="H71" i="27" s="1"/>
  <c r="H67" i="27"/>
  <c r="I20" i="11"/>
  <c r="B18" i="13"/>
  <c r="B19" i="11"/>
  <c r="B20" i="11"/>
  <c r="B19" i="15"/>
  <c r="C115" i="27" s="1"/>
  <c r="B20" i="12"/>
  <c r="B18" i="14"/>
  <c r="B18" i="12"/>
  <c r="B18" i="15"/>
  <c r="B20" i="13"/>
  <c r="B19" i="12"/>
  <c r="B18" i="11"/>
  <c r="B19" i="13"/>
  <c r="G115" i="27" l="1"/>
  <c r="I115" i="27" s="1"/>
  <c r="E115" i="27"/>
  <c r="L115" i="27" s="1"/>
  <c r="F12" i="11"/>
  <c r="I32" i="11"/>
  <c r="I32" i="13"/>
  <c r="F12" i="13"/>
  <c r="I31" i="13" s="1"/>
  <c r="F12" i="10"/>
  <c r="I31" i="10" s="1"/>
  <c r="J18" i="42"/>
  <c r="C8" i="27"/>
  <c r="G8" i="27" s="1"/>
  <c r="J18" i="56"/>
  <c r="K18" i="56" s="1"/>
  <c r="C77" i="27"/>
  <c r="G77" i="27" s="1"/>
  <c r="C67" i="27"/>
  <c r="G67" i="27" s="1"/>
  <c r="F44" i="40"/>
  <c r="J21" i="42"/>
  <c r="C11" i="27"/>
  <c r="G11" i="27" s="1"/>
  <c r="J19" i="56"/>
  <c r="K19" i="56" s="1"/>
  <c r="C53" i="27"/>
  <c r="G53" i="27" s="1"/>
  <c r="C42" i="27"/>
  <c r="G42" i="27" s="1"/>
  <c r="J18" i="11"/>
  <c r="J22" i="42"/>
  <c r="C12" i="27"/>
  <c r="G12" i="27" s="1"/>
  <c r="J23" i="42"/>
  <c r="C13" i="27"/>
  <c r="G13" i="27" s="1"/>
  <c r="J20" i="56"/>
  <c r="K20" i="56" s="1"/>
  <c r="C69" i="27"/>
  <c r="G69" i="27" s="1"/>
  <c r="C114" i="27"/>
  <c r="G114" i="27" s="1"/>
  <c r="F56" i="40"/>
  <c r="J19" i="42"/>
  <c r="C9" i="27"/>
  <c r="G9" i="27" s="1"/>
  <c r="J20" i="42"/>
  <c r="C10" i="27"/>
  <c r="G10" i="27" s="1"/>
  <c r="C68" i="27"/>
  <c r="G68" i="27" s="1"/>
  <c r="J24" i="42"/>
  <c r="C14" i="27"/>
  <c r="G14" i="27" s="1"/>
  <c r="G22" i="27"/>
  <c r="F12" i="15"/>
  <c r="I31" i="15" s="1"/>
  <c r="F12" i="14"/>
  <c r="I31" i="14" s="1"/>
  <c r="J19" i="15"/>
  <c r="J18" i="15"/>
  <c r="J19" i="11"/>
  <c r="J18" i="13"/>
  <c r="J20" i="11"/>
  <c r="J18" i="14"/>
  <c r="J18" i="12"/>
  <c r="J19" i="12"/>
  <c r="J20" i="12"/>
  <c r="J19" i="13"/>
  <c r="J20" i="13"/>
  <c r="I31" i="11" l="1"/>
  <c r="H57" i="27"/>
  <c r="I31" i="12"/>
  <c r="H116" i="27"/>
  <c r="H79" i="27"/>
  <c r="H73" i="27"/>
  <c r="H70" i="27"/>
  <c r="H58" i="27"/>
  <c r="H47" i="27"/>
  <c r="I114" i="27"/>
  <c r="E22" i="27"/>
  <c r="I22" i="27"/>
  <c r="I69" i="27"/>
  <c r="I77" i="27"/>
  <c r="I68" i="27"/>
  <c r="E42" i="27"/>
  <c r="L42" i="27" s="1"/>
  <c r="I42" i="27"/>
  <c r="I67" i="27"/>
  <c r="E69" i="27"/>
  <c r="L69" i="27" s="1"/>
  <c r="E67" i="27"/>
  <c r="L67" i="27" s="1"/>
  <c r="E68" i="27"/>
  <c r="L68" i="27" s="1"/>
  <c r="E114" i="27"/>
  <c r="L114" i="27" s="1"/>
  <c r="E77" i="27"/>
  <c r="L77" i="27" s="1"/>
  <c r="K26" i="56"/>
  <c r="K18" i="11"/>
  <c r="K18" i="13"/>
  <c r="K24" i="42"/>
  <c r="K19" i="42"/>
  <c r="I13" i="27"/>
  <c r="E13" i="27"/>
  <c r="L13" i="27" s="1"/>
  <c r="I8" i="27"/>
  <c r="E8" i="27"/>
  <c r="L8" i="27" s="1"/>
  <c r="K20" i="13"/>
  <c r="K19" i="12"/>
  <c r="K20" i="12"/>
  <c r="K20" i="11"/>
  <c r="E10" i="27"/>
  <c r="L10" i="27" s="1"/>
  <c r="I10" i="27"/>
  <c r="K23" i="42"/>
  <c r="I31" i="27"/>
  <c r="E31" i="27"/>
  <c r="K18" i="42"/>
  <c r="I12" i="27"/>
  <c r="E12" i="27"/>
  <c r="L12" i="27" s="1"/>
  <c r="E11" i="27"/>
  <c r="L11" i="27" s="1"/>
  <c r="I11" i="27"/>
  <c r="K19" i="13"/>
  <c r="K18" i="14"/>
  <c r="K19" i="15"/>
  <c r="K20" i="42"/>
  <c r="E53" i="27"/>
  <c r="L53" i="27" s="1"/>
  <c r="I53" i="27"/>
  <c r="K22" i="42"/>
  <c r="K21" i="42"/>
  <c r="K19" i="11"/>
  <c r="K18" i="15"/>
  <c r="K18" i="12"/>
  <c r="I14" i="27"/>
  <c r="E14" i="27"/>
  <c r="L14" i="27" s="1"/>
  <c r="I9" i="27"/>
  <c r="E9" i="27"/>
  <c r="L9" i="27" s="1"/>
  <c r="H49" i="27"/>
  <c r="H46" i="27"/>
  <c r="H25" i="27"/>
  <c r="H117" i="27" l="1"/>
  <c r="H80" i="27"/>
  <c r="H72" i="27"/>
  <c r="H59" i="27"/>
  <c r="H48" i="27"/>
  <c r="K26" i="11"/>
  <c r="K26" i="15"/>
  <c r="E6" i="50" s="1"/>
  <c r="K26" i="12"/>
  <c r="K26" i="14"/>
  <c r="K26" i="13"/>
  <c r="K26" i="42"/>
  <c r="K26" i="10"/>
  <c r="H26" i="27"/>
  <c r="E5" i="50" l="1"/>
  <c r="E9" i="50" l="1"/>
  <c r="G60" i="27"/>
  <c r="O18" i="47" l="1"/>
  <c r="P32" i="40"/>
  <c r="I61" i="27" s="1"/>
  <c r="G61" i="27" s="1"/>
  <c r="I64" i="27" l="1"/>
  <c r="G64" i="27" l="1"/>
  <c r="H63" i="27"/>
  <c r="Q32" i="40" l="1"/>
  <c r="Q67" i="40" s="1"/>
  <c r="I63" i="27"/>
  <c r="G63" i="27" l="1"/>
  <c r="H2" i="18" l="1"/>
  <c r="H3" i="18"/>
  <c r="J31" i="60" l="1"/>
  <c r="K31" i="60" s="1"/>
  <c r="K39" i="60" s="1"/>
  <c r="G147" i="27"/>
  <c r="I147" i="27" s="1"/>
  <c r="G59" i="27"/>
  <c r="I59" i="27" s="1"/>
  <c r="G179" i="27"/>
  <c r="I179" i="27" s="1"/>
  <c r="G278" i="27"/>
  <c r="I278" i="27" s="1"/>
  <c r="G310" i="27"/>
  <c r="I310" i="27" s="1"/>
  <c r="J31" i="12"/>
  <c r="K31" i="12" s="1"/>
  <c r="K39" i="12" s="1"/>
  <c r="G202" i="27"/>
  <c r="I202" i="27" s="1"/>
  <c r="J31" i="42"/>
  <c r="K31" i="42" s="1"/>
  <c r="K39" i="42" s="1"/>
  <c r="H5" i="50" s="1"/>
  <c r="G301" i="27"/>
  <c r="I301" i="27" s="1"/>
  <c r="J31" i="78"/>
  <c r="K31" i="78" s="1"/>
  <c r="K39" i="78" s="1"/>
  <c r="G315" i="27"/>
  <c r="I315" i="27" s="1"/>
  <c r="J31" i="69"/>
  <c r="K31" i="69" s="1"/>
  <c r="G26" i="27"/>
  <c r="I26" i="27" s="1"/>
  <c r="G16" i="27"/>
  <c r="I16" i="27" s="1"/>
  <c r="J31" i="10"/>
  <c r="K31" i="10" s="1"/>
  <c r="K39" i="10" s="1"/>
  <c r="G48" i="27"/>
  <c r="I48" i="27" s="1"/>
  <c r="G112" i="27"/>
  <c r="I112" i="27" s="1"/>
  <c r="J31" i="64"/>
  <c r="K31" i="64" s="1"/>
  <c r="K39" i="64" s="1"/>
  <c r="J31" i="68"/>
  <c r="K31" i="68" s="1"/>
  <c r="K39" i="68" s="1"/>
  <c r="G38" i="27"/>
  <c r="I38" i="27" s="1"/>
  <c r="J31" i="15"/>
  <c r="K31" i="15" s="1"/>
  <c r="K39" i="15" s="1"/>
  <c r="H6" i="50" s="1"/>
  <c r="G80" i="27"/>
  <c r="I80" i="27" s="1"/>
  <c r="J31" i="73"/>
  <c r="K31" i="73" s="1"/>
  <c r="K39" i="73" s="1"/>
  <c r="J31" i="77"/>
  <c r="K31" i="77" s="1"/>
  <c r="J31" i="81"/>
  <c r="K31" i="81" s="1"/>
  <c r="K39" i="81" s="1"/>
  <c r="J31" i="75"/>
  <c r="K31" i="75" s="1"/>
  <c r="J31" i="56"/>
  <c r="K31" i="56" s="1"/>
  <c r="K39" i="56" s="1"/>
  <c r="J31" i="61"/>
  <c r="K31" i="61" s="1"/>
  <c r="K39" i="61" s="1"/>
  <c r="J31" i="71"/>
  <c r="K31" i="71" s="1"/>
  <c r="K39" i="71" s="1"/>
  <c r="G236" i="27"/>
  <c r="I236" i="27" s="1"/>
  <c r="J31" i="13"/>
  <c r="K31" i="13" s="1"/>
  <c r="J31" i="74"/>
  <c r="K31" i="74" s="1"/>
  <c r="K39" i="74" s="1"/>
  <c r="J31" i="82"/>
  <c r="K31" i="82" s="1"/>
  <c r="K39" i="82" s="1"/>
  <c r="G72" i="27"/>
  <c r="I72" i="27" s="1"/>
  <c r="J31" i="63"/>
  <c r="K31" i="63" s="1"/>
  <c r="K39" i="63" s="1"/>
  <c r="J31" i="62"/>
  <c r="K31" i="62" s="1"/>
  <c r="K39" i="62" s="1"/>
  <c r="J31" i="67"/>
  <c r="K31" i="67" s="1"/>
  <c r="G190" i="27"/>
  <c r="I190" i="27" s="1"/>
  <c r="J31" i="72"/>
  <c r="K31" i="72" s="1"/>
  <c r="K39" i="72" s="1"/>
  <c r="J31" i="70"/>
  <c r="K31" i="70" s="1"/>
  <c r="K39" i="70" s="1"/>
  <c r="G91" i="27"/>
  <c r="I91" i="27" s="1"/>
  <c r="G125" i="27"/>
  <c r="I125" i="27" s="1"/>
  <c r="J31" i="65"/>
  <c r="K31" i="65" s="1"/>
  <c r="K39" i="65" s="1"/>
  <c r="J31" i="80"/>
  <c r="K31" i="80" s="1"/>
  <c r="K39" i="80" s="1"/>
  <c r="G103" i="27"/>
  <c r="I103" i="27" s="1"/>
  <c r="J31" i="14"/>
  <c r="K31" i="14" s="1"/>
  <c r="K39" i="14" s="1"/>
  <c r="G257" i="27"/>
  <c r="I257" i="27" s="1"/>
  <c r="G171" i="27"/>
  <c r="I171" i="27" s="1"/>
  <c r="J31" i="79"/>
  <c r="K31" i="79" s="1"/>
  <c r="K39" i="79" s="1"/>
  <c r="G117" i="27"/>
  <c r="I117" i="27" s="1"/>
  <c r="G246" i="27"/>
  <c r="I246" i="27" s="1"/>
  <c r="G289" i="27"/>
  <c r="I289" i="27" s="1"/>
  <c r="J31" i="76"/>
  <c r="K31" i="76" s="1"/>
  <c r="K39" i="76" s="1"/>
  <c r="H8" i="50" s="1"/>
  <c r="G137" i="27"/>
  <c r="I137" i="27" s="1"/>
  <c r="J31" i="11"/>
  <c r="K31" i="11" s="1"/>
  <c r="G270" i="27"/>
  <c r="I270" i="27" s="1"/>
  <c r="G211" i="27"/>
  <c r="I211" i="27" s="1"/>
  <c r="G216" i="27"/>
  <c r="I216" i="27" s="1"/>
  <c r="J31" i="66"/>
  <c r="K31" i="66" s="1"/>
  <c r="K39" i="66" s="1"/>
  <c r="G158" i="27"/>
  <c r="I158" i="27" s="1"/>
  <c r="G224" i="27"/>
  <c r="I224" i="27" s="1"/>
  <c r="J32" i="77"/>
  <c r="K32" i="77" s="1"/>
  <c r="J32" i="69"/>
  <c r="K32" i="69" s="1"/>
  <c r="G271" i="27"/>
  <c r="I271" i="27" s="1"/>
  <c r="J32" i="13"/>
  <c r="K32" i="13" s="1"/>
  <c r="G172" i="27"/>
  <c r="I172" i="27" s="1"/>
  <c r="G73" i="27"/>
  <c r="I73" i="27" s="1"/>
  <c r="J32" i="75"/>
  <c r="K32" i="75" s="1"/>
  <c r="G49" i="27"/>
  <c r="I49" i="27" s="1"/>
  <c r="G247" i="27"/>
  <c r="I247" i="27" s="1"/>
  <c r="G148" i="27"/>
  <c r="I148" i="27" s="1"/>
  <c r="J32" i="11"/>
  <c r="K32" i="11" s="1"/>
  <c r="J32" i="67"/>
  <c r="K32" i="67" s="1"/>
  <c r="H7" i="50" l="1"/>
  <c r="K39" i="69"/>
  <c r="K39" i="75"/>
  <c r="K39" i="11"/>
  <c r="K39" i="77"/>
  <c r="K39" i="13"/>
  <c r="K39" i="67"/>
  <c r="G201" i="27" l="1"/>
  <c r="I201" i="27" s="1"/>
  <c r="I194" i="27" s="1"/>
  <c r="G170" i="27"/>
  <c r="I170" i="27" s="1"/>
  <c r="G37" i="27"/>
  <c r="I37" i="27" s="1"/>
  <c r="G277" i="27"/>
  <c r="I277" i="27" s="1"/>
  <c r="I274" i="27" s="1"/>
  <c r="I13" i="77"/>
  <c r="I12" i="65"/>
  <c r="I12" i="82"/>
  <c r="G25" i="27"/>
  <c r="I25" i="27" s="1"/>
  <c r="G116" i="27"/>
  <c r="I116" i="27" s="1"/>
  <c r="I113" i="27" s="1"/>
  <c r="I13" i="69"/>
  <c r="I12" i="79"/>
  <c r="G269" i="27"/>
  <c r="I269" i="27" s="1"/>
  <c r="G288" i="27"/>
  <c r="I288" i="27" s="1"/>
  <c r="G90" i="27"/>
  <c r="I90" i="27" s="1"/>
  <c r="I83" i="27" s="1"/>
  <c r="G47" i="27"/>
  <c r="I47" i="27" s="1"/>
  <c r="I13" i="12"/>
  <c r="I12" i="10"/>
  <c r="I12" i="15"/>
  <c r="I12" i="81"/>
  <c r="G15" i="27"/>
  <c r="I15" i="27" s="1"/>
  <c r="I7" i="27" s="1"/>
  <c r="I12" i="61"/>
  <c r="G215" i="27"/>
  <c r="I215" i="27" s="1"/>
  <c r="I212" i="27" s="1"/>
  <c r="I12" i="70"/>
  <c r="I12" i="80"/>
  <c r="G71" i="27"/>
  <c r="I71" i="27" s="1"/>
  <c r="G256" i="27"/>
  <c r="I256" i="27" s="1"/>
  <c r="G146" i="27"/>
  <c r="I146" i="27" s="1"/>
  <c r="G235" i="27"/>
  <c r="I235" i="27" s="1"/>
  <c r="I13" i="64"/>
  <c r="I12" i="62"/>
  <c r="I12" i="72"/>
  <c r="I12" i="60"/>
  <c r="I13" i="11"/>
  <c r="G309" i="27"/>
  <c r="I309" i="27" s="1"/>
  <c r="I302" i="27" s="1"/>
  <c r="I13" i="66"/>
  <c r="I12" i="14"/>
  <c r="G157" i="27"/>
  <c r="I157" i="27" s="1"/>
  <c r="G58" i="27"/>
  <c r="I58" i="27" s="1"/>
  <c r="G136" i="27"/>
  <c r="I136" i="27" s="1"/>
  <c r="G124" i="27"/>
  <c r="I124" i="27" s="1"/>
  <c r="I13" i="76"/>
  <c r="I12" i="71"/>
  <c r="I12" i="78"/>
  <c r="I13" i="56"/>
  <c r="G189" i="27"/>
  <c r="I189" i="27" s="1"/>
  <c r="I182" i="27" s="1"/>
  <c r="G223" i="27"/>
  <c r="I223" i="27" s="1"/>
  <c r="I13" i="68"/>
  <c r="G210" i="27"/>
  <c r="I210" i="27" s="1"/>
  <c r="I203" i="27" s="1"/>
  <c r="I12" i="63"/>
  <c r="G102" i="27"/>
  <c r="I102" i="27" s="1"/>
  <c r="I95" i="27" s="1"/>
  <c r="G178" i="27"/>
  <c r="I178" i="27" s="1"/>
  <c r="I175" i="27" s="1"/>
  <c r="G300" i="27"/>
  <c r="I300" i="27" s="1"/>
  <c r="I293" i="27" s="1"/>
  <c r="G111" i="27"/>
  <c r="I111" i="27" s="1"/>
  <c r="I104" i="27" s="1"/>
  <c r="I12" i="42"/>
  <c r="I13" i="13"/>
  <c r="I12" i="73"/>
  <c r="I12" i="74"/>
  <c r="I13" i="75"/>
  <c r="G79" i="27"/>
  <c r="I79" i="27" s="1"/>
  <c r="I76" i="27" s="1"/>
  <c r="G245" i="27"/>
  <c r="I245" i="27" s="1"/>
  <c r="G314" i="27"/>
  <c r="I314" i="27" s="1"/>
  <c r="I311" i="27" s="1"/>
  <c r="I13" i="67"/>
  <c r="J12" i="70"/>
  <c r="J12" i="15"/>
  <c r="J12" i="79"/>
  <c r="J12" i="14"/>
  <c r="J13" i="68"/>
  <c r="J13" i="66"/>
  <c r="J12" i="42"/>
  <c r="J12" i="72"/>
  <c r="J12" i="74"/>
  <c r="J12" i="82"/>
  <c r="J13" i="77"/>
  <c r="J12" i="10"/>
  <c r="J13" i="13"/>
  <c r="J12" i="78"/>
  <c r="J12" i="80"/>
  <c r="J13" i="12"/>
  <c r="J13" i="69"/>
  <c r="J12" i="60"/>
  <c r="J13" i="67"/>
  <c r="J13" i="56"/>
  <c r="J13" i="11"/>
  <c r="J13" i="64"/>
  <c r="J13" i="76"/>
  <c r="J13" i="75"/>
  <c r="J12" i="62"/>
  <c r="J12" i="63"/>
  <c r="J12" i="65"/>
  <c r="J12" i="61"/>
  <c r="J12" i="71"/>
  <c r="J12" i="73"/>
  <c r="J12" i="81"/>
  <c r="H9" i="50" l="1"/>
  <c r="K13" i="64"/>
  <c r="K12" i="61"/>
  <c r="K16" i="61" s="1"/>
  <c r="K12" i="65"/>
  <c r="K16" i="65" s="1"/>
  <c r="K27" i="65" s="1"/>
  <c r="K28" i="65" s="1"/>
  <c r="K49" i="65" s="1"/>
  <c r="K13" i="56"/>
  <c r="K12" i="14"/>
  <c r="K16" i="14" s="1"/>
  <c r="K13" i="77"/>
  <c r="K12" i="78"/>
  <c r="K16" i="78" s="1"/>
  <c r="K27" i="78" s="1"/>
  <c r="K28" i="78" s="1"/>
  <c r="K49" i="78" s="1"/>
  <c r="K13" i="66"/>
  <c r="K12" i="81"/>
  <c r="K16" i="81" s="1"/>
  <c r="K27" i="81" s="1"/>
  <c r="K28" i="81" s="1"/>
  <c r="K49" i="81" s="1"/>
  <c r="K12" i="79"/>
  <c r="K16" i="79" s="1"/>
  <c r="K27" i="79" s="1"/>
  <c r="K28" i="79" s="1"/>
  <c r="K49" i="79" s="1"/>
  <c r="K13" i="75"/>
  <c r="K12" i="71"/>
  <c r="K16" i="71" s="1"/>
  <c r="K27" i="71" s="1"/>
  <c r="K28" i="71" s="1"/>
  <c r="K49" i="71" s="1"/>
  <c r="K12" i="15"/>
  <c r="K16" i="15" s="1"/>
  <c r="F6" i="50" s="1"/>
  <c r="K13" i="69"/>
  <c r="K12" i="74"/>
  <c r="K16" i="74" s="1"/>
  <c r="K27" i="74" s="1"/>
  <c r="K28" i="74" s="1"/>
  <c r="K49" i="74" s="1"/>
  <c r="K12" i="63"/>
  <c r="K16" i="63" s="1"/>
  <c r="K27" i="63" s="1"/>
  <c r="K28" i="63" s="1"/>
  <c r="K49" i="63" s="1"/>
  <c r="K13" i="76"/>
  <c r="K13" i="11"/>
  <c r="K12" i="10"/>
  <c r="K16" i="10" s="1"/>
  <c r="K12" i="73"/>
  <c r="K16" i="73" s="1"/>
  <c r="K27" i="73" s="1"/>
  <c r="K28" i="73" s="1"/>
  <c r="K49" i="73" s="1"/>
  <c r="K12" i="60"/>
  <c r="K16" i="60" s="1"/>
  <c r="K12" i="80"/>
  <c r="K16" i="80" s="1"/>
  <c r="K27" i="80" s="1"/>
  <c r="K28" i="80" s="1"/>
  <c r="K49" i="80" s="1"/>
  <c r="K13" i="12"/>
  <c r="K13" i="13"/>
  <c r="K13" i="68"/>
  <c r="K12" i="72"/>
  <c r="K16" i="72" s="1"/>
  <c r="K27" i="72" s="1"/>
  <c r="K28" i="72" s="1"/>
  <c r="K49" i="72" s="1"/>
  <c r="K12" i="70"/>
  <c r="K16" i="70" s="1"/>
  <c r="K27" i="70" s="1"/>
  <c r="K28" i="70" s="1"/>
  <c r="K49" i="70" s="1"/>
  <c r="K13" i="67"/>
  <c r="K12" i="42"/>
  <c r="K16" i="42" s="1"/>
  <c r="K12" i="62"/>
  <c r="K16" i="62" s="1"/>
  <c r="K12" i="82"/>
  <c r="K16" i="82" s="1"/>
  <c r="K27" i="82" s="1"/>
  <c r="K28" i="82" s="1"/>
  <c r="K49" i="82" s="1"/>
  <c r="G255" i="27" l="1"/>
  <c r="I255" i="27" s="1"/>
  <c r="G57" i="27"/>
  <c r="I57" i="27" s="1"/>
  <c r="G145" i="27"/>
  <c r="I145" i="27" s="1"/>
  <c r="I12" i="56"/>
  <c r="I12" i="68"/>
  <c r="I12" i="12"/>
  <c r="I12" i="64"/>
  <c r="I12" i="77"/>
  <c r="I12" i="13"/>
  <c r="I12" i="67"/>
  <c r="G268" i="27"/>
  <c r="I268" i="27" s="1"/>
  <c r="G135" i="27"/>
  <c r="I135" i="27" s="1"/>
  <c r="I12" i="11"/>
  <c r="I12" i="66"/>
  <c r="I12" i="75"/>
  <c r="G156" i="27"/>
  <c r="I156" i="27" s="1"/>
  <c r="G244" i="27"/>
  <c r="I244" i="27" s="1"/>
  <c r="G169" i="27"/>
  <c r="I169" i="27" s="1"/>
  <c r="G234" i="27"/>
  <c r="I234" i="27" s="1"/>
  <c r="I12" i="69"/>
  <c r="G70" i="27"/>
  <c r="I70" i="27" s="1"/>
  <c r="I12" i="76"/>
  <c r="G36" i="27"/>
  <c r="I36" i="27" s="1"/>
  <c r="G46" i="27"/>
  <c r="I46" i="27" s="1"/>
  <c r="K27" i="61"/>
  <c r="K28" i="61" s="1"/>
  <c r="K49" i="61" s="1"/>
  <c r="J12" i="12"/>
  <c r="J12" i="67"/>
  <c r="J12" i="69"/>
  <c r="J12" i="64"/>
  <c r="J12" i="76"/>
  <c r="J12" i="66"/>
  <c r="J12" i="56"/>
  <c r="J12" i="11"/>
  <c r="J12" i="13"/>
  <c r="J12" i="68"/>
  <c r="J12" i="77"/>
  <c r="J12" i="75"/>
  <c r="K27" i="14"/>
  <c r="K28" i="14" s="1"/>
  <c r="K49" i="14" s="1"/>
  <c r="K27" i="62"/>
  <c r="K28" i="62" s="1"/>
  <c r="K49" i="62" s="1"/>
  <c r="K27" i="10"/>
  <c r="K28" i="10" s="1"/>
  <c r="K49" i="10" s="1"/>
  <c r="F5" i="50"/>
  <c r="K27" i="42"/>
  <c r="K28" i="42" s="1"/>
  <c r="K49" i="42" s="1"/>
  <c r="K27" i="15"/>
  <c r="K28" i="15" s="1"/>
  <c r="K49" i="15" s="1"/>
  <c r="K27" i="60"/>
  <c r="K28" i="60" s="1"/>
  <c r="K49" i="60" s="1"/>
  <c r="I239" i="27" l="1"/>
  <c r="K12" i="13"/>
  <c r="K16" i="13" s="1"/>
  <c r="I41" i="27"/>
  <c r="I151" i="27"/>
  <c r="K12" i="77"/>
  <c r="K16" i="77" s="1"/>
  <c r="K27" i="77" s="1"/>
  <c r="K28" i="77" s="1"/>
  <c r="K49" i="77" s="1"/>
  <c r="I20" i="27"/>
  <c r="K12" i="75"/>
  <c r="K16" i="75" s="1"/>
  <c r="K27" i="75" s="1"/>
  <c r="K28" i="75" s="1"/>
  <c r="K49" i="75" s="1"/>
  <c r="K12" i="64"/>
  <c r="K16" i="64" s="1"/>
  <c r="K27" i="64" s="1"/>
  <c r="K28" i="64" s="1"/>
  <c r="K49" i="64" s="1"/>
  <c r="K12" i="76"/>
  <c r="K16" i="76" s="1"/>
  <c r="K12" i="66"/>
  <c r="K16" i="66" s="1"/>
  <c r="K27" i="66" s="1"/>
  <c r="K28" i="66" s="1"/>
  <c r="K49" i="66" s="1"/>
  <c r="K12" i="12"/>
  <c r="K16" i="12" s="1"/>
  <c r="G5" i="50"/>
  <c r="I66" i="27"/>
  <c r="K12" i="11"/>
  <c r="K16" i="11" s="1"/>
  <c r="K12" i="68"/>
  <c r="K16" i="68" s="1"/>
  <c r="K12" i="69"/>
  <c r="K16" i="69" s="1"/>
  <c r="K27" i="69" s="1"/>
  <c r="K28" i="69" s="1"/>
  <c r="K49" i="69" s="1"/>
  <c r="I119" i="27"/>
  <c r="I118" i="27" s="1"/>
  <c r="K12" i="56"/>
  <c r="K16" i="56" s="1"/>
  <c r="I218" i="27"/>
  <c r="I217" i="27" s="1"/>
  <c r="I264" i="27"/>
  <c r="I140" i="27"/>
  <c r="I165" i="27"/>
  <c r="K12" i="67"/>
  <c r="K16" i="67" s="1"/>
  <c r="K27" i="67" s="1"/>
  <c r="K28" i="67" s="1"/>
  <c r="K49" i="67" s="1"/>
  <c r="I52" i="27"/>
  <c r="K27" i="76" l="1"/>
  <c r="K28" i="76" s="1"/>
  <c r="K49" i="76" s="1"/>
  <c r="F8" i="50"/>
  <c r="G8" i="50" s="1"/>
  <c r="I8" i="50" s="1"/>
  <c r="K27" i="68"/>
  <c r="K28" i="68" s="1"/>
  <c r="K49" i="68" s="1"/>
  <c r="F7" i="50"/>
  <c r="G7" i="50" s="1"/>
  <c r="I7" i="50" s="1"/>
  <c r="I5" i="50"/>
  <c r="K27" i="56"/>
  <c r="K28" i="56" s="1"/>
  <c r="K49" i="56" s="1"/>
  <c r="I19" i="27"/>
  <c r="I4" i="27" s="1"/>
  <c r="K27" i="12"/>
  <c r="K28" i="12" s="1"/>
  <c r="K49" i="12" s="1"/>
  <c r="K27" i="11"/>
  <c r="K28" i="11" s="1"/>
  <c r="K49" i="11" s="1"/>
  <c r="K27" i="13"/>
  <c r="K28" i="13" s="1"/>
  <c r="K49" i="13" s="1"/>
  <c r="G6" i="50" l="1"/>
  <c r="F9" i="50"/>
  <c r="I6" i="50" l="1"/>
  <c r="G9" i="50"/>
  <c r="I9" i="50" l="1"/>
  <c r="E19" i="28" l="1"/>
  <c r="B260" i="27"/>
  <c r="A261" i="27"/>
  <c r="H261" i="27" s="1"/>
  <c r="I261" i="27" l="1"/>
  <c r="G261" i="27" s="1"/>
  <c r="A262" i="27"/>
  <c r="H262" i="27" l="1"/>
  <c r="I262" i="27"/>
  <c r="A263" i="27"/>
  <c r="E263" i="27" l="1"/>
  <c r="I263" i="27"/>
  <c r="G262" i="27"/>
  <c r="I250" i="27" l="1"/>
  <c r="J50" i="42" l="1"/>
  <c r="K50" i="42"/>
  <c r="K51" i="42"/>
  <c r="J50" i="10"/>
  <c r="K50" i="10"/>
  <c r="K51" i="10"/>
  <c r="J50" i="56"/>
  <c r="K50" i="56"/>
  <c r="K51" i="56"/>
  <c r="J50" i="11"/>
  <c r="K50" i="11"/>
  <c r="K51" i="11"/>
  <c r="J50" i="12"/>
  <c r="K50" i="12"/>
  <c r="K51" i="12"/>
  <c r="J50" i="13"/>
  <c r="K50" i="13"/>
  <c r="K51" i="13"/>
  <c r="J50" i="14"/>
  <c r="K50" i="14"/>
  <c r="K51" i="14"/>
  <c r="J50" i="60"/>
  <c r="K50" i="60"/>
  <c r="K51" i="60"/>
  <c r="J50" i="61"/>
  <c r="K50" i="61"/>
  <c r="K51" i="61"/>
  <c r="J50" i="62"/>
  <c r="K50" i="62"/>
  <c r="K51" i="62"/>
  <c r="J50" i="15"/>
  <c r="K50" i="15"/>
  <c r="K51" i="15"/>
  <c r="J50" i="63"/>
  <c r="K50" i="63"/>
  <c r="K51" i="63"/>
  <c r="J50" i="64"/>
  <c r="K50" i="64"/>
  <c r="K51" i="64"/>
  <c r="J50" i="67"/>
  <c r="K50" i="67"/>
  <c r="K51" i="67"/>
  <c r="J50" i="68"/>
  <c r="K50" i="68"/>
  <c r="K51" i="68"/>
  <c r="J50" i="69"/>
  <c r="K50" i="69"/>
  <c r="K51" i="69"/>
  <c r="J50" i="70"/>
  <c r="K50" i="70"/>
  <c r="K51" i="70"/>
  <c r="J50" i="71"/>
  <c r="K50" i="71"/>
  <c r="K51" i="71"/>
  <c r="J50" i="72"/>
  <c r="K50" i="72"/>
  <c r="K51" i="72"/>
  <c r="J50" i="73"/>
  <c r="K50" i="73"/>
  <c r="K51" i="73"/>
  <c r="J50" i="74"/>
  <c r="K50" i="74"/>
  <c r="K51" i="74"/>
  <c r="J50" i="65"/>
  <c r="K50" i="65"/>
  <c r="K51" i="65"/>
  <c r="J50" i="66"/>
  <c r="K50" i="66"/>
  <c r="K51" i="66"/>
  <c r="J50" i="75"/>
  <c r="K50" i="75"/>
  <c r="K51" i="75"/>
  <c r="J50" i="76"/>
  <c r="K50" i="76"/>
  <c r="K51" i="76"/>
  <c r="J50" i="77"/>
  <c r="K50" i="77"/>
  <c r="K51" i="77"/>
  <c r="J50" i="78"/>
  <c r="K50" i="78"/>
  <c r="K51" i="78"/>
  <c r="J50" i="79"/>
  <c r="K50" i="79"/>
  <c r="K51" i="79"/>
  <c r="J50" i="80"/>
  <c r="K50" i="80"/>
  <c r="K51" i="80"/>
  <c r="J50" i="81"/>
  <c r="K50" i="81"/>
  <c r="K51" i="81"/>
  <c r="J50" i="82"/>
  <c r="K50" i="82"/>
  <c r="K51" i="82"/>
  <c r="D5" i="28"/>
  <c r="D6" i="28"/>
  <c r="E6" i="28"/>
  <c r="E7" i="28"/>
  <c r="E8" i="28"/>
  <c r="D10" i="28"/>
  <c r="E10" i="28"/>
  <c r="D12" i="28"/>
  <c r="D14" i="28"/>
  <c r="E16" i="28"/>
  <c r="E17" i="28"/>
  <c r="E18" i="28"/>
  <c r="E21" i="28"/>
  <c r="D22" i="28"/>
  <c r="D23" i="28"/>
  <c r="E23" i="28"/>
  <c r="C17" i="19"/>
  <c r="C23" i="19"/>
  <c r="C24" i="19"/>
  <c r="D24" i="19"/>
  <c r="C25" i="19"/>
  <c r="D25" i="19"/>
  <c r="C26" i="19"/>
  <c r="D26" i="19"/>
  <c r="C27" i="19"/>
  <c r="D27" i="19"/>
  <c r="C28" i="19"/>
  <c r="C29" i="19"/>
  <c r="C30" i="19"/>
  <c r="C31" i="19"/>
  <c r="C32" i="19"/>
  <c r="D32" i="19"/>
  <c r="P68" i="40"/>
  <c r="Q68" i="40"/>
  <c r="Q69" i="40"/>
  <c r="N19" i="47"/>
  <c r="O19" i="47"/>
  <c r="O20" i="47"/>
  <c r="H2" i="59"/>
  <c r="H3" i="59"/>
  <c r="H4" i="59"/>
  <c r="H5" i="59"/>
  <c r="H6" i="59"/>
  <c r="F8" i="26"/>
  <c r="G8" i="26"/>
  <c r="F9" i="26"/>
  <c r="G9" i="26"/>
  <c r="H9" i="26"/>
  <c r="G10" i="26"/>
  <c r="H10" i="26"/>
  <c r="F11" i="26"/>
  <c r="G11" i="26"/>
  <c r="H11" i="26"/>
  <c r="F12" i="26"/>
  <c r="G12" i="26"/>
  <c r="H12" i="26"/>
  <c r="G13" i="26"/>
  <c r="H13" i="26"/>
  <c r="F14" i="26"/>
  <c r="G14" i="26"/>
  <c r="H14" i="26"/>
  <c r="F15" i="26"/>
  <c r="G15" i="26"/>
  <c r="H15" i="26"/>
  <c r="F16" i="26"/>
  <c r="G16" i="26"/>
  <c r="H16" i="26"/>
  <c r="F17" i="26"/>
  <c r="G17" i="26"/>
  <c r="H17" i="26"/>
  <c r="F18" i="26"/>
  <c r="G18" i="26"/>
  <c r="H18" i="26"/>
  <c r="F19" i="26"/>
  <c r="G19" i="26"/>
  <c r="H19" i="26"/>
  <c r="F20" i="26"/>
  <c r="G20" i="26"/>
  <c r="H20" i="26"/>
  <c r="G21" i="26"/>
  <c r="H21" i="26"/>
  <c r="F22" i="26"/>
  <c r="G22" i="26"/>
  <c r="H22" i="26"/>
  <c r="F23" i="26"/>
  <c r="G23" i="26"/>
  <c r="H23" i="26"/>
  <c r="G24" i="26"/>
  <c r="H24" i="26"/>
  <c r="F25" i="26"/>
  <c r="G25" i="26"/>
  <c r="H25" i="26"/>
  <c r="F26" i="26"/>
  <c r="G26" i="26"/>
  <c r="H26" i="26"/>
  <c r="F27" i="26"/>
  <c r="G27" i="26"/>
  <c r="H27" i="26"/>
  <c r="F28" i="26"/>
  <c r="G28" i="26"/>
  <c r="H28" i="26"/>
  <c r="F29" i="26"/>
  <c r="G29" i="26"/>
  <c r="H29" i="26"/>
  <c r="F30" i="26"/>
  <c r="G30" i="26"/>
  <c r="H30" i="26"/>
  <c r="F31" i="26"/>
  <c r="G31" i="26"/>
  <c r="H31" i="26"/>
  <c r="G32" i="26"/>
  <c r="H32" i="26"/>
  <c r="F33" i="26"/>
  <c r="G33" i="26"/>
  <c r="H33" i="26"/>
  <c r="F34" i="26"/>
  <c r="G34" i="26"/>
  <c r="H34" i="26"/>
  <c r="G35" i="26"/>
  <c r="H35" i="26"/>
  <c r="F36" i="26"/>
  <c r="G36" i="26"/>
  <c r="H36" i="26"/>
  <c r="F37" i="26"/>
  <c r="G37" i="26"/>
  <c r="H37" i="26"/>
  <c r="F38" i="26"/>
  <c r="G38" i="26"/>
  <c r="H38" i="26"/>
  <c r="F39" i="26"/>
  <c r="G39" i="26"/>
  <c r="H39" i="26"/>
  <c r="F40" i="26"/>
  <c r="G40" i="26"/>
  <c r="H40" i="26"/>
  <c r="F41" i="26"/>
  <c r="G41" i="26"/>
  <c r="H41" i="26"/>
  <c r="F42" i="26"/>
  <c r="G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J4" i="27"/>
  <c r="J7" i="27"/>
  <c r="J8" i="27"/>
  <c r="J9" i="27"/>
  <c r="J10" i="27"/>
  <c r="J11" i="27"/>
  <c r="J12" i="27"/>
  <c r="J13" i="27"/>
  <c r="J14" i="27"/>
  <c r="J15" i="27"/>
  <c r="J16" i="27"/>
  <c r="J17" i="27"/>
  <c r="J18" i="27"/>
  <c r="J19" i="27"/>
  <c r="J20" i="27"/>
  <c r="J22" i="27"/>
  <c r="J23" i="27"/>
  <c r="J24" i="27"/>
  <c r="J25" i="27"/>
  <c r="J26" i="27"/>
  <c r="J27" i="27"/>
  <c r="J28" i="27"/>
  <c r="J29"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1" i="27"/>
  <c r="J122" i="27"/>
  <c r="J123" i="27"/>
  <c r="J124" i="27"/>
  <c r="J125" i="27"/>
  <c r="J126" i="27"/>
  <c r="J127" i="27"/>
  <c r="J128"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20" i="27"/>
  <c r="J221" i="27"/>
  <c r="J222" i="27"/>
  <c r="J223" i="27"/>
  <c r="J224" i="27"/>
  <c r="J225" i="27"/>
  <c r="J226" i="27"/>
  <c r="J227"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E11" i="24" a="1"/>
  <c r="E11" i="24"/>
  <c r="F11" i="24" a="1"/>
  <c r="F11" i="24"/>
  <c r="G11" i="24" a="1"/>
  <c r="G11" i="24"/>
  <c r="H11" i="24" a="1"/>
  <c r="H11" i="24"/>
  <c r="I11" i="24" a="1"/>
  <c r="I11" i="24"/>
  <c r="J11" i="24" a="1"/>
  <c r="J11" i="24"/>
  <c r="K11" i="24"/>
  <c r="E12" i="24" a="1"/>
  <c r="E12" i="24"/>
  <c r="F12" i="24" a="1"/>
  <c r="F12" i="24"/>
  <c r="G12" i="24" a="1"/>
  <c r="G12" i="24"/>
  <c r="H12" i="24" a="1"/>
  <c r="H12" i="24"/>
  <c r="I12" i="24" a="1"/>
  <c r="I12" i="24"/>
  <c r="J12" i="24" a="1"/>
  <c r="J12" i="24"/>
  <c r="K12" i="24"/>
  <c r="E13" i="24" a="1"/>
  <c r="E13" i="24"/>
  <c r="F13" i="24" a="1"/>
  <c r="F13" i="24"/>
  <c r="G13" i="24" a="1"/>
  <c r="G13" i="24"/>
  <c r="H13" i="24" a="1"/>
  <c r="H13" i="24"/>
  <c r="I13" i="24" a="1"/>
  <c r="I13" i="24"/>
  <c r="J13" i="24" a="1"/>
  <c r="J13" i="24"/>
  <c r="K13" i="24"/>
  <c r="E14" i="24" a="1"/>
  <c r="E14" i="24"/>
  <c r="F14" i="24" a="1"/>
  <c r="F14" i="24"/>
  <c r="G14" i="24" a="1"/>
  <c r="G14" i="24"/>
  <c r="H14" i="24" a="1"/>
  <c r="H14" i="24"/>
  <c r="I14" i="24" a="1"/>
  <c r="I14" i="24"/>
  <c r="J14" i="24" a="1"/>
  <c r="J14" i="24"/>
  <c r="K14" i="24"/>
  <c r="E15" i="24"/>
  <c r="F15" i="24"/>
  <c r="G15" i="24"/>
  <c r="H15" i="24"/>
  <c r="I15" i="24"/>
  <c r="J15" i="24"/>
  <c r="K15" i="24"/>
  <c r="J5" i="50"/>
  <c r="K5" i="50"/>
  <c r="L5" i="50"/>
  <c r="M5" i="50"/>
  <c r="N5" i="50"/>
  <c r="O5" i="50"/>
  <c r="P5" i="50"/>
  <c r="J6" i="50"/>
  <c r="K6" i="50"/>
  <c r="L6" i="50"/>
  <c r="M6" i="50"/>
  <c r="N6" i="50"/>
  <c r="O6" i="50"/>
  <c r="P6" i="50"/>
  <c r="J7" i="50"/>
  <c r="K7" i="50"/>
  <c r="L7" i="50"/>
  <c r="M7" i="50"/>
  <c r="N7" i="50"/>
  <c r="O7" i="50"/>
  <c r="P7" i="50"/>
  <c r="J8" i="50"/>
  <c r="K8" i="50"/>
  <c r="L8" i="50"/>
  <c r="M8" i="50"/>
  <c r="N8" i="50"/>
  <c r="O8" i="50"/>
  <c r="P8" i="50"/>
  <c r="J9" i="50"/>
  <c r="K9" i="50"/>
  <c r="L9" i="50"/>
  <c r="M9" i="50"/>
  <c r="N9" i="50"/>
  <c r="O9" i="50"/>
  <c r="P9"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Márcia Cristina de O Lucio Pires R Dalvi</author>
  </authors>
  <commentList>
    <comment ref="D1" authorId="0" shapeId="0" xr:uid="{6C78BFDF-67D3-4596-B6E0-F98D79A98312}">
      <text>
        <r>
          <rPr>
            <b/>
            <sz val="9"/>
            <color indexed="81"/>
            <rFont val="Segoe UI"/>
            <family val="2"/>
          </rPr>
          <t>Importante:</t>
        </r>
        <r>
          <rPr>
            <sz val="9"/>
            <color indexed="81"/>
            <rFont val="Segoe UI"/>
            <family val="2"/>
          </rPr>
          <t xml:space="preserve">
Preencher com</t>
        </r>
        <r>
          <rPr>
            <b/>
            <sz val="9"/>
            <color indexed="81"/>
            <rFont val="Segoe UI"/>
            <family val="2"/>
          </rPr>
          <t xml:space="preserve"> "x" </t>
        </r>
        <r>
          <rPr>
            <sz val="9"/>
            <color indexed="81"/>
            <rFont val="Segoe UI"/>
            <family val="2"/>
          </rPr>
          <t>nos meses em que deseja que a tarefa seja executada.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Márcia Cristina de O Lucio Pires R Dalvi</author>
  </authors>
  <commentList>
    <comment ref="I57" authorId="0" shapeId="0" xr:uid="{512E2E17-724E-48B3-9E8B-DBCF85B7C5FB}">
      <text/>
    </comment>
    <comment ref="I61" authorId="0" shapeId="0" xr:uid="{FB95E984-7E84-4179-B6ED-6E0B9125BA71}">
      <text/>
    </comment>
    <comment ref="I65" authorId="0" shapeId="0" xr:uid="{F5778458-C2DE-47E1-B03B-AA9A83C3DDD7}">
      <text>
        <r>
          <rPr>
            <b/>
            <sz val="9"/>
            <color indexed="81"/>
            <rFont val="Segoe UI"/>
            <family val="2"/>
          </rPr>
          <t>(Premissa) Audiência Pública:</t>
        </r>
        <r>
          <rPr>
            <sz val="9"/>
            <color indexed="81"/>
            <rFont val="Segoe UI"/>
            <family val="2"/>
          </rPr>
          <t xml:space="preserve"> Chegada em Curitiba, deslocamento para Londrina, pernoite, audiência em Londrina, deslocamento para Maringá, pernoite, audiência em Maringá, retorno à Curitiba, pernoite, retorno a base.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<sst xmlns="http://schemas.openxmlformats.org/spreadsheetml/2006/main" count="4480" uniqueCount="785">
  <si>
    <t>Duração
(meses)</t>
  </si>
  <si>
    <t>Advogado júnior</t>
  </si>
  <si>
    <t>Advogado pleno</t>
  </si>
  <si>
    <t>Advogado sênior</t>
  </si>
  <si>
    <t>Analista de desenvolvimento de sistemas júnior</t>
  </si>
  <si>
    <t>Analista de desenvolvimento de sistemas pleno</t>
  </si>
  <si>
    <t>Analista de desenvolvimento de sistemas sênior</t>
  </si>
  <si>
    <t>Arquiteto júnior</t>
  </si>
  <si>
    <t>Arquiteto pleno</t>
  </si>
  <si>
    <t>Arquiteto sênior</t>
  </si>
  <si>
    <t>Assistente social júnior</t>
  </si>
  <si>
    <t>Assistente social pleno</t>
  </si>
  <si>
    <t>Assistente social sênior</t>
  </si>
  <si>
    <t>Auxiliar</t>
  </si>
  <si>
    <t>Auxiliar administrativo</t>
  </si>
  <si>
    <t>Auxiliar de laboratório</t>
  </si>
  <si>
    <t>Auxiliar de topografia</t>
  </si>
  <si>
    <t>Biólogo júnior</t>
  </si>
  <si>
    <t>Biólogo pleno</t>
  </si>
  <si>
    <t>Biólogo sênior</t>
  </si>
  <si>
    <t>Chefe de escritório</t>
  </si>
  <si>
    <t>Contador júnior</t>
  </si>
  <si>
    <t>Contador pleno</t>
  </si>
  <si>
    <t>Contador sênior</t>
  </si>
  <si>
    <t xml:space="preserve">Coordenador ambiental </t>
  </si>
  <si>
    <t>Economista júnior</t>
  </si>
  <si>
    <t>Economista pleno</t>
  </si>
  <si>
    <t>Economista sênior</t>
  </si>
  <si>
    <t>Engenheiro agrônomo júnior</t>
  </si>
  <si>
    <t>Engenheiro agrônomo pleno</t>
  </si>
  <si>
    <t>Engenheiro agrônomo sênior</t>
  </si>
  <si>
    <t>Engenheiro ambiental júnior</t>
  </si>
  <si>
    <t>Engenheiro ambiental pleno</t>
  </si>
  <si>
    <t>Engenheiro ambiental sênior</t>
  </si>
  <si>
    <t>Engenheiro consultor especial</t>
  </si>
  <si>
    <t>Engenheiro coordenador</t>
  </si>
  <si>
    <t>Engenheiro de pesca júnior</t>
  </si>
  <si>
    <t>Engenheiro de pesca pleno</t>
  </si>
  <si>
    <t>Engenheiro de pesca sênior</t>
  </si>
  <si>
    <t>Engenheiro de projetos júnior</t>
  </si>
  <si>
    <t>Engenheiro de projetos pleno</t>
  </si>
  <si>
    <t>Engenheiro de projetos sênior</t>
  </si>
  <si>
    <t>Engenheiro florestal júnior</t>
  </si>
  <si>
    <t>Engenheiro florestal pleno</t>
  </si>
  <si>
    <t>Engenheiro florestal sênior</t>
  </si>
  <si>
    <t>Geólogo júnior</t>
  </si>
  <si>
    <t>Geólogo pleno</t>
  </si>
  <si>
    <t>Geólogo sênior</t>
  </si>
  <si>
    <t>Jornalista júnior</t>
  </si>
  <si>
    <t>Jornalista pleno</t>
  </si>
  <si>
    <t>Jornalista sênior</t>
  </si>
  <si>
    <t>Laboratorista</t>
  </si>
  <si>
    <t>Médico veterinário</t>
  </si>
  <si>
    <t>Meteorologista júnior</t>
  </si>
  <si>
    <t>Meteorologista pleno</t>
  </si>
  <si>
    <t>Meteorologista sênior</t>
  </si>
  <si>
    <t>Motorista de caminhão</t>
  </si>
  <si>
    <t>Motorista de veículo leve</t>
  </si>
  <si>
    <t>Oceanógrafo júnior</t>
  </si>
  <si>
    <t>Oceanógrafo pleno</t>
  </si>
  <si>
    <t>Oceanógrafo sênior</t>
  </si>
  <si>
    <t>Pedagogo júnior</t>
  </si>
  <si>
    <t>Pedagogo pleno</t>
  </si>
  <si>
    <t>Pedagogo sênior</t>
  </si>
  <si>
    <t>Secretária</t>
  </si>
  <si>
    <t>Sondador</t>
  </si>
  <si>
    <t>Técnico ambiental</t>
  </si>
  <si>
    <t>Técnico de obras</t>
  </si>
  <si>
    <t>Técnico de segurança do trabalho</t>
  </si>
  <si>
    <t>Técnico em geoprocessamento</t>
  </si>
  <si>
    <t>Técnico em informática - programador</t>
  </si>
  <si>
    <t>Topógrafo</t>
  </si>
  <si>
    <t>Arquivista júnior</t>
  </si>
  <si>
    <t>Arquivista pleno</t>
  </si>
  <si>
    <t>Arquivista sênior</t>
  </si>
  <si>
    <t>Administrador júnior</t>
  </si>
  <si>
    <t>Administrador pleno</t>
  </si>
  <si>
    <t>Administrador sênior</t>
  </si>
  <si>
    <t>Engenheiro agrimensor júnior</t>
  </si>
  <si>
    <t>Engenheiro agrimensor pleno</t>
  </si>
  <si>
    <t>Engenheiro agrimensor sênior</t>
  </si>
  <si>
    <t>Geógrafo júnior</t>
  </si>
  <si>
    <t>Geógrafo pleno</t>
  </si>
  <si>
    <t>Geógrafo sênior</t>
  </si>
  <si>
    <t>Antropólogo júnior</t>
  </si>
  <si>
    <t>Antropólogo pleno</t>
  </si>
  <si>
    <t>Antropólogo sênior</t>
  </si>
  <si>
    <t>Arqueólogo júnior</t>
  </si>
  <si>
    <t>Arqueólogo pleno</t>
  </si>
  <si>
    <t>Arqueólogo sênior</t>
  </si>
  <si>
    <t>Historiador júnior</t>
  </si>
  <si>
    <t>Historiador pleno</t>
  </si>
  <si>
    <t>Historiador sênior</t>
  </si>
  <si>
    <t>Paleontólogo júnior</t>
  </si>
  <si>
    <t>Paleontólogo pleno</t>
  </si>
  <si>
    <t>Paleontólogo sênior</t>
  </si>
  <si>
    <t>Sociólogo júnior</t>
  </si>
  <si>
    <t>Sociólogo pleno</t>
  </si>
  <si>
    <t>Sociólogo sênior</t>
  </si>
  <si>
    <t>DATA BASE</t>
  </si>
  <si>
    <t>REGIÃO</t>
  </si>
  <si>
    <t>nacional</t>
  </si>
  <si>
    <t>COMPOSIÇÃO REFERENCIAL</t>
  </si>
  <si>
    <t>DESCRIÇÃO DO SERVIÇO</t>
  </si>
  <si>
    <t>DURAÇÃO (MÊS)</t>
  </si>
  <si>
    <t>UNIDADE</t>
  </si>
  <si>
    <t>Unid</t>
  </si>
  <si>
    <t>CPU</t>
  </si>
  <si>
    <t>EQUIPAMENTO (A)</t>
  </si>
  <si>
    <t>QUANT.</t>
  </si>
  <si>
    <t>UTILIZAÇÃO</t>
  </si>
  <si>
    <t>CUSTO OPERACIONAL</t>
  </si>
  <si>
    <t xml:space="preserve">CUSTO </t>
  </si>
  <si>
    <t>PROD.</t>
  </si>
  <si>
    <t>IMPROD.</t>
  </si>
  <si>
    <t>HORÁRIO</t>
  </si>
  <si>
    <t>(A) = TOTAL</t>
  </si>
  <si>
    <t>MÃO DE OBRA (B)</t>
  </si>
  <si>
    <t>Participação</t>
  </si>
  <si>
    <t>Quantidade homem</t>
  </si>
  <si>
    <t>Qtdade homemxmês</t>
  </si>
  <si>
    <t>QUANT.(h)</t>
  </si>
  <si>
    <t>CUSTO HORÁRIO</t>
  </si>
  <si>
    <t>CUSTO H. TOTAL</t>
  </si>
  <si>
    <t>(B) = TOTAL</t>
  </si>
  <si>
    <t xml:space="preserve">(C) PRODUÇÃO DA EQUIPE = </t>
  </si>
  <si>
    <t>CUSTO HORÁRIO TOTAL = (A) + (B)</t>
  </si>
  <si>
    <t xml:space="preserve">(D) CUSTO UNITÁRIO DE PRODUÇÃO = (A +B )  /  (C) </t>
  </si>
  <si>
    <t>MATERIAL (E)</t>
  </si>
  <si>
    <t>CONSUMO</t>
  </si>
  <si>
    <t>PREÇO UNITÁRIO</t>
  </si>
  <si>
    <t>CUSTO UNITÁRIO</t>
  </si>
  <si>
    <t>(E) = TOTAL</t>
  </si>
  <si>
    <t>TEMPO FIXO (F)</t>
  </si>
  <si>
    <t xml:space="preserve">PREÇO </t>
  </si>
  <si>
    <t>UNITÁRIO</t>
  </si>
  <si>
    <t>(F) = TOTAL</t>
  </si>
  <si>
    <t>MOMENTO DE TRANSPORTE (G)</t>
  </si>
  <si>
    <t>D.M.T.</t>
  </si>
  <si>
    <t>LN</t>
  </si>
  <si>
    <t>RP</t>
  </si>
  <si>
    <t>P</t>
  </si>
  <si>
    <t>(G) = TOTAL</t>
  </si>
  <si>
    <t>CUSTO DIRETO TOTAL = (D) + (E) + (F) + (G)</t>
  </si>
  <si>
    <t>B.D.I.</t>
  </si>
  <si>
    <t>PREÇO UNITÁRIO REFERENCIAL</t>
  </si>
  <si>
    <t>Código</t>
  </si>
  <si>
    <t>Categoria</t>
  </si>
  <si>
    <t>Unid.</t>
  </si>
  <si>
    <t>Salário</t>
  </si>
  <si>
    <t>Encargos Sociais</t>
  </si>
  <si>
    <t>Encargos Complementares</t>
  </si>
  <si>
    <t>Encargos Adicionais</t>
  </si>
  <si>
    <t>Encargos Totais</t>
  </si>
  <si>
    <t>Valor Total</t>
  </si>
  <si>
    <t>Alimentação</t>
  </si>
  <si>
    <t>EPI</t>
  </si>
  <si>
    <t>Ferramenta</t>
  </si>
  <si>
    <t>Transporte</t>
  </si>
  <si>
    <t>Exame Ocupacional</t>
  </si>
  <si>
    <t>Cesta Básica</t>
  </si>
  <si>
    <t>Assistência Médica</t>
  </si>
  <si>
    <t>Seguro de Vida</t>
  </si>
  <si>
    <t>R$</t>
  </si>
  <si>
    <t>%</t>
  </si>
  <si>
    <t>P8001</t>
  </si>
  <si>
    <t>mês</t>
  </si>
  <si>
    <t>P8002</t>
  </si>
  <si>
    <t>P8003</t>
  </si>
  <si>
    <t>P8007</t>
  </si>
  <si>
    <t>P8008</t>
  </si>
  <si>
    <t>P8009</t>
  </si>
  <si>
    <t>P8013</t>
  </si>
  <si>
    <t>P8014</t>
  </si>
  <si>
    <t>P8015</t>
  </si>
  <si>
    <t>P8019</t>
  </si>
  <si>
    <t>P8020</t>
  </si>
  <si>
    <t>P8021</t>
  </si>
  <si>
    <t>P8025</t>
  </si>
  <si>
    <t>P8026</t>
  </si>
  <si>
    <t>P8027</t>
  </si>
  <si>
    <t>P8028</t>
  </si>
  <si>
    <t>P8032</t>
  </si>
  <si>
    <t>P8033</t>
  </si>
  <si>
    <t>P8034</t>
  </si>
  <si>
    <t>P8038</t>
  </si>
  <si>
    <t>P8040</t>
  </si>
  <si>
    <t>P8041</t>
  </si>
  <si>
    <t>P8042</t>
  </si>
  <si>
    <t>P8044</t>
  </si>
  <si>
    <t>P8045</t>
  </si>
  <si>
    <t>P8046</t>
  </si>
  <si>
    <t>P8047</t>
  </si>
  <si>
    <t>P8054</t>
  </si>
  <si>
    <t>P8055</t>
  </si>
  <si>
    <t>P8056</t>
  </si>
  <si>
    <t>P8057</t>
  </si>
  <si>
    <t>P8058</t>
  </si>
  <si>
    <t>P8059</t>
  </si>
  <si>
    <t>P8060</t>
  </si>
  <si>
    <t>P8061</t>
  </si>
  <si>
    <t>P8062</t>
  </si>
  <si>
    <t>P8063</t>
  </si>
  <si>
    <t>P8064</t>
  </si>
  <si>
    <t>P8065</t>
  </si>
  <si>
    <t>P8066</t>
  </si>
  <si>
    <t>P8067</t>
  </si>
  <si>
    <t>P8068</t>
  </si>
  <si>
    <t>P8069</t>
  </si>
  <si>
    <t>P8070</t>
  </si>
  <si>
    <t>P8080</t>
  </si>
  <si>
    <t>P8081</t>
  </si>
  <si>
    <t>P8082</t>
  </si>
  <si>
    <t>P8092</t>
  </si>
  <si>
    <t>P8093</t>
  </si>
  <si>
    <t>P8094</t>
  </si>
  <si>
    <t>P8098</t>
  </si>
  <si>
    <t>P8102</t>
  </si>
  <si>
    <t>P8106</t>
  </si>
  <si>
    <t>P8107</t>
  </si>
  <si>
    <t>P8108</t>
  </si>
  <si>
    <t>P8112</t>
  </si>
  <si>
    <t>P8113</t>
  </si>
  <si>
    <t>P8117</t>
  </si>
  <si>
    <t>P8118</t>
  </si>
  <si>
    <t>P8119</t>
  </si>
  <si>
    <t>P8129</t>
  </si>
  <si>
    <t>P8130</t>
  </si>
  <si>
    <t>P8131</t>
  </si>
  <si>
    <t>P8135</t>
  </si>
  <si>
    <t>P8139</t>
  </si>
  <si>
    <t>P8143</t>
  </si>
  <si>
    <t>P8147</t>
  </si>
  <si>
    <t>P8151</t>
  </si>
  <si>
    <t>P8155</t>
  </si>
  <si>
    <t>P8159</t>
  </si>
  <si>
    <t>P8163</t>
  </si>
  <si>
    <t>P8167</t>
  </si>
  <si>
    <t>P8168</t>
  </si>
  <si>
    <t>P8169</t>
  </si>
  <si>
    <t>P8173</t>
  </si>
  <si>
    <t>P8174</t>
  </si>
  <si>
    <t>P8175</t>
  </si>
  <si>
    <t>P8180</t>
  </si>
  <si>
    <t>P8181</t>
  </si>
  <si>
    <t>P8182</t>
  </si>
  <si>
    <t>P8183</t>
  </si>
  <si>
    <t>P8184</t>
  </si>
  <si>
    <t>P8185</t>
  </si>
  <si>
    <t>P8186</t>
  </si>
  <si>
    <t>P8187</t>
  </si>
  <si>
    <t>P8188</t>
  </si>
  <si>
    <t>P8189</t>
  </si>
  <si>
    <t>P8190</t>
  </si>
  <si>
    <t>P8191</t>
  </si>
  <si>
    <t>P8192</t>
  </si>
  <si>
    <t>P8193</t>
  </si>
  <si>
    <t>P8194</t>
  </si>
  <si>
    <t>P8195</t>
  </si>
  <si>
    <t>P8196</t>
  </si>
  <si>
    <t>P8197</t>
  </si>
  <si>
    <t>P8198</t>
  </si>
  <si>
    <t>P8199</t>
  </si>
  <si>
    <t>P8200</t>
  </si>
  <si>
    <t>Fonte: FGV IBRE</t>
  </si>
  <si>
    <t>-</t>
  </si>
  <si>
    <t>Veículos</t>
  </si>
  <si>
    <t>Tipo</t>
  </si>
  <si>
    <t>Improdutivo</t>
  </si>
  <si>
    <t>E8889</t>
  </si>
  <si>
    <t>hora</t>
  </si>
  <si>
    <t>E8891</t>
  </si>
  <si>
    <t>E8887</t>
  </si>
  <si>
    <t>Imóveis</t>
  </si>
  <si>
    <t>B8951</t>
  </si>
  <si>
    <t>B8952</t>
  </si>
  <si>
    <t>Mobiliário</t>
  </si>
  <si>
    <t>B8953</t>
  </si>
  <si>
    <t>Escritório</t>
  </si>
  <si>
    <t>B8954</t>
  </si>
  <si>
    <t>Residência</t>
  </si>
  <si>
    <t>B8955</t>
  </si>
  <si>
    <t>Laboratório de asfalto</t>
  </si>
  <si>
    <t>B8956</t>
  </si>
  <si>
    <t>Laboratório de concreto</t>
  </si>
  <si>
    <t>B8957</t>
  </si>
  <si>
    <t>Laboratório de solos</t>
  </si>
  <si>
    <t>B8958</t>
  </si>
  <si>
    <t>Topografia</t>
  </si>
  <si>
    <t>B8959</t>
  </si>
  <si>
    <t>B8960</t>
  </si>
  <si>
    <t>Código SICFER</t>
  </si>
  <si>
    <t>Equipamentos de Informática</t>
  </si>
  <si>
    <t>Valor de Aquisição (R$)</t>
  </si>
  <si>
    <t>Depreciação (R$/h)</t>
  </si>
  <si>
    <t>Oportunidade de Capital (R$/h)</t>
  </si>
  <si>
    <t>Manutenção (R$/h)</t>
  </si>
  <si>
    <t>Produtivo</t>
  </si>
  <si>
    <t>Software de Informática</t>
  </si>
  <si>
    <t>h</t>
  </si>
  <si>
    <t>Software CAD para MAC/Windows 64bits</t>
  </si>
  <si>
    <t>Software SIG para MAC/Windows 64bits</t>
  </si>
  <si>
    <t>BDI</t>
  </si>
  <si>
    <t>Data Base:</t>
  </si>
  <si>
    <t>1</t>
  </si>
  <si>
    <t>2</t>
  </si>
  <si>
    <t>3</t>
  </si>
  <si>
    <t>4</t>
  </si>
  <si>
    <t>5</t>
  </si>
  <si>
    <t>6</t>
  </si>
  <si>
    <t>7</t>
  </si>
  <si>
    <t>8</t>
  </si>
  <si>
    <t>9</t>
  </si>
  <si>
    <t>Item</t>
  </si>
  <si>
    <t>Descrição dos Produtos</t>
  </si>
  <si>
    <t>x</t>
  </si>
  <si>
    <t>Dimensão de Mercado e Demanda (EMD)</t>
  </si>
  <si>
    <t>Dimensão Operacional (EOP)</t>
  </si>
  <si>
    <t>Dimensão Socioambiental (EMA)</t>
  </si>
  <si>
    <t>Dimensão Econômico-Financeira (MEF)</t>
  </si>
  <si>
    <t/>
  </si>
  <si>
    <t>km</t>
  </si>
  <si>
    <t>Utilização</t>
  </si>
  <si>
    <t>Custo Horário</t>
  </si>
  <si>
    <t>Produtiva</t>
  </si>
  <si>
    <t>Improdutiva</t>
  </si>
  <si>
    <t>Unidade</t>
  </si>
  <si>
    <t>Database:</t>
  </si>
  <si>
    <t>Escopo</t>
  </si>
  <si>
    <t>RPT</t>
  </si>
  <si>
    <t>RCD-AP</t>
  </si>
  <si>
    <t>SubTotal</t>
  </si>
  <si>
    <t>Plano Trabalho</t>
  </si>
  <si>
    <t>Grupo</t>
  </si>
  <si>
    <t>UF</t>
  </si>
  <si>
    <t>Descrição</t>
  </si>
  <si>
    <t>Valor Total
(R$)</t>
  </si>
  <si>
    <t>Atividade</t>
  </si>
  <si>
    <t>Início</t>
  </si>
  <si>
    <t>Duração</t>
  </si>
  <si>
    <t>Desembolso Mensal</t>
  </si>
  <si>
    <t>% Desembolso Mensal</t>
  </si>
  <si>
    <t>Desembolso Mensal Acumulado</t>
  </si>
  <si>
    <t>% Desembolso Mensal Acumulado</t>
  </si>
  <si>
    <t>Projeto de Modelagem da Concessão</t>
  </si>
  <si>
    <t>Total geral:</t>
  </si>
  <si>
    <t>Preço unitário
 (R$)</t>
  </si>
  <si>
    <t>Quantidade total</t>
  </si>
  <si>
    <t>Referência</t>
  </si>
  <si>
    <t>Memória dos quantitativos</t>
  </si>
  <si>
    <t>PESSOAL</t>
  </si>
  <si>
    <t>DIÁRIAS</t>
  </si>
  <si>
    <t>EQUIPAMENTOS</t>
  </si>
  <si>
    <t>DADOS DE ENTRADA</t>
  </si>
  <si>
    <t>CONSULTORIA (SUPERVISÃO E PROJETOS)</t>
  </si>
  <si>
    <t>Natureza da Obra:</t>
  </si>
  <si>
    <t>Despesas Indiretas</t>
  </si>
  <si>
    <t>% sobre o PV</t>
  </si>
  <si>
    <t>% sobre o CD</t>
  </si>
  <si>
    <t>SELIC</t>
  </si>
  <si>
    <t>Administração Central</t>
  </si>
  <si>
    <t>Variável - f (CD)</t>
  </si>
  <si>
    <t>ISSQN:</t>
  </si>
  <si>
    <t>Despesas Financeiras</t>
  </si>
  <si>
    <t>ORÇAMENTO DESONERADO?</t>
  </si>
  <si>
    <t>NÃO</t>
  </si>
  <si>
    <t>Seguros e Garantias Contratuais</t>
  </si>
  <si>
    <t>REIDI:</t>
  </si>
  <si>
    <t>Riscos</t>
  </si>
  <si>
    <t>OBSERVAÇÃO:</t>
  </si>
  <si>
    <t>VERIFICAR SEMPRE SE O CÁLCULO ITERATIVO ESTÁ HABILITADO</t>
  </si>
  <si>
    <t>Subtotal 1</t>
  </si>
  <si>
    <t>Benefícios</t>
  </si>
  <si>
    <t>Lucro</t>
  </si>
  <si>
    <t>Subtotal 2</t>
  </si>
  <si>
    <t>Tributos</t>
  </si>
  <si>
    <t>PIS</t>
  </si>
  <si>
    <t>COFINS</t>
  </si>
  <si>
    <t>Subtotal 3</t>
  </si>
  <si>
    <t>TOTAIS</t>
  </si>
  <si>
    <t>BDI COM TRIBUTOS (%)</t>
  </si>
  <si>
    <t>Vitória</t>
  </si>
  <si>
    <t>O</t>
  </si>
  <si>
    <t>Preço (R$)</t>
  </si>
  <si>
    <t>D</t>
  </si>
  <si>
    <t>op. 1</t>
  </si>
  <si>
    <t>op. 2</t>
  </si>
  <si>
    <t>op. 3</t>
  </si>
  <si>
    <t xml:space="preserve">SP </t>
  </si>
  <si>
    <t>MG</t>
  </si>
  <si>
    <t>DF</t>
  </si>
  <si>
    <t>RJ</t>
  </si>
  <si>
    <t>São Paulo</t>
  </si>
  <si>
    <t>Capital</t>
  </si>
  <si>
    <t xml:space="preserve">DF </t>
  </si>
  <si>
    <t>Brasília</t>
  </si>
  <si>
    <t xml:space="preserve">AM </t>
  </si>
  <si>
    <t>Manaus</t>
  </si>
  <si>
    <t xml:space="preserve">RJ </t>
  </si>
  <si>
    <t>Rio de Janeiro</t>
  </si>
  <si>
    <t xml:space="preserve">MG </t>
  </si>
  <si>
    <t>Belo Horizonte</t>
  </si>
  <si>
    <t xml:space="preserve">CE </t>
  </si>
  <si>
    <t>Fortaleza</t>
  </si>
  <si>
    <t xml:space="preserve">RS </t>
  </si>
  <si>
    <t>Porto Alegre</t>
  </si>
  <si>
    <t xml:space="preserve">PE </t>
  </si>
  <si>
    <t>Recife</t>
  </si>
  <si>
    <t xml:space="preserve">BA </t>
  </si>
  <si>
    <t>Salvador</t>
  </si>
  <si>
    <t xml:space="preserve">AC </t>
  </si>
  <si>
    <t>Rio Branco</t>
  </si>
  <si>
    <t xml:space="preserve">AL </t>
  </si>
  <si>
    <t>Maceió</t>
  </si>
  <si>
    <t xml:space="preserve">AP </t>
  </si>
  <si>
    <t>Macapá</t>
  </si>
  <si>
    <t xml:space="preserve">ES </t>
  </si>
  <si>
    <t xml:space="preserve">GO </t>
  </si>
  <si>
    <t>Goiânia</t>
  </si>
  <si>
    <t xml:space="preserve">MA </t>
  </si>
  <si>
    <t>São Luís</t>
  </si>
  <si>
    <t xml:space="preserve">MT </t>
  </si>
  <si>
    <t>Cuiabá</t>
  </si>
  <si>
    <t xml:space="preserve">MS </t>
  </si>
  <si>
    <t>Campo Grande</t>
  </si>
  <si>
    <t xml:space="preserve">PA </t>
  </si>
  <si>
    <t>Belém</t>
  </si>
  <si>
    <t xml:space="preserve">PB </t>
  </si>
  <si>
    <t>João Pessoa</t>
  </si>
  <si>
    <t xml:space="preserve">PR </t>
  </si>
  <si>
    <t>Curitiba</t>
  </si>
  <si>
    <t xml:space="preserve">PI </t>
  </si>
  <si>
    <t>Teresina</t>
  </si>
  <si>
    <t xml:space="preserve">RN </t>
  </si>
  <si>
    <t>Natal</t>
  </si>
  <si>
    <t xml:space="preserve">RO </t>
  </si>
  <si>
    <t>Porto Velho</t>
  </si>
  <si>
    <t xml:space="preserve">RR </t>
  </si>
  <si>
    <t>Boa Vista</t>
  </si>
  <si>
    <t xml:space="preserve">SC </t>
  </si>
  <si>
    <t>Florianópolis</t>
  </si>
  <si>
    <t xml:space="preserve">SE </t>
  </si>
  <si>
    <t>Aracaju</t>
  </si>
  <si>
    <t xml:space="preserve">TO </t>
  </si>
  <si>
    <t>Palmas</t>
  </si>
  <si>
    <t>Classificação do Cargo/Emprego/Função</t>
  </si>
  <si>
    <t>Deslocamentos para outras capitais de Estados</t>
  </si>
  <si>
    <t>Demais deslocamentos</t>
  </si>
  <si>
    <t>MATERIAL</t>
  </si>
  <si>
    <t>Preço de Custo
 (R$)</t>
  </si>
  <si>
    <t>Preço de Venda
 (R$)</t>
  </si>
  <si>
    <t>Custo horário do Desktop para todos os profisisonais durante a execução dos trabalhos</t>
  </si>
  <si>
    <t>Horas trabalháveis no mês (h):</t>
  </si>
  <si>
    <t xml:space="preserve">Tabela 1 - Custos de veículos </t>
  </si>
  <si>
    <t>Custo unitário (R$ / un)</t>
  </si>
  <si>
    <t>S</t>
  </si>
  <si>
    <t>Veículo leve - 53 kW (sem motorista)</t>
  </si>
  <si>
    <t>Tabela 2 - Custos de imóveis, mobiliário, cestas de instalações e custos diversos</t>
  </si>
  <si>
    <t>Custo unitário 
(R$ / un)</t>
  </si>
  <si>
    <t>Comercial (2,60% do CMCC - SINAPI)</t>
  </si>
  <si>
    <t>m² x mês</t>
  </si>
  <si>
    <t>Residencial (1,70% do CMCC - SINAPI)</t>
  </si>
  <si>
    <t>ocupante x mês</t>
  </si>
  <si>
    <t>Cesta das Instalações</t>
  </si>
  <si>
    <t>Custos Diversos</t>
  </si>
  <si>
    <t>Destino</t>
  </si>
  <si>
    <t>Origem</t>
  </si>
  <si>
    <t>Passagem (ida e volta):</t>
  </si>
  <si>
    <t>Voos diretos (conforme disponibilidade).</t>
  </si>
  <si>
    <t>Premissas:</t>
  </si>
  <si>
    <t>Previsão de volta pelo mesmo destino.</t>
  </si>
  <si>
    <t>Deslocamentos para Brasília/Manaus/Rio de Janeiro/São Paulo</t>
  </si>
  <si>
    <t>a) Ministros de Estado</t>
  </si>
  <si>
    <t>b) Cargos de Natureza Especial; CCE-18</t>
  </si>
  <si>
    <t>c) CCE-17; CCE-16; CCE-15; CCE-14; CCE-13 e equivalentes</t>
  </si>
  <si>
    <t>d) Demais cargos, empregos e funções</t>
  </si>
  <si>
    <t>Demais categorias profissionais</t>
  </si>
  <si>
    <t>Os profissionais de campo vão desembarcar nas capitais e seguir para os municípios de visitação in loco.</t>
  </si>
  <si>
    <t>Os profissionais que irão presencialmente à Infra para reuniões de alinhamento e nos RoadShows permanecerão nas capitais.</t>
  </si>
  <si>
    <t>Custo Capital (R$)</t>
  </si>
  <si>
    <t>Demais Deslocamentos (R$)</t>
  </si>
  <si>
    <t>Os demais profissionais foram considerados na aliínea d).</t>
  </si>
  <si>
    <t>Coordenador, Eng Consultor Especial e profissionais sêniores, devido ao grau de expertise e qualificação, fazem jus à remuneração da alínea c).</t>
  </si>
  <si>
    <t>Coordenador / Eng Consultor Especial / Sênior</t>
  </si>
  <si>
    <t>As abas deste conjunto compreendem:</t>
  </si>
  <si>
    <t>1) Perços referenciais DNIT e SICFER</t>
  </si>
  <si>
    <t>2) Pesquisa de preços de passagens aéreas</t>
  </si>
  <si>
    <t>2) Memórias de cálculo de dimensionamento equipamentos e materiais</t>
  </si>
  <si>
    <t>3) Memórias de cálculo de planejamento de viagens in loco</t>
  </si>
  <si>
    <t>1) Memórias de cálculo de dimensionamento de mão de obra</t>
  </si>
  <si>
    <t>6) Cálculo analítico do BDI conforme Resolução DNIT nº 11/2020.</t>
  </si>
  <si>
    <t>Conforme Resolução DNIT nº 11/2020.</t>
  </si>
  <si>
    <t>Malha Ferroviária:</t>
  </si>
  <si>
    <t>Extensão (km):</t>
  </si>
  <si>
    <t>OBJETIVO</t>
  </si>
  <si>
    <t>METAS / ATIVIDADES</t>
  </si>
  <si>
    <t>COD.</t>
  </si>
  <si>
    <t>DISCRIMINAÇÃO</t>
  </si>
  <si>
    <t>TRECHO
ORIGEM</t>
  </si>
  <si>
    <t>TRECHO
DESTINO</t>
  </si>
  <si>
    <t>FONTE</t>
  </si>
  <si>
    <t>ÁEREA (Ida e Volta)</t>
  </si>
  <si>
    <t>DIÁRIAS (Ida e Volta)</t>
  </si>
  <si>
    <t>Valor do Produto
(R$)</t>
  </si>
  <si>
    <t>VALOR</t>
  </si>
  <si>
    <t>QUANT. PES.</t>
  </si>
  <si>
    <t>DIAS</t>
  </si>
  <si>
    <t>a</t>
  </si>
  <si>
    <t>b</t>
  </si>
  <si>
    <t>c=a*b</t>
  </si>
  <si>
    <t>d</t>
  </si>
  <si>
    <t>e</t>
  </si>
  <si>
    <t>f</t>
  </si>
  <si>
    <t>g=d*e*f</t>
  </si>
  <si>
    <t>h=c+g</t>
  </si>
  <si>
    <t>Média trechos</t>
  </si>
  <si>
    <t>DECOLAR</t>
  </si>
  <si>
    <t>TOTAL</t>
  </si>
  <si>
    <t>PLANILHA DE DIMENSIONAMENTO DE VIAGENS E DIÁRIAS DA EQUIPE TÉCNICA</t>
  </si>
  <si>
    <r>
      <t xml:space="preserve">Visitas </t>
    </r>
    <r>
      <rPr>
        <b/>
        <i/>
        <sz val="11"/>
        <color rgb="FF000000"/>
        <rFont val="Calibri"/>
        <family val="2"/>
      </rPr>
      <t>in loco</t>
    </r>
    <r>
      <rPr>
        <b/>
        <sz val="11"/>
        <color rgb="FF000000"/>
        <rFont val="Calibri"/>
        <family val="2"/>
      </rPr>
      <t xml:space="preserve"> / Consulta Pública</t>
    </r>
  </si>
  <si>
    <t>Preço pesquisado considera trecho de ida e volta.</t>
  </si>
  <si>
    <t>Passagens nacionais pesquisadas com 30 dias de antecedência.</t>
  </si>
  <si>
    <t>Objeto:</t>
  </si>
  <si>
    <t>Região de Audiência Pública:</t>
  </si>
  <si>
    <t>Plano de Trabalho</t>
  </si>
  <si>
    <t>Dimensão de Engenharia (EEN)</t>
  </si>
  <si>
    <t>PASSAGENS</t>
  </si>
  <si>
    <t>10</t>
  </si>
  <si>
    <t>11</t>
  </si>
  <si>
    <t>12</t>
  </si>
  <si>
    <t>13</t>
  </si>
  <si>
    <t>15</t>
  </si>
  <si>
    <t>16</t>
  </si>
  <si>
    <t>17</t>
  </si>
  <si>
    <t>18</t>
  </si>
  <si>
    <t>19</t>
  </si>
  <si>
    <t>20</t>
  </si>
  <si>
    <t>21</t>
  </si>
  <si>
    <t>22</t>
  </si>
  <si>
    <t>23</t>
  </si>
  <si>
    <t>24</t>
  </si>
  <si>
    <t>25</t>
  </si>
  <si>
    <t>26</t>
  </si>
  <si>
    <t>dias</t>
  </si>
  <si>
    <t>Viagem (ida-volta)</t>
  </si>
  <si>
    <t>Passagem de ida e volta, considerando 3 profissionais (Coordenador / Eng. Consultor Especial / Profissional Sênior)</t>
  </si>
  <si>
    <t>Cotação</t>
  </si>
  <si>
    <t>Passagem Aérea Ida/Volta (Localidade-Brasília)</t>
  </si>
  <si>
    <t>Diárias em Brasília</t>
  </si>
  <si>
    <t>diária</t>
  </si>
  <si>
    <t>Reunião de Alinhamento</t>
  </si>
  <si>
    <t>2.2</t>
  </si>
  <si>
    <t>2.1</t>
  </si>
  <si>
    <t>Diárias para 2 dias úteis na capital/sede da INFRA - Brasília DF (2,5 diárias)</t>
  </si>
  <si>
    <t xml:space="preserve">TOTAL DIÁRIAS
(R$) </t>
  </si>
  <si>
    <t xml:space="preserve">TOTAL PASSAGEM
(R$) </t>
  </si>
  <si>
    <t>Resumo de Passagens</t>
  </si>
  <si>
    <t>Demais Deslocamentos</t>
  </si>
  <si>
    <t>Qtd.</t>
  </si>
  <si>
    <t>Custo Total (R$)</t>
  </si>
  <si>
    <t>PLANILHA DE DIMENSIONAMENTO DE VEÍCULO PARA INSPEÇÃO DE CAMPO DA EQUIPE TÉCNICA</t>
  </si>
  <si>
    <t>VEÍCULO</t>
  </si>
  <si>
    <t>Equipe</t>
  </si>
  <si>
    <t>Passagem de ida e volta, conforme Aba "Diárias e Passagens"</t>
  </si>
  <si>
    <t>Diárias conforme Aba "Diárias e Passagens"</t>
  </si>
  <si>
    <t>Estimado 1 software por profissional técnico</t>
  </si>
  <si>
    <t>Custo horário do Desktop para os profisisonais técnicos durante a execução dos trabalhos</t>
  </si>
  <si>
    <t>Custo horário do Laptop para os profisisonais que não necessitem de robustez de hardware durante a execução dos trabalhos</t>
  </si>
  <si>
    <t>Custo horário do software durante a execução dos trabalhos</t>
  </si>
  <si>
    <t xml:space="preserve">CUSTO DIRETO TOTAL </t>
  </si>
  <si>
    <t>3) Preços para remuneração de diárias durante reuniões e visitas in loco.</t>
  </si>
  <si>
    <t>Estudo</t>
  </si>
  <si>
    <t>Revisão / Aprovação</t>
  </si>
  <si>
    <t>Produto Pré-AP - Relatório Consolidado da Disciplina</t>
  </si>
  <si>
    <t>Passagem Aérea Ida/Volta (Localidade-Diversos)</t>
  </si>
  <si>
    <t>RCD</t>
  </si>
  <si>
    <t>Dados Consolidados</t>
  </si>
  <si>
    <t>Fim</t>
  </si>
  <si>
    <t>(*) Limite máximo adotado de 5%, valor variável em função da legislação de cada município. As empresas licitantes deverão adotar as alíquotas pertinentes.</t>
  </si>
  <si>
    <t>ISSQN*</t>
  </si>
  <si>
    <t>COMPOSIÇÃO DA PARCELA DO BDI</t>
  </si>
  <si>
    <t>Mão de Obra (B)</t>
  </si>
  <si>
    <t>Equipamentos (A)</t>
  </si>
  <si>
    <t>Custo Unitário (D)=(A+B)/(C)</t>
  </si>
  <si>
    <t>Material (E)</t>
  </si>
  <si>
    <t>Custo Direto (D)+(E)</t>
  </si>
  <si>
    <t>Preço Unitário Referencial</t>
  </si>
  <si>
    <t>Duração (meses)</t>
  </si>
  <si>
    <t>Preço de Venda</t>
  </si>
  <si>
    <t>Conferência</t>
  </si>
  <si>
    <t>(1) Sede do escritório da Contratada presumida em possíveis cidades:  São Paulo (SP) / Brasília (DF) / Belo Horizonte (MG) / Rio de Janeiro (RJ), por ter a maior densidade relativa a empresas projetistas.</t>
  </si>
  <si>
    <t>Vistoria / Inspeção de Campo</t>
  </si>
  <si>
    <t>5) Cronograma de execução de serviços</t>
  </si>
  <si>
    <t>Total - EVTEA</t>
  </si>
  <si>
    <t>semanas</t>
  </si>
  <si>
    <t>DNIT</t>
  </si>
  <si>
    <t>Sistema</t>
  </si>
  <si>
    <t>4) Memórias de cálculo de planejamento de reuniões presenciais em Brasília e Audiência Pública</t>
  </si>
  <si>
    <t>14</t>
  </si>
  <si>
    <t>Dimensão de Mercado e Demanda (EMD) - Pesquisa de Campo</t>
  </si>
  <si>
    <t>Relatório de Pesquisa de Campo</t>
  </si>
  <si>
    <t>1. ORIGEM: SÃO PAULO</t>
  </si>
  <si>
    <t>BSB</t>
  </si>
  <si>
    <t>DECRETO Nº 11.872, DE 29 DE DEZEMBRO DE 2023</t>
  </si>
  <si>
    <t>https://www.planalto.gov.br/ccivil_03/_Ato2023-2026/2023/Decreto/D11872.htm#art1</t>
  </si>
  <si>
    <t>Homem hora:</t>
  </si>
  <si>
    <t>Horas por dia(h)</t>
  </si>
  <si>
    <t>Resumo</t>
  </si>
  <si>
    <t>Produtos</t>
  </si>
  <si>
    <t>Recursos</t>
  </si>
  <si>
    <t>Resumo NT</t>
  </si>
  <si>
    <t>Conferência:</t>
  </si>
  <si>
    <t>Cidades de pesquisa:</t>
  </si>
  <si>
    <t>Inspeção de Campo</t>
  </si>
  <si>
    <t>Demais Capitais</t>
  </si>
  <si>
    <t>1.1 Destino: Goiânia/GO</t>
  </si>
  <si>
    <t>1.2 Destino: Brasília/DF</t>
  </si>
  <si>
    <t>1.3 Destino: Porto Alegre/RS</t>
  </si>
  <si>
    <t>1.4 Destino: Fortaleza/CE</t>
  </si>
  <si>
    <t>1.5 Destino: Salvador/BA</t>
  </si>
  <si>
    <t>1.6 Destino: São Luís/MA</t>
  </si>
  <si>
    <t>1.7 Destino: Curitiba/PR</t>
  </si>
  <si>
    <t>2. ORIGEM: RIO DE JANEIRO</t>
  </si>
  <si>
    <t>2.1 Destino: Goiânia/GO</t>
  </si>
  <si>
    <t>2.2 Destino: Brasília/DF</t>
  </si>
  <si>
    <t>2.3 Destino: Porto Alegre/RS</t>
  </si>
  <si>
    <t>2.4 Destino: Fortaleza/CE</t>
  </si>
  <si>
    <t>2.5 Destino: Salvador/BA</t>
  </si>
  <si>
    <t>2.6 Destino: São Luís/MA</t>
  </si>
  <si>
    <t>2.7 Destino: Curitiba/PR</t>
  </si>
  <si>
    <t>3. ORIGEM: Brelo Horizonte</t>
  </si>
  <si>
    <t>3.1 Destino: Goiânia/GO</t>
  </si>
  <si>
    <t>3.2 Destino: Brasília/DF</t>
  </si>
  <si>
    <t>3.3 Destino: Porto Alegre/RS</t>
  </si>
  <si>
    <t>3.4 Destino: Fortaleza/CE</t>
  </si>
  <si>
    <t>3.5 Destino: Salvador/BA</t>
  </si>
  <si>
    <t>3.6 Destino: São Luís/MA</t>
  </si>
  <si>
    <t>3.7 Destino: Curitiba/PR</t>
  </si>
  <si>
    <t>4. ORIGEM: Brasília</t>
  </si>
  <si>
    <t>4.1 Destino: Goiânia/GO</t>
  </si>
  <si>
    <t>4.2 Destino: Porto Alegre/RS</t>
  </si>
  <si>
    <t>4.3 Destino: Fortaleza/CE</t>
  </si>
  <si>
    <t>4.4 Destino: Salvador/BA</t>
  </si>
  <si>
    <t>4.5 Destino: São Luís/MA</t>
  </si>
  <si>
    <t>4.6 Destino: Curitiba/PR</t>
  </si>
  <si>
    <t>GYN</t>
  </si>
  <si>
    <t>POA</t>
  </si>
  <si>
    <t>CWB</t>
  </si>
  <si>
    <t>P8264</t>
  </si>
  <si>
    <t>Motorista de veículo leve - horista</t>
  </si>
  <si>
    <t>Utili-zação</t>
  </si>
  <si>
    <t>Pacote de Estudos</t>
  </si>
  <si>
    <t>Veículo leve picape 4 x 4 com capacidade de 1,10 t - 147 kW (sem motorista)</t>
  </si>
  <si>
    <t>Veículo tipo van furgão com capacidade de 1,38 t - 100 kW (com motorista)</t>
  </si>
  <si>
    <t>Orçamento</t>
  </si>
  <si>
    <t>EQSF002</t>
  </si>
  <si>
    <t>EQSF001</t>
  </si>
  <si>
    <t>https://www.autodesk.com.br/products</t>
  </si>
  <si>
    <t>Pacote Microsoft 365 Business Basic</t>
  </si>
  <si>
    <t>Fornecedor</t>
  </si>
  <si>
    <t>https://int-store.esri.com/pt-br/store/products/buy/arcgis-pro</t>
  </si>
  <si>
    <t>www.microsoft.com.br</t>
  </si>
  <si>
    <t>Desktop completo, processador Intel Core i5, 16GB memória, Resolução 3.840x2.160 (4K), PV GPU de 4GB e Sistema Operacional.</t>
  </si>
  <si>
    <t>Laptop completo, processador Intel Core i5, 16GB memória, Resolução 3.840x2.160 (4K), PV GPU de 4GB e Sistema Operacional.</t>
  </si>
  <si>
    <t>MTSF001</t>
  </si>
  <si>
    <t>MTSF002</t>
  </si>
  <si>
    <t>MTSF003</t>
  </si>
  <si>
    <t>Cotação out/23</t>
  </si>
  <si>
    <t>Diárias</t>
  </si>
  <si>
    <t>Passagens</t>
  </si>
  <si>
    <t>Veículo</t>
  </si>
  <si>
    <r>
      <t xml:space="preserve">Período Pesquisa de Campo:
</t>
    </r>
    <r>
      <rPr>
        <sz val="10"/>
        <color theme="1"/>
        <rFont val="Calibri"/>
        <family val="2"/>
        <scheme val="minor"/>
      </rPr>
      <t>(Mercado e Demanda)</t>
    </r>
  </si>
  <si>
    <t>Trecho</t>
  </si>
  <si>
    <t>Extensão (km)</t>
  </si>
  <si>
    <t>Malha concedida</t>
  </si>
  <si>
    <t>Concessionária</t>
  </si>
  <si>
    <t>Lote</t>
  </si>
  <si>
    <t>Sim</t>
  </si>
  <si>
    <t>FCA</t>
  </si>
  <si>
    <t>Londrina (PR) - Maringá (PR)</t>
  </si>
  <si>
    <t>RMS</t>
  </si>
  <si>
    <t>Rio Grande (RS) - Pelotas (RS)</t>
  </si>
  <si>
    <t>Brasília (DF) - Luziânia (GO)</t>
  </si>
  <si>
    <t>Total</t>
  </si>
  <si>
    <t>Prioridade</t>
  </si>
  <si>
    <t>Capitais mais próximas:
Total: 3</t>
  </si>
  <si>
    <r>
      <t xml:space="preserve">Inspeção / Vistoria em Campo:
</t>
    </r>
    <r>
      <rPr>
        <sz val="10"/>
        <color theme="1"/>
        <rFont val="Calibri"/>
        <family val="2"/>
        <scheme val="minor"/>
      </rPr>
      <t>(Operacional)</t>
    </r>
  </si>
  <si>
    <t>A pesquisa de demanda se dará em 6 semanas por trecho. 
O total do periodo de pesquisa consiste em 1 semana de preparação/treinamento da equipe, 6 semanas de pesquisa de campo e 1 semana de conclusão e consolidação dos dados.</t>
  </si>
  <si>
    <t>Produto RAP - Relatório consolidado de estudos e subsídios de respostas às contribuições da audiência pública</t>
  </si>
  <si>
    <t>Produto RTC - Relatório consolidado de estudos e subsídios a eventuais questionamentos órgão de controle externo</t>
  </si>
  <si>
    <t>Produto RED - Relatório consolidado de estudos e subsídios a eventuais questionamentos do processo licitatório</t>
  </si>
  <si>
    <t>Custo horário do pacote office durante toda execução dos trabalhos.</t>
  </si>
  <si>
    <t>RTC</t>
  </si>
  <si>
    <t>RED</t>
  </si>
  <si>
    <t>Pacote TCU</t>
  </si>
  <si>
    <t>Pacote Edital</t>
  </si>
  <si>
    <t>RAP</t>
  </si>
  <si>
    <t>Audiência pública</t>
  </si>
  <si>
    <t>Revisão Pós Audiência</t>
  </si>
  <si>
    <t>TCU</t>
  </si>
  <si>
    <t>Revisão TCU</t>
  </si>
  <si>
    <t>Acórdão TCU</t>
  </si>
  <si>
    <t>Publicação do Edital</t>
  </si>
  <si>
    <t>Processo Licitatório</t>
  </si>
  <si>
    <t>Leilão</t>
  </si>
  <si>
    <t>Fim do contrato</t>
  </si>
  <si>
    <t>27</t>
  </si>
  <si>
    <t>28</t>
  </si>
  <si>
    <t>29</t>
  </si>
  <si>
    <t>30</t>
  </si>
  <si>
    <t>31</t>
  </si>
  <si>
    <t>32</t>
  </si>
  <si>
    <t>33</t>
  </si>
  <si>
    <t>3.2</t>
  </si>
  <si>
    <t>Apoio e revisão pós Audiência Pública</t>
  </si>
  <si>
    <t>Apoio a subsídios a questionamentos do órgão de controle externo</t>
  </si>
  <si>
    <t>Apoio a subsídios a questionamentos do processo licitatório</t>
  </si>
  <si>
    <t>Segmento 1</t>
  </si>
  <si>
    <t>Segmento 2</t>
  </si>
  <si>
    <t>Segmento 3</t>
  </si>
  <si>
    <t>Único</t>
  </si>
  <si>
    <t>2.1.1</t>
  </si>
  <si>
    <t>2.1.2</t>
  </si>
  <si>
    <t>4.2</t>
  </si>
  <si>
    <t>2.3.1</t>
  </si>
  <si>
    <t>3.3</t>
  </si>
  <si>
    <t>4.3</t>
  </si>
  <si>
    <t>Segmento</t>
  </si>
  <si>
    <t>Dias de Locação</t>
  </si>
  <si>
    <t>4.1.1</t>
  </si>
  <si>
    <t>4.3.1</t>
  </si>
  <si>
    <t>SEGMENTO</t>
  </si>
  <si>
    <t>1, 2 e 3</t>
  </si>
  <si>
    <t>Preço de Venda por segmento</t>
  </si>
  <si>
    <t>Pesquisa de Campo</t>
  </si>
  <si>
    <t>Ferrovia Centro Atlântica (FCA) / Ferrovia Rumo Malha Sul (RMS)</t>
  </si>
  <si>
    <t>Plano</t>
  </si>
  <si>
    <t>R$/mês</t>
  </si>
  <si>
    <t>R$/ano</t>
  </si>
  <si>
    <t>Observações:</t>
  </si>
  <si>
    <t>Viagens e Inspeções de Campo</t>
  </si>
  <si>
    <t>Cronograma Físico-Financeiro - Lote 02</t>
  </si>
  <si>
    <t>Distrito Federal, Goiás, Rio Grande do Sul, Paraná.</t>
  </si>
  <si>
    <t>Brasília (DF), Goiânia (GO), Porto Alegre (RS), Curitiba (PR)</t>
  </si>
  <si>
    <t>Brasília, Luziânia, Rio Grande, Pelotas, Londrina, Maringá.</t>
  </si>
  <si>
    <t>Orçamento - EVTEA Lote 2</t>
  </si>
  <si>
    <t>Reunião de Alinhamento e Seminário</t>
  </si>
  <si>
    <t>2.3</t>
  </si>
  <si>
    <t>2.4</t>
  </si>
  <si>
    <t>2.5</t>
  </si>
  <si>
    <t>2.6</t>
  </si>
  <si>
    <t>2.7</t>
  </si>
  <si>
    <t>2.8</t>
  </si>
  <si>
    <t>2.9</t>
  </si>
  <si>
    <t>3.1.1</t>
  </si>
  <si>
    <t>3.1.2</t>
  </si>
  <si>
    <t>3.4</t>
  </si>
  <si>
    <t>3.5</t>
  </si>
  <si>
    <t>3.6</t>
  </si>
  <si>
    <t>3.7</t>
  </si>
  <si>
    <t>3.8</t>
  </si>
  <si>
    <t>3.9</t>
  </si>
  <si>
    <t>4.1.2</t>
  </si>
  <si>
    <t>4.4</t>
  </si>
  <si>
    <t>4.5</t>
  </si>
  <si>
    <t>4.6</t>
  </si>
  <si>
    <t>4.7</t>
  </si>
  <si>
    <t>4.8</t>
  </si>
  <si>
    <t>4.9</t>
  </si>
  <si>
    <t>3.3.1</t>
  </si>
  <si>
    <t>Apoio Documental Jurídico-Regulatório (ADJR)</t>
  </si>
  <si>
    <t>Item / Produtos</t>
  </si>
  <si>
    <t>Audiência Pública - Revisão</t>
  </si>
  <si>
    <t>Audiência Pública - Apoio</t>
  </si>
  <si>
    <t>Dados - EVTEA Lote 02:</t>
  </si>
  <si>
    <t>Preço de Venda por Fase do Estudo (R$)</t>
  </si>
  <si>
    <t>Produtos / Atividades</t>
  </si>
  <si>
    <t>Escopo / Fase do Estudo</t>
  </si>
  <si>
    <t xml:space="preserve">(5) Orçamento das diárias e do apoio ao deslocamento terrestre baseado na Tabela de Consultoria do Departamento Nacional de Infraestrutura de Transportes, disponível em www.dnit.gov.br conforme instruções RESOLUÇÃO Nº 11, DE 21 DE AGOSTO DE 2020 que indica a utilização do Decreto Nº 5.992, de 19 de Dezembro 2006 (ou publicação mais recente). </t>
  </si>
  <si>
    <t>- Segmento 1: Chegada em Brasília, audiência em Brasília, pernoite, deslocamento para Luziânia, audiência em Luziânia e retorno à Brasília, pernoite, retorno à base.</t>
  </si>
  <si>
    <t>- Segmento 2: Chegada em Porto Alegre, deslocamento para Pelotas, pernoite, audiência em Pelotas, deslocamento para Rio Grande, pernoite, audiência em Rio Grande, retorno para Porto Alegre, pernoite, retorno à base.</t>
  </si>
  <si>
    <t>- Segmento 3: Chegada em Curitiba, deslocamento para Londrina, pernoite, audiência em Londrina, deslocamento para Maringá, pernoite, audiência em Maringá, retorno à Curitiba, pernoite, retorno a base.</t>
  </si>
  <si>
    <t>(2) Previstas uma reunião de alinhamento (2 pernoites), por dimensão de estudo, com a equipe da INFRA, em Brasília - DF.</t>
  </si>
  <si>
    <t>(4) Previstas viagens dos consultores para apoio às audiências públicas nas cidades de origem-destino de cada segmento, conforme detalhamento a seguir.</t>
  </si>
  <si>
    <t>Duração Total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</si>
</sst>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0.0000"/>
    <numFmt numFmtId="165" formatCode="_-* #,##0.00_-;\-* #,##0.00_-;_-* &quot;-&quot;?_-;_-@_-"/>
    <numFmt numFmtId="166" formatCode="0.0%"/>
    <numFmt numFmtId="167" formatCode="0%;;&quot;&quot;"/>
    <numFmt numFmtId="168" formatCode="_-&quot;R$&quot;\ * #,##0_-;\-&quot;R$&quot;\ * #,##0_-;_-&quot;R$&quot;\ * &quot;-&quot;??_-;_-@_-"/>
    <numFmt numFmtId="169" formatCode="0.00&quot;% a.a.&quot;"/>
    <numFmt numFmtId="170" formatCode="0.00&quot;%&quot;"/>
    <numFmt numFmtId="171" formatCode="0.00&quot;% sobre o (PV-Lucro)&quot;"/>
    <numFmt numFmtId="172" formatCode="0.00&quot;% do PV&quot;"/>
    <numFmt numFmtId="173" formatCode="0.00%\ &quot;do PV&quot;"/>
    <numFmt numFmtId="174" formatCode="0.00000000000"/>
    <numFmt numFmtId="175" formatCode="#,##0.0"/>
    <numFmt numFmtId="176" formatCode="#,##0.000"/>
    <numFmt numFmtId="177" formatCode="&quot;(Previsão de &quot;#.##&quot; km por dia)&quot;"/>
    <numFmt numFmtId="178" formatCode="&quot;1/&quot;#&quot; do trecho&quot;"/>
    <numFmt numFmtId="179" formatCode="#&quot; semanas de pesquisa por segmento&quot;"/>
    <numFmt numFmtId="180" formatCode="_-[$R$-416]\ * #,##0.00_-;\-[$R$-416]\ * #,##0.00_-;_-[$R$-416]\ * &quot;-&quot;??_-;_-@_-"/>
  </numFmts>
  <fonts count="104">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b/>
      <sz val="11"/>
      <color rgb="FFFFFFFF"/>
      <name val="Arial"/>
      <family val="2"/>
    </font>
    <font>
      <sz val="11"/>
      <color rgb="FF000000"/>
      <name val="Arial"/>
      <family val="2"/>
    </font>
    <font>
      <sz val="9"/>
      <color rgb="FF000000"/>
      <name val="Arial"/>
      <family val="2"/>
    </font>
    <font>
      <sz val="10"/>
      <color rgb="FF000000"/>
      <name val="Arial"/>
      <family val="2"/>
    </font>
    <font>
      <b/>
      <u/>
      <sz val="11"/>
      <color theme="1"/>
      <name val="Calibri"/>
      <family val="2"/>
      <scheme val="minor"/>
    </font>
    <font>
      <b/>
      <sz val="11"/>
      <name val="Calibri"/>
      <family val="2"/>
      <scheme val="minor"/>
    </font>
    <font>
      <b/>
      <i/>
      <sz val="11"/>
      <color theme="4"/>
      <name val="Calibri"/>
      <family val="2"/>
      <scheme val="minor"/>
    </font>
    <font>
      <sz val="11"/>
      <color rgb="FF0070C0"/>
      <name val="Calibri"/>
      <family val="2"/>
      <scheme val="minor"/>
    </font>
    <font>
      <sz val="10"/>
      <color theme="1"/>
      <name val="Calibri"/>
      <family val="2"/>
      <scheme val="minor"/>
    </font>
    <font>
      <sz val="10"/>
      <color rgb="FF000000"/>
      <name val="Calibri"/>
      <family val="2"/>
      <scheme val="minor"/>
    </font>
    <font>
      <b/>
      <sz val="10"/>
      <color theme="1"/>
      <name val="Calibri"/>
      <family val="2"/>
      <scheme val="minor"/>
    </font>
    <font>
      <sz val="11"/>
      <color theme="0"/>
      <name val="Calibri"/>
      <family val="2"/>
      <scheme val="minor"/>
    </font>
    <font>
      <sz val="10"/>
      <name val="Arial"/>
      <family val="2"/>
    </font>
    <font>
      <sz val="12"/>
      <color rgb="FF000000"/>
      <name val="Calibri"/>
      <family val="2"/>
      <scheme val="minor"/>
    </font>
    <font>
      <sz val="8"/>
      <name val="Calibri"/>
      <family val="2"/>
      <scheme val="minor"/>
    </font>
    <font>
      <sz val="11"/>
      <name val="Calibri"/>
      <family val="2"/>
      <scheme val="minor"/>
    </font>
    <font>
      <sz val="9"/>
      <color indexed="81"/>
      <name val="Segoe UI"/>
      <family val="2"/>
    </font>
    <font>
      <b/>
      <sz val="9"/>
      <color indexed="81"/>
      <name val="Segoe UI"/>
      <family val="2"/>
    </font>
    <font>
      <sz val="11"/>
      <color indexed="8"/>
      <name val="Calibri"/>
      <family val="2"/>
      <scheme val="minor"/>
    </font>
    <font>
      <b/>
      <sz val="11"/>
      <name val="Calibri"/>
      <family val="2"/>
    </font>
    <font>
      <sz val="10"/>
      <name val="Calibri"/>
      <family val="2"/>
    </font>
    <font>
      <b/>
      <sz val="9"/>
      <color rgb="FF000000"/>
      <name val="Arial"/>
      <family val="2"/>
    </font>
    <font>
      <b/>
      <sz val="9"/>
      <name val="Arial"/>
      <family val="2"/>
    </font>
    <font>
      <sz val="8"/>
      <color rgb="FF000000"/>
      <name val="Arial"/>
      <family val="2"/>
    </font>
    <font>
      <b/>
      <sz val="8"/>
      <color rgb="FF000000"/>
      <name val="Arial"/>
      <family val="2"/>
    </font>
    <font>
      <b/>
      <sz val="10"/>
      <color rgb="FF000000"/>
      <name val="Arial"/>
      <family val="2"/>
    </font>
    <font>
      <sz val="7"/>
      <color rgb="FF000000"/>
      <name val="Arial"/>
      <family val="2"/>
    </font>
    <font>
      <b/>
      <sz val="7"/>
      <color rgb="FF000000"/>
      <name val="Arial"/>
      <family val="2"/>
    </font>
    <font>
      <b/>
      <sz val="11"/>
      <color rgb="FF000000"/>
      <name val="Arial"/>
      <family val="2"/>
    </font>
    <font>
      <sz val="7"/>
      <color theme="0" tint="-0.14999847407452621"/>
      <name val="Arial"/>
      <family val="2"/>
    </font>
    <font>
      <b/>
      <sz val="13"/>
      <color theme="1"/>
      <name val="Calibri"/>
      <family val="2"/>
      <scheme val="minor"/>
    </font>
    <font>
      <b/>
      <sz val="10"/>
      <color rgb="FF0070C0"/>
      <name val="Calibri"/>
      <family val="2"/>
      <scheme val="minor"/>
    </font>
    <font>
      <sz val="9"/>
      <name val="Calibri"/>
      <family val="2"/>
      <scheme val="minor"/>
    </font>
    <font>
      <sz val="9"/>
      <color theme="1"/>
      <name val="Calibri"/>
      <family val="2"/>
      <scheme val="minor"/>
    </font>
    <font>
      <b/>
      <sz val="12"/>
      <name val="Calibri"/>
      <family val="2"/>
      <scheme val="minor"/>
    </font>
    <font>
      <b/>
      <sz val="10"/>
      <name val="Arial"/>
      <family val="2"/>
    </font>
    <font>
      <b/>
      <sz val="12"/>
      <color rgb="FF0070C0"/>
      <name val="Arial"/>
      <family val="2"/>
    </font>
    <font>
      <b/>
      <sz val="11"/>
      <color rgb="FF000000"/>
      <name val="Calibri"/>
      <family val="2"/>
    </font>
    <font>
      <sz val="12"/>
      <color rgb="FF000000"/>
      <name val="Arial"/>
      <family val="2"/>
    </font>
    <font>
      <sz val="11"/>
      <color rgb="FF000000"/>
      <name val="Calibri"/>
      <family val="2"/>
    </font>
    <font>
      <u/>
      <sz val="11"/>
      <color theme="10"/>
      <name val="Calibri"/>
      <family val="2"/>
      <scheme val="minor"/>
    </font>
    <font>
      <sz val="10"/>
      <name val="Calibri"/>
      <family val="2"/>
      <scheme val="minor"/>
    </font>
    <font>
      <sz val="12"/>
      <color theme="0"/>
      <name val="Arial"/>
      <family val="2"/>
    </font>
    <font>
      <sz val="12"/>
      <color theme="1"/>
      <name val="Arial"/>
      <family val="2"/>
    </font>
    <font>
      <b/>
      <sz val="13"/>
      <color theme="1"/>
      <name val="Arial"/>
      <family val="2"/>
    </font>
    <font>
      <sz val="14"/>
      <color theme="1"/>
      <name val="Arial"/>
      <family val="2"/>
    </font>
    <font>
      <b/>
      <sz val="12"/>
      <color rgb="FFFFFFFF"/>
      <name val="Arial"/>
      <family val="2"/>
    </font>
    <font>
      <sz val="10"/>
      <color theme="0"/>
      <name val="Arial"/>
      <family val="2"/>
    </font>
    <font>
      <b/>
      <sz val="10"/>
      <color theme="0"/>
      <name val="Arial"/>
      <family val="2"/>
    </font>
    <font>
      <b/>
      <i/>
      <sz val="11"/>
      <color rgb="FF000000"/>
      <name val="Calibri"/>
      <family val="2"/>
    </font>
    <font>
      <b/>
      <sz val="11"/>
      <color rgb="FF00B050"/>
      <name val="Calibri"/>
      <family val="2"/>
    </font>
    <font>
      <b/>
      <sz val="10"/>
      <color rgb="FF00B050"/>
      <name val="Arial"/>
      <family val="2"/>
    </font>
    <font>
      <sz val="9"/>
      <color theme="1"/>
      <name val="Arial"/>
      <family val="2"/>
    </font>
    <font>
      <b/>
      <sz val="12"/>
      <color theme="0"/>
      <name val="Calibri"/>
      <family val="2"/>
      <scheme val="minor"/>
    </font>
    <font>
      <b/>
      <sz val="14"/>
      <color theme="0"/>
      <name val="Calibri"/>
      <family val="2"/>
      <scheme val="minor"/>
    </font>
    <font>
      <sz val="14"/>
      <color theme="1"/>
      <name val="Calibri"/>
      <family val="2"/>
      <scheme val="minor"/>
    </font>
    <font>
      <sz val="9"/>
      <name val="Arial"/>
      <family val="2"/>
    </font>
    <font>
      <b/>
      <sz val="10"/>
      <color theme="0"/>
      <name val="Calibri"/>
      <family val="2"/>
      <scheme val="minor"/>
    </font>
    <font>
      <b/>
      <sz val="11"/>
      <color theme="0"/>
      <name val="Calibri"/>
      <family val="2"/>
    </font>
    <font>
      <b/>
      <sz val="10"/>
      <name val="Calibri"/>
      <family val="2"/>
      <scheme val="minor"/>
    </font>
    <font>
      <b/>
      <sz val="11"/>
      <color rgb="FF000000"/>
      <name val="Calibri"/>
      <family val="2"/>
      <scheme val="minor"/>
    </font>
    <font>
      <b/>
      <sz val="11"/>
      <color theme="0"/>
      <name val="Calibri"/>
      <family val="2"/>
      <scheme val="minor"/>
    </font>
    <font>
      <sz val="10"/>
      <name val="Calibri Light"/>
      <family val="2"/>
      <scheme val="major"/>
    </font>
    <font>
      <b/>
      <sz val="10"/>
      <color theme="0"/>
      <name val="Calibri"/>
      <family val="2"/>
    </font>
    <font>
      <sz val="10"/>
      <color theme="0"/>
      <name val="Calibri"/>
      <family val="2"/>
      <scheme val="minor"/>
    </font>
    <font>
      <b/>
      <sz val="9"/>
      <color theme="0"/>
      <name val="Arial"/>
      <family val="2"/>
    </font>
    <font>
      <sz val="8"/>
      <color theme="1"/>
      <name val="Calibri"/>
      <family val="2"/>
      <scheme val="minor"/>
    </font>
    <font>
      <b/>
      <u/>
      <sz val="11"/>
      <color rgb="FF000000"/>
      <name val="Calibri"/>
      <family val="2"/>
      <scheme val="minor"/>
    </font>
    <font>
      <sz val="8"/>
      <color rgb="FF000000"/>
      <name val="Calibri"/>
      <family val="2"/>
      <scheme val="minor"/>
    </font>
    <font>
      <sz val="11"/>
      <color rgb="FF000000"/>
      <name val="Calibri"/>
      <family val="2"/>
      <scheme val="minor"/>
    </font>
    <font>
      <b/>
      <sz val="11"/>
      <color rgb="FFFF0000"/>
      <name val="Calibri"/>
      <family val="2"/>
      <scheme val="minor"/>
    </font>
    <font>
      <b/>
      <sz val="10"/>
      <color rgb="FFFF0000"/>
      <name val="Calibri"/>
      <family val="2"/>
      <scheme val="minor"/>
    </font>
    <font>
      <b/>
      <u/>
      <sz val="11"/>
      <color rgb="FFFF0000"/>
      <name val="Calibri"/>
      <family val="2"/>
      <scheme val="minor"/>
    </font>
    <font>
      <sz val="10"/>
      <color rgb="FFFF0000"/>
      <name val="Calibri"/>
      <family val="2"/>
      <scheme val="minor"/>
    </font>
    <font>
      <b/>
      <u/>
      <sz val="11"/>
      <name val="Calibri"/>
      <family val="2"/>
      <scheme val="minor"/>
    </font>
    <font>
      <sz val="11"/>
      <name val="Arial"/>
      <family val="2"/>
    </font>
    <font>
      <b/>
      <sz val="11"/>
      <name val="Arial"/>
      <family val="2"/>
    </font>
    <font>
      <b/>
      <sz val="7"/>
      <name val="Arial"/>
      <family val="2"/>
    </font>
    <font>
      <b/>
      <sz val="7"/>
      <color theme="1"/>
      <name val="Arial"/>
      <family val="2"/>
    </font>
    <font>
      <b/>
      <sz val="11"/>
      <color theme="1"/>
      <name val="Arial"/>
      <family val="2"/>
    </font>
    <font>
      <sz val="7"/>
      <color theme="4" tint="-0.249977111117893"/>
      <name val="Arial"/>
      <family val="2"/>
    </font>
    <font>
      <b/>
      <sz val="10"/>
      <color theme="1"/>
      <name val="Arial"/>
      <family val="2"/>
    </font>
    <font>
      <b/>
      <sz val="8"/>
      <name val="Arial"/>
      <family val="2"/>
    </font>
    <font>
      <b/>
      <sz val="12"/>
      <color theme="0"/>
      <name val="Arial"/>
      <family val="2"/>
    </font>
    <font>
      <sz val="12"/>
      <color theme="0"/>
      <name val="Calibri"/>
      <family val="2"/>
      <scheme val="minor"/>
    </font>
    <font>
      <b/>
      <u/>
      <sz val="12"/>
      <color theme="0"/>
      <name val="Calibri"/>
      <family val="2"/>
      <scheme val="minor"/>
    </font>
    <font>
      <b/>
      <i/>
      <sz val="10"/>
      <color theme="0"/>
      <name val="Calibri"/>
      <family val="2"/>
      <scheme val="minor"/>
    </font>
    <font>
      <b/>
      <sz val="11"/>
      <color theme="4" tint="-0.499984740745262"/>
      <name val="Calibri"/>
      <family val="2"/>
      <scheme val="minor"/>
    </font>
    <font>
      <sz val="11"/>
      <color theme="1" tint="0.34998626667073579"/>
      <name val="Calibri"/>
      <family val="2"/>
      <scheme val="minor"/>
    </font>
    <font>
      <sz val="9"/>
      <color rgb="FF000000"/>
      <name val="Calibri"/>
      <family val="2"/>
      <scheme val="minor"/>
    </font>
    <font>
      <u/>
      <sz val="10"/>
      <color theme="10"/>
      <name val="Calibri"/>
      <family val="2"/>
      <scheme val="minor"/>
    </font>
    <font>
      <b/>
      <sz val="9"/>
      <color rgb="FF000000"/>
      <name val="Calibri"/>
      <family val="2"/>
      <scheme val="minor"/>
    </font>
    <font>
      <b/>
      <sz val="9"/>
      <color theme="1"/>
      <name val="Calibri"/>
      <family val="2"/>
      <scheme val="minor"/>
    </font>
    <font>
      <sz val="10"/>
      <color theme="1"/>
      <name val="Arial"/>
      <family val="2"/>
    </font>
    <font>
      <b/>
      <sz val="8"/>
      <name val="Calibri"/>
      <family val="2"/>
      <scheme val="minor"/>
    </font>
    <font>
      <b/>
      <sz val="9"/>
      <color theme="0"/>
      <name val="Calibri"/>
      <family val="2"/>
      <scheme val="minor"/>
    </font>
    <font>
      <b/>
      <sz val="9"/>
      <color theme="1"/>
      <name val="Arial"/>
      <family val="2"/>
    </font>
    <font>
      <sz val="8"/>
      <name val="Calibri Light"/>
      <family val="2"/>
      <scheme val="major"/>
    </font>
    <font>
      <sz val="9"/>
      <name val="Calibri Light"/>
      <family val="2"/>
      <scheme val="major"/>
    </font>
  </fonts>
  <fills count="20">
    <fill>
      <patternFill patternType="none"/>
    </fill>
    <fill>
      <patternFill patternType="gray125"/>
    </fill>
    <fill>
      <patternFill patternType="solid">
        <fgColor rgb="FF002E6E"/>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2" tint="-4.9989318521683403E-2"/>
        <bgColor rgb="FFD9D9D9"/>
      </patternFill>
    </fill>
    <fill>
      <patternFill patternType="solid">
        <fgColor theme="2" tint="-4.9989318521683403E-2"/>
        <bgColor indexed="64"/>
      </patternFill>
    </fill>
    <fill>
      <patternFill patternType="solid">
        <fgColor theme="0" tint="-0.34998626667073579"/>
        <bgColor rgb="FFD9D9D9"/>
      </patternFill>
    </fill>
    <fill>
      <patternFill patternType="solid">
        <fgColor theme="0" tint="-0.34998626667073579"/>
        <bgColor indexed="64"/>
      </patternFill>
    </fill>
    <fill>
      <patternFill patternType="solid">
        <fgColor theme="5" tint="0.79998168889431442"/>
        <bgColor indexed="64"/>
      </patternFill>
    </fill>
    <fill>
      <patternFill patternType="solid">
        <fgColor theme="8" tint="0.39997558519241921"/>
        <bgColor indexed="65"/>
      </patternFill>
    </fill>
    <fill>
      <patternFill patternType="solid">
        <fgColor rgb="FF008080"/>
        <bgColor indexed="64"/>
      </patternFill>
    </fill>
    <fill>
      <patternFill patternType="solid">
        <fgColor rgb="FFFFFFFF"/>
        <bgColor rgb="FF000000"/>
      </patternFill>
    </fill>
    <fill>
      <patternFill patternType="solid">
        <fgColor theme="1"/>
        <bgColor indexed="64"/>
      </patternFill>
    </fill>
    <fill>
      <patternFill patternType="solid">
        <fgColor theme="0" tint="-0.14999847407452621"/>
        <bgColor rgb="FFD9D9D9"/>
      </patternFill>
    </fill>
    <fill>
      <patternFill patternType="solid">
        <fgColor theme="9" tint="0.79998168889431442"/>
        <bgColor indexed="64"/>
      </patternFill>
    </fill>
    <fill>
      <patternFill patternType="solid">
        <fgColor rgb="FF000066"/>
        <bgColor indexed="64"/>
      </patternFill>
    </fill>
  </fills>
  <borders count="7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style="thin">
        <color indexed="64"/>
      </top>
      <bottom style="thin">
        <color theme="0"/>
      </bottom>
      <diagonal/>
    </border>
    <border>
      <left/>
      <right style="thin">
        <color indexed="64"/>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style="thin">
        <color theme="0"/>
      </left>
      <right style="thin">
        <color indexed="64"/>
      </right>
      <top style="thin">
        <color indexed="64"/>
      </top>
      <bottom/>
      <diagonal/>
    </border>
    <border>
      <left style="thin">
        <color indexed="64"/>
      </left>
      <right style="thin">
        <color theme="0"/>
      </right>
      <top style="thin">
        <color theme="0"/>
      </top>
      <bottom style="thin">
        <color indexed="64"/>
      </bottom>
      <diagonal/>
    </border>
    <border>
      <left/>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style="medium">
        <color indexed="64"/>
      </left>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top/>
      <bottom style="thick">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002060"/>
      </top>
      <bottom style="thin">
        <color rgb="FF002060"/>
      </bottom>
      <diagonal/>
    </border>
    <border>
      <left style="thin">
        <color indexed="64"/>
      </left>
      <right style="hair">
        <color indexed="64"/>
      </right>
      <top/>
      <bottom style="thin">
        <color indexed="64"/>
      </bottom>
      <diagonal/>
    </border>
    <border>
      <left/>
      <right style="thin">
        <color rgb="FF000000"/>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diagonal/>
    </border>
    <border>
      <left/>
      <right style="hair">
        <color indexed="64"/>
      </right>
      <top style="thin">
        <color indexed="64"/>
      </top>
      <bottom style="thin">
        <color indexed="64"/>
      </bottom>
      <diagonal/>
    </border>
  </borders>
  <cellStyleXfs count="21">
    <xf numFmtId="0" fontId="0" fillId="0" borderId="0"/>
    <xf numFmtId="9" fontId="1" fillId="0" borderId="0" applyFont="0" applyFill="0" applyBorder="0" applyAlignment="0" applyProtection="0"/>
    <xf numFmtId="0" fontId="4" fillId="0" borderId="0"/>
    <xf numFmtId="9" fontId="4" fillId="0" borderId="0" applyFont="0" applyFill="0" applyBorder="0" applyAlignment="0" applyProtection="0"/>
    <xf numFmtId="0" fontId="17" fillId="0" borderId="0"/>
    <xf numFmtId="0" fontId="23"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0" fontId="1" fillId="0" borderId="0"/>
    <xf numFmtId="9" fontId="1" fillId="0" borderId="0" applyFont="0" applyFill="0" applyBorder="0" applyAlignment="0" applyProtection="0"/>
    <xf numFmtId="43" fontId="8" fillId="0" borderId="0" applyFont="0" applyFill="0" applyBorder="0" applyAlignment="0" applyProtection="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16" fillId="13"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787">
    <xf numFmtId="0" fontId="0" fillId="0" borderId="0" xfId="0"/>
    <xf numFmtId="0" fontId="4" fillId="0" borderId="0" xfId="2"/>
    <xf numFmtId="10" fontId="6" fillId="0" borderId="2" xfId="3" applyNumberFormat="1" applyFont="1" applyBorder="1" applyAlignment="1">
      <alignment horizontal="center" vertical="center" wrapText="1"/>
    </xf>
    <xf numFmtId="0" fontId="0" fillId="3" borderId="2" xfId="0" applyFill="1" applyBorder="1"/>
    <xf numFmtId="0" fontId="0" fillId="3" borderId="0" xfId="0" applyFill="1"/>
    <xf numFmtId="0" fontId="0" fillId="3" borderId="7" xfId="0" applyFill="1" applyBorder="1"/>
    <xf numFmtId="0" fontId="0" fillId="3" borderId="9" xfId="0" applyFill="1" applyBorder="1"/>
    <xf numFmtId="0" fontId="0" fillId="3" borderId="10" xfId="0" applyFill="1" applyBorder="1"/>
    <xf numFmtId="0" fontId="0" fillId="3" borderId="11" xfId="0" applyFill="1" applyBorder="1"/>
    <xf numFmtId="0" fontId="0" fillId="3" borderId="12" xfId="0" applyFill="1" applyBorder="1"/>
    <xf numFmtId="0" fontId="0" fillId="3" borderId="13" xfId="0" applyFill="1" applyBorder="1"/>
    <xf numFmtId="0" fontId="3" fillId="3" borderId="13" xfId="0" applyFont="1" applyFill="1" applyBorder="1"/>
    <xf numFmtId="17" fontId="10" fillId="3" borderId="14" xfId="0" applyNumberFormat="1" applyFont="1" applyFill="1" applyBorder="1"/>
    <xf numFmtId="0" fontId="10" fillId="3" borderId="14" xfId="0" applyFont="1" applyFill="1" applyBorder="1"/>
    <xf numFmtId="0" fontId="10" fillId="3" borderId="14" xfId="0" applyFont="1" applyFill="1" applyBorder="1" applyAlignment="1">
      <alignment horizontal="right"/>
    </xf>
    <xf numFmtId="0" fontId="3" fillId="3" borderId="15" xfId="0" applyFont="1" applyFill="1" applyBorder="1" applyAlignment="1">
      <alignment horizontal="left"/>
    </xf>
    <xf numFmtId="0" fontId="3" fillId="3" borderId="16" xfId="0" applyFont="1" applyFill="1" applyBorder="1" applyAlignment="1">
      <alignment horizontal="center"/>
    </xf>
    <xf numFmtId="0" fontId="10" fillId="3" borderId="16" xfId="0" applyFont="1" applyFill="1" applyBorder="1" applyAlignment="1">
      <alignment horizontal="right"/>
    </xf>
    <xf numFmtId="0" fontId="3" fillId="3" borderId="0" xfId="0" applyFont="1" applyFill="1" applyAlignment="1">
      <alignment horizontal="center"/>
    </xf>
    <xf numFmtId="0" fontId="10" fillId="3" borderId="11" xfId="0" applyFont="1" applyFill="1" applyBorder="1" applyAlignment="1">
      <alignment horizontal="center"/>
    </xf>
    <xf numFmtId="0" fontId="3" fillId="3" borderId="7" xfId="0" applyFont="1" applyFill="1" applyBorder="1" applyAlignment="1">
      <alignment horizontal="center"/>
    </xf>
    <xf numFmtId="0" fontId="3" fillId="3" borderId="11" xfId="0" applyFont="1" applyFill="1" applyBorder="1" applyAlignment="1">
      <alignment horizontal="center"/>
    </xf>
    <xf numFmtId="0" fontId="3" fillId="3" borderId="15" xfId="0" applyFont="1" applyFill="1" applyBorder="1"/>
    <xf numFmtId="0" fontId="3" fillId="3" borderId="19" xfId="0" applyFont="1" applyFill="1" applyBorder="1"/>
    <xf numFmtId="0" fontId="3" fillId="3" borderId="20" xfId="0" applyFont="1" applyFill="1" applyBorder="1"/>
    <xf numFmtId="0" fontId="3" fillId="3" borderId="21" xfId="0" applyFont="1" applyFill="1" applyBorder="1"/>
    <xf numFmtId="0" fontId="3" fillId="3" borderId="2" xfId="0" applyFont="1" applyFill="1" applyBorder="1" applyAlignment="1">
      <alignment horizontal="center"/>
    </xf>
    <xf numFmtId="0" fontId="3" fillId="3" borderId="4" xfId="0" applyFont="1" applyFill="1" applyBorder="1" applyAlignment="1">
      <alignment horizontal="center" vertical="top"/>
    </xf>
    <xf numFmtId="0" fontId="3" fillId="3" borderId="22" xfId="0" applyFont="1" applyFill="1" applyBorder="1"/>
    <xf numFmtId="0" fontId="3" fillId="3" borderId="23" xfId="0" applyFont="1" applyFill="1" applyBorder="1"/>
    <xf numFmtId="0" fontId="3" fillId="3" borderId="24" xfId="0" applyFont="1" applyFill="1" applyBorder="1"/>
    <xf numFmtId="0" fontId="3" fillId="3" borderId="25" xfId="0" applyFont="1" applyFill="1" applyBorder="1"/>
    <xf numFmtId="0" fontId="3" fillId="3" borderId="26" xfId="0" applyFont="1" applyFill="1" applyBorder="1" applyAlignment="1">
      <alignment horizontal="center" vertical="top"/>
    </xf>
    <xf numFmtId="0" fontId="0" fillId="3" borderId="18" xfId="0" applyFill="1" applyBorder="1" applyAlignment="1">
      <alignment horizontal="center" vertical="center"/>
    </xf>
    <xf numFmtId="4" fontId="0" fillId="3" borderId="4" xfId="0" applyNumberFormat="1" applyFill="1" applyBorder="1"/>
    <xf numFmtId="4" fontId="0" fillId="3" borderId="6" xfId="0" applyNumberFormat="1" applyFill="1" applyBorder="1"/>
    <xf numFmtId="4" fontId="0" fillId="3" borderId="11" xfId="0" applyNumberFormat="1" applyFill="1" applyBorder="1"/>
    <xf numFmtId="0" fontId="0" fillId="3" borderId="18" xfId="0" applyFill="1" applyBorder="1"/>
    <xf numFmtId="0" fontId="0" fillId="3" borderId="6" xfId="0" applyFill="1" applyBorder="1"/>
    <xf numFmtId="0" fontId="0" fillId="3" borderId="27" xfId="0" applyFill="1" applyBorder="1"/>
    <xf numFmtId="0" fontId="0" fillId="3" borderId="28" xfId="0" applyFill="1" applyBorder="1"/>
    <xf numFmtId="0" fontId="0" fillId="3" borderId="5" xfId="0" applyFill="1" applyBorder="1"/>
    <xf numFmtId="4" fontId="0" fillId="3" borderId="5" xfId="0" applyNumberFormat="1" applyFill="1" applyBorder="1"/>
    <xf numFmtId="4" fontId="0" fillId="3" borderId="28" xfId="0" applyNumberFormat="1" applyFill="1" applyBorder="1"/>
    <xf numFmtId="0" fontId="3" fillId="3" borderId="3" xfId="0" applyFont="1" applyFill="1" applyBorder="1"/>
    <xf numFmtId="0" fontId="0" fillId="3" borderId="29" xfId="0" applyFill="1" applyBorder="1"/>
    <xf numFmtId="4" fontId="0" fillId="3" borderId="29" xfId="0" applyNumberFormat="1" applyFill="1" applyBorder="1"/>
    <xf numFmtId="4" fontId="0" fillId="3" borderId="1" xfId="0" applyNumberFormat="1" applyFill="1" applyBorder="1"/>
    <xf numFmtId="4" fontId="0" fillId="3" borderId="2" xfId="0" applyNumberFormat="1" applyFill="1" applyBorder="1"/>
    <xf numFmtId="0" fontId="3" fillId="3" borderId="3" xfId="0" applyFont="1" applyFill="1" applyBorder="1" applyAlignment="1">
      <alignment vertical="center"/>
    </xf>
    <xf numFmtId="0" fontId="3" fillId="3" borderId="2" xfId="0" applyFont="1" applyFill="1" applyBorder="1" applyAlignment="1">
      <alignment horizontal="center" vertical="center" wrapText="1"/>
    </xf>
    <xf numFmtId="0" fontId="0" fillId="3" borderId="0" xfId="0" applyFill="1" applyAlignment="1">
      <alignment vertical="center"/>
    </xf>
    <xf numFmtId="0" fontId="12" fillId="3" borderId="11" xfId="0" applyFont="1" applyFill="1" applyBorder="1" applyAlignment="1">
      <alignment horizontal="center"/>
    </xf>
    <xf numFmtId="2" fontId="0" fillId="3" borderId="18" xfId="0" applyNumberFormat="1" applyFill="1" applyBorder="1"/>
    <xf numFmtId="9" fontId="12" fillId="3" borderId="0" xfId="1" applyFont="1" applyFill="1" applyBorder="1"/>
    <xf numFmtId="0" fontId="12" fillId="3" borderId="0" xfId="0" applyFont="1" applyFill="1"/>
    <xf numFmtId="4" fontId="0" fillId="3" borderId="0" xfId="0" applyNumberFormat="1" applyFill="1" applyAlignment="1">
      <alignment horizontal="center"/>
    </xf>
    <xf numFmtId="0" fontId="0" fillId="3" borderId="0" xfId="0" applyFill="1" applyAlignment="1">
      <alignment horizontal="center"/>
    </xf>
    <xf numFmtId="4" fontId="0" fillId="3" borderId="0" xfId="0" applyNumberFormat="1" applyFill="1"/>
    <xf numFmtId="4" fontId="0" fillId="3" borderId="6" xfId="0" applyNumberFormat="1" applyFill="1" applyBorder="1" applyAlignment="1">
      <alignment horizontal="center"/>
    </xf>
    <xf numFmtId="4" fontId="0" fillId="3" borderId="7" xfId="0" applyNumberFormat="1" applyFill="1" applyBorder="1"/>
    <xf numFmtId="4" fontId="0" fillId="3" borderId="5" xfId="0" applyNumberFormat="1" applyFill="1" applyBorder="1" applyAlignment="1">
      <alignment horizontal="center"/>
    </xf>
    <xf numFmtId="0" fontId="2" fillId="3" borderId="29" xfId="0" applyFont="1" applyFill="1" applyBorder="1"/>
    <xf numFmtId="0" fontId="0" fillId="3" borderId="1" xfId="0" applyFill="1" applyBorder="1"/>
    <xf numFmtId="0" fontId="0" fillId="3" borderId="3" xfId="0" applyFill="1" applyBorder="1"/>
    <xf numFmtId="0" fontId="3" fillId="3" borderId="4" xfId="0" applyFont="1" applyFill="1" applyBorder="1" applyAlignment="1">
      <alignment horizontal="center"/>
    </xf>
    <xf numFmtId="0" fontId="3" fillId="3" borderId="4" xfId="0" applyFont="1" applyFill="1" applyBorder="1" applyAlignment="1">
      <alignment horizontal="center" wrapText="1"/>
    </xf>
    <xf numFmtId="0" fontId="3" fillId="3" borderId="16" xfId="0" applyFont="1" applyFill="1" applyBorder="1"/>
    <xf numFmtId="0" fontId="3" fillId="3" borderId="17" xfId="0" applyFont="1" applyFill="1" applyBorder="1"/>
    <xf numFmtId="0" fontId="3" fillId="3" borderId="27" xfId="0" applyFont="1" applyFill="1" applyBorder="1"/>
    <xf numFmtId="0" fontId="3" fillId="3" borderId="7" xfId="0" applyFont="1" applyFill="1" applyBorder="1"/>
    <xf numFmtId="0" fontId="3" fillId="3" borderId="28" xfId="0" applyFont="1" applyFill="1" applyBorder="1"/>
    <xf numFmtId="0" fontId="3" fillId="3" borderId="5" xfId="0" applyFont="1" applyFill="1" applyBorder="1" applyAlignment="1">
      <alignment horizontal="center"/>
    </xf>
    <xf numFmtId="0" fontId="0" fillId="3" borderId="16" xfId="0" applyFill="1" applyBorder="1"/>
    <xf numFmtId="0" fontId="3" fillId="3" borderId="29" xfId="0" applyFont="1" applyFill="1" applyBorder="1"/>
    <xf numFmtId="4" fontId="3" fillId="3" borderId="2" xfId="0" applyNumberFormat="1" applyFont="1" applyFill="1" applyBorder="1"/>
    <xf numFmtId="10" fontId="3" fillId="3" borderId="29" xfId="0" applyNumberFormat="1" applyFont="1" applyFill="1" applyBorder="1"/>
    <xf numFmtId="0" fontId="9" fillId="3" borderId="8" xfId="0" applyFont="1" applyFill="1" applyBorder="1"/>
    <xf numFmtId="0" fontId="13" fillId="0" borderId="0" xfId="0" applyFont="1"/>
    <xf numFmtId="0" fontId="13" fillId="0" borderId="0" xfId="0" applyFont="1" applyAlignment="1">
      <alignment horizontal="center"/>
    </xf>
    <xf numFmtId="0" fontId="14" fillId="0" borderId="30" xfId="0" applyFont="1" applyBorder="1" applyAlignment="1">
      <alignment horizontal="center" vertical="center" wrapText="1"/>
    </xf>
    <xf numFmtId="0" fontId="14" fillId="0" borderId="5" xfId="0" applyFont="1" applyBorder="1" applyAlignment="1">
      <alignment vertical="center" wrapText="1"/>
    </xf>
    <xf numFmtId="0" fontId="13" fillId="0" borderId="0" xfId="0" applyFont="1" applyAlignment="1">
      <alignment vertical="center" wrapText="1"/>
    </xf>
    <xf numFmtId="0" fontId="3" fillId="3" borderId="29" xfId="0" applyFont="1" applyFill="1" applyBorder="1" applyAlignment="1">
      <alignment vertical="center"/>
    </xf>
    <xf numFmtId="0" fontId="3" fillId="3" borderId="2" xfId="0" applyFont="1" applyFill="1" applyBorder="1" applyAlignment="1">
      <alignment horizontal="center" vertical="center"/>
    </xf>
    <xf numFmtId="0" fontId="14" fillId="0" borderId="0" xfId="0" applyFont="1" applyAlignment="1">
      <alignment vertical="center" wrapText="1"/>
    </xf>
    <xf numFmtId="0" fontId="14" fillId="0" borderId="0" xfId="0" applyFont="1" applyAlignment="1">
      <alignment horizontal="center" vertical="center" wrapText="1"/>
    </xf>
    <xf numFmtId="0" fontId="0" fillId="3" borderId="0" xfId="0" applyFill="1" applyAlignment="1">
      <alignment horizontal="center" vertical="center"/>
    </xf>
    <xf numFmtId="0" fontId="0" fillId="3" borderId="29" xfId="0" applyFill="1" applyBorder="1" applyAlignment="1">
      <alignment vertical="center"/>
    </xf>
    <xf numFmtId="2" fontId="0" fillId="3" borderId="2" xfId="0" applyNumberFormat="1" applyFill="1" applyBorder="1" applyAlignment="1">
      <alignment horizontal="center" vertical="center" wrapText="1"/>
    </xf>
    <xf numFmtId="0" fontId="0" fillId="3" borderId="0" xfId="0" applyFill="1" applyAlignment="1">
      <alignment vertical="center" wrapText="1"/>
    </xf>
    <xf numFmtId="0" fontId="0" fillId="3" borderId="31" xfId="0" applyFill="1" applyBorder="1" applyAlignment="1">
      <alignment horizontal="center" vertical="center"/>
    </xf>
    <xf numFmtId="0" fontId="0" fillId="3" borderId="32" xfId="0" applyFill="1" applyBorder="1" applyAlignment="1">
      <alignment horizontal="center" vertical="center"/>
    </xf>
    <xf numFmtId="0" fontId="0" fillId="3" borderId="2" xfId="0" applyFill="1" applyBorder="1" applyAlignment="1">
      <alignment horizontal="center" vertical="center"/>
    </xf>
    <xf numFmtId="2" fontId="10" fillId="3" borderId="17" xfId="0" applyNumberFormat="1" applyFont="1" applyFill="1" applyBorder="1" applyAlignment="1">
      <alignment horizontal="center"/>
    </xf>
    <xf numFmtId="0" fontId="11" fillId="3" borderId="29"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3" borderId="0" xfId="0" applyFont="1" applyFill="1" applyAlignment="1">
      <alignment horizont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4" fontId="6" fillId="0" borderId="2" xfId="0" applyNumberFormat="1" applyFont="1" applyBorder="1" applyAlignment="1">
      <alignment horizontal="right" vertical="center" wrapText="1"/>
    </xf>
    <xf numFmtId="4" fontId="6" fillId="0" borderId="3" xfId="0" applyNumberFormat="1" applyFont="1" applyBorder="1" applyAlignment="1">
      <alignment horizontal="right" vertical="center" wrapText="1"/>
    </xf>
    <xf numFmtId="0" fontId="0" fillId="3" borderId="0" xfId="0" applyFill="1" applyAlignment="1">
      <alignment horizontal="left"/>
    </xf>
    <xf numFmtId="4" fontId="0" fillId="3" borderId="4" xfId="0" applyNumberFormat="1" applyFill="1" applyBorder="1" applyAlignment="1">
      <alignment horizontal="center"/>
    </xf>
    <xf numFmtId="4" fontId="0" fillId="3" borderId="4" xfId="0" applyNumberFormat="1" applyFill="1" applyBorder="1" applyAlignment="1">
      <alignment horizontal="center" vertical="center"/>
    </xf>
    <xf numFmtId="4" fontId="0" fillId="3" borderId="6" xfId="0" applyNumberFormat="1" applyFill="1" applyBorder="1" applyAlignment="1">
      <alignment horizontal="center" vertical="center"/>
    </xf>
    <xf numFmtId="0" fontId="3" fillId="5" borderId="2" xfId="0" applyFont="1" applyFill="1"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left" vertical="center" wrapText="1"/>
    </xf>
    <xf numFmtId="164" fontId="0" fillId="0" borderId="3" xfId="0" applyNumberFormat="1" applyBorder="1" applyAlignment="1">
      <alignment horizontal="center" vertical="center" wrapText="1"/>
    </xf>
    <xf numFmtId="0" fontId="0" fillId="0" borderId="3" xfId="0" applyBorder="1" applyAlignment="1">
      <alignment horizontal="center" vertical="center" wrapText="1"/>
    </xf>
    <xf numFmtId="4" fontId="0" fillId="0" borderId="0" xfId="0" applyNumberFormat="1"/>
    <xf numFmtId="4" fontId="18" fillId="0" borderId="0" xfId="0" applyNumberFormat="1" applyFont="1"/>
    <xf numFmtId="4" fontId="0" fillId="0" borderId="0" xfId="0" applyNumberFormat="1" applyAlignment="1">
      <alignment horizontal="center" vertical="center" wrapText="1"/>
    </xf>
    <xf numFmtId="4" fontId="0" fillId="3" borderId="4" xfId="0" applyNumberFormat="1" applyFill="1" applyBorder="1" applyAlignment="1">
      <alignment vertical="center"/>
    </xf>
    <xf numFmtId="4" fontId="0" fillId="3" borderId="6"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3" borderId="33" xfId="0" applyFill="1" applyBorder="1" applyAlignment="1">
      <alignment horizontal="center" vertical="center"/>
    </xf>
    <xf numFmtId="0" fontId="20" fillId="3" borderId="4" xfId="0" applyFont="1" applyFill="1" applyBorder="1" applyAlignment="1">
      <alignment horizontal="center" vertical="center" wrapText="1"/>
    </xf>
    <xf numFmtId="0" fontId="20" fillId="3" borderId="4" xfId="0" applyFont="1" applyFill="1" applyBorder="1" applyAlignment="1">
      <alignment horizontal="center" wrapText="1"/>
    </xf>
    <xf numFmtId="0" fontId="20" fillId="3" borderId="4" xfId="2" applyFont="1" applyFill="1" applyBorder="1" applyAlignment="1">
      <alignment horizontal="center" textRotation="90"/>
    </xf>
    <xf numFmtId="0" fontId="20" fillId="3" borderId="15" xfId="2" applyFont="1" applyFill="1" applyBorder="1" applyAlignment="1">
      <alignment horizontal="center" textRotation="90"/>
    </xf>
    <xf numFmtId="0" fontId="20" fillId="3" borderId="0" xfId="0" applyFont="1" applyFill="1" applyAlignment="1">
      <alignment vertical="center"/>
    </xf>
    <xf numFmtId="1" fontId="0" fillId="3" borderId="31" xfId="0" applyNumberFormat="1" applyFill="1" applyBorder="1" applyAlignment="1">
      <alignment horizontal="center" vertical="center" wrapText="1"/>
    </xf>
    <xf numFmtId="1" fontId="0" fillId="3" borderId="32" xfId="0" applyNumberFormat="1" applyFill="1" applyBorder="1" applyAlignment="1">
      <alignment horizontal="center" vertical="center"/>
    </xf>
    <xf numFmtId="0" fontId="16" fillId="6" borderId="0" xfId="0" applyFont="1" applyFill="1" applyAlignment="1">
      <alignment vertical="center"/>
    </xf>
    <xf numFmtId="0" fontId="26" fillId="3" borderId="0" xfId="6" applyFont="1" applyFill="1"/>
    <xf numFmtId="0" fontId="7" fillId="3" borderId="0" xfId="6" applyFont="1" applyFill="1" applyAlignment="1">
      <alignment horizontal="center" vertical="center"/>
    </xf>
    <xf numFmtId="0" fontId="7" fillId="0" borderId="0" xfId="6" applyFont="1" applyAlignment="1">
      <alignment horizontal="center" vertical="center"/>
    </xf>
    <xf numFmtId="0" fontId="7" fillId="0" borderId="0" xfId="6" applyFont="1" applyAlignment="1">
      <alignment horizontal="center" vertical="center" wrapText="1"/>
    </xf>
    <xf numFmtId="0" fontId="26" fillId="0" borderId="2" xfId="6" applyFont="1" applyBorder="1" applyAlignment="1">
      <alignment horizontal="left" vertical="center" wrapText="1" indent="1"/>
    </xf>
    <xf numFmtId="166" fontId="7" fillId="0" borderId="0" xfId="6" applyNumberFormat="1" applyFont="1" applyAlignment="1">
      <alignment horizontal="center" vertical="center"/>
    </xf>
    <xf numFmtId="0" fontId="7" fillId="0" borderId="0" xfId="6" applyFont="1" applyAlignment="1">
      <alignment horizontal="left" vertical="center"/>
    </xf>
    <xf numFmtId="43" fontId="7" fillId="0" borderId="0" xfId="6" applyNumberFormat="1" applyFont="1" applyAlignment="1">
      <alignment horizontal="center" vertical="center"/>
    </xf>
    <xf numFmtId="0" fontId="8" fillId="0" borderId="0" xfId="6" applyAlignment="1">
      <alignment horizontal="left" vertical="center"/>
    </xf>
    <xf numFmtId="0" fontId="34" fillId="0" borderId="0" xfId="6" applyFont="1" applyAlignment="1">
      <alignment vertical="center"/>
    </xf>
    <xf numFmtId="0" fontId="8" fillId="0" borderId="0" xfId="6" applyAlignment="1">
      <alignment vertical="center"/>
    </xf>
    <xf numFmtId="0" fontId="1" fillId="3" borderId="0" xfId="12" applyFill="1" applyAlignment="1">
      <alignment vertical="center"/>
    </xf>
    <xf numFmtId="0" fontId="1" fillId="3" borderId="0" xfId="12" applyFill="1" applyAlignment="1">
      <alignment horizontal="center" vertical="center"/>
    </xf>
    <xf numFmtId="0" fontId="1" fillId="3" borderId="0" xfId="12" applyFill="1" applyAlignment="1" applyProtection="1">
      <alignment vertical="center"/>
      <protection locked="0"/>
    </xf>
    <xf numFmtId="0" fontId="9" fillId="3" borderId="0" xfId="12" applyFont="1" applyFill="1" applyAlignment="1" applyProtection="1">
      <alignment vertical="center"/>
      <protection locked="0"/>
    </xf>
    <xf numFmtId="0" fontId="37" fillId="3" borderId="0" xfId="12" applyFont="1" applyFill="1" applyAlignment="1" applyProtection="1">
      <alignment vertical="center"/>
      <protection locked="0"/>
    </xf>
    <xf numFmtId="17" fontId="38" fillId="12" borderId="0" xfId="12" applyNumberFormat="1" applyFont="1" applyFill="1" applyAlignment="1" applyProtection="1">
      <alignment horizontal="left" vertical="center"/>
      <protection locked="0"/>
    </xf>
    <xf numFmtId="2" fontId="1" fillId="3" borderId="0" xfId="12" applyNumberFormat="1" applyFill="1" applyAlignment="1" applyProtection="1">
      <alignment vertical="center"/>
      <protection locked="0"/>
    </xf>
    <xf numFmtId="0" fontId="39" fillId="3" borderId="2" xfId="12" applyFont="1" applyFill="1" applyBorder="1" applyAlignment="1">
      <alignment horizontal="center" vertical="center"/>
    </xf>
    <xf numFmtId="169" fontId="38" fillId="12" borderId="0" xfId="12" applyNumberFormat="1" applyFont="1" applyFill="1" applyAlignment="1" applyProtection="1">
      <alignment horizontal="left" vertical="center"/>
      <protection locked="0"/>
    </xf>
    <xf numFmtId="0" fontId="10" fillId="3" borderId="0" xfId="12" applyFont="1" applyFill="1" applyAlignment="1">
      <alignment vertical="center"/>
    </xf>
    <xf numFmtId="0" fontId="20" fillId="3" borderId="4" xfId="12" applyFont="1" applyFill="1" applyBorder="1" applyAlignment="1">
      <alignment horizontal="left" vertical="center"/>
    </xf>
    <xf numFmtId="2" fontId="1" fillId="3" borderId="18" xfId="12" applyNumberFormat="1" applyFill="1" applyBorder="1" applyAlignment="1">
      <alignment horizontal="center" vertical="center"/>
    </xf>
    <xf numFmtId="170" fontId="38" fillId="12" borderId="0" xfId="12" applyNumberFormat="1" applyFont="1" applyFill="1" applyAlignment="1" applyProtection="1">
      <alignment horizontal="left" vertical="center"/>
      <protection locked="0"/>
    </xf>
    <xf numFmtId="2" fontId="12" fillId="3" borderId="0" xfId="12" applyNumberFormat="1" applyFont="1" applyFill="1" applyAlignment="1" applyProtection="1">
      <alignment horizontal="center" vertical="center"/>
      <protection locked="0"/>
    </xf>
    <xf numFmtId="0" fontId="10" fillId="3" borderId="0" xfId="12" applyFont="1" applyFill="1" applyAlignment="1" applyProtection="1">
      <alignment vertical="center"/>
      <protection locked="0"/>
    </xf>
    <xf numFmtId="171" fontId="20" fillId="0" borderId="6" xfId="12" applyNumberFormat="1" applyFont="1" applyBorder="1" applyAlignment="1">
      <alignment horizontal="left" vertical="center"/>
    </xf>
    <xf numFmtId="10" fontId="37" fillId="12" borderId="0" xfId="13" applyNumberFormat="1" applyFont="1" applyFill="1" applyBorder="1" applyAlignment="1" applyProtection="1">
      <alignment horizontal="left" vertical="center" wrapText="1"/>
      <protection locked="0"/>
    </xf>
    <xf numFmtId="172" fontId="20" fillId="3" borderId="6" xfId="12" applyNumberFormat="1" applyFont="1" applyFill="1" applyBorder="1" applyAlignment="1">
      <alignment horizontal="left" vertical="center"/>
    </xf>
    <xf numFmtId="0" fontId="20" fillId="3" borderId="6" xfId="12" applyFont="1" applyFill="1" applyBorder="1" applyAlignment="1">
      <alignment horizontal="left" vertical="center"/>
    </xf>
    <xf numFmtId="0" fontId="10" fillId="3" borderId="5" xfId="12" applyFont="1" applyFill="1" applyBorder="1" applyAlignment="1">
      <alignment horizontal="right" vertical="center"/>
    </xf>
    <xf numFmtId="2" fontId="10" fillId="3" borderId="5" xfId="12" applyNumberFormat="1" applyFont="1" applyFill="1" applyBorder="1" applyAlignment="1">
      <alignment horizontal="center" vertical="center"/>
    </xf>
    <xf numFmtId="2" fontId="39" fillId="3" borderId="2" xfId="12" applyNumberFormat="1" applyFont="1" applyFill="1" applyBorder="1" applyAlignment="1">
      <alignment horizontal="center" vertical="center"/>
    </xf>
    <xf numFmtId="173" fontId="20" fillId="3" borderId="6" xfId="12" applyNumberFormat="1" applyFont="1" applyFill="1" applyBorder="1" applyAlignment="1">
      <alignment horizontal="left" vertical="center"/>
    </xf>
    <xf numFmtId="2" fontId="1" fillId="3" borderId="6" xfId="12" applyNumberFormat="1" applyFill="1" applyBorder="1" applyAlignment="1">
      <alignment horizontal="center" vertical="center"/>
    </xf>
    <xf numFmtId="0" fontId="10" fillId="3" borderId="6" xfId="12" applyFont="1" applyFill="1" applyBorder="1" applyAlignment="1">
      <alignment horizontal="right" vertical="center"/>
    </xf>
    <xf numFmtId="2" fontId="10" fillId="3" borderId="6" xfId="12" applyNumberFormat="1" applyFont="1" applyFill="1" applyBorder="1" applyAlignment="1">
      <alignment horizontal="center" vertical="center"/>
    </xf>
    <xf numFmtId="2" fontId="40" fillId="12" borderId="6" xfId="12" applyNumberFormat="1" applyFont="1" applyFill="1" applyBorder="1" applyAlignment="1">
      <alignment horizontal="center" vertical="center"/>
    </xf>
    <xf numFmtId="0" fontId="44" fillId="0" borderId="0" xfId="6" applyFont="1" applyAlignment="1">
      <alignment vertical="center"/>
    </xf>
    <xf numFmtId="4" fontId="8" fillId="0" borderId="0" xfId="6" applyNumberFormat="1" applyAlignment="1">
      <alignment horizontal="center" vertical="center"/>
    </xf>
    <xf numFmtId="0" fontId="42" fillId="0" borderId="2" xfId="6" applyFont="1" applyBorder="1" applyAlignment="1">
      <alignment horizontal="center" vertical="center"/>
    </xf>
    <xf numFmtId="0" fontId="44" fillId="0" borderId="2" xfId="6" applyFont="1" applyBorder="1" applyAlignment="1">
      <alignment horizontal="center" vertical="center"/>
    </xf>
    <xf numFmtId="43" fontId="0" fillId="0" borderId="2" xfId="7" applyFont="1" applyBorder="1" applyAlignment="1">
      <alignment horizontal="center" vertical="center"/>
    </xf>
    <xf numFmtId="0" fontId="43" fillId="0" borderId="0" xfId="6" applyFont="1" applyAlignment="1">
      <alignment horizontal="right" vertical="center"/>
    </xf>
    <xf numFmtId="0" fontId="2" fillId="3" borderId="0" xfId="0" applyFont="1" applyFill="1" applyAlignment="1">
      <alignment horizontal="center" vertical="center"/>
    </xf>
    <xf numFmtId="0" fontId="30" fillId="0" borderId="11" xfId="6" applyFont="1" applyBorder="1" applyAlignment="1">
      <alignment vertical="center" textRotation="90"/>
    </xf>
    <xf numFmtId="0" fontId="48" fillId="0" borderId="0" xfId="2" applyFont="1"/>
    <xf numFmtId="0" fontId="50" fillId="0" borderId="0" xfId="2" applyFont="1"/>
    <xf numFmtId="0" fontId="26" fillId="5" borderId="2" xfId="6" applyFont="1" applyFill="1" applyBorder="1" applyAlignment="1">
      <alignment horizontal="center" vertical="center"/>
    </xf>
    <xf numFmtId="0" fontId="26" fillId="5" borderId="2" xfId="6" applyFont="1" applyFill="1" applyBorder="1" applyAlignment="1">
      <alignment horizontal="center" vertical="center" wrapText="1"/>
    </xf>
    <xf numFmtId="0" fontId="0" fillId="3" borderId="2" xfId="0" applyFill="1" applyBorder="1" applyAlignment="1">
      <alignment horizontal="left" vertical="center"/>
    </xf>
    <xf numFmtId="0" fontId="8" fillId="0" borderId="0" xfId="6" applyAlignment="1">
      <alignment horizontal="center" vertical="center"/>
    </xf>
    <xf numFmtId="0" fontId="53" fillId="6" borderId="0" xfId="6" applyFont="1" applyFill="1" applyAlignment="1">
      <alignment vertical="center"/>
    </xf>
    <xf numFmtId="0" fontId="42" fillId="0" borderId="38" xfId="6" applyFont="1" applyBorder="1" applyAlignment="1">
      <alignment vertical="center"/>
    </xf>
    <xf numFmtId="4" fontId="8" fillId="0" borderId="38" xfId="6" applyNumberFormat="1" applyBorder="1" applyAlignment="1">
      <alignment horizontal="center" vertical="center"/>
    </xf>
    <xf numFmtId="0" fontId="8" fillId="0" borderId="38" xfId="6" applyBorder="1" applyAlignment="1">
      <alignment vertical="center"/>
    </xf>
    <xf numFmtId="43" fontId="56" fillId="0" borderId="2" xfId="6" applyNumberFormat="1" applyFont="1" applyBorder="1" applyAlignment="1">
      <alignment vertical="center"/>
    </xf>
    <xf numFmtId="0" fontId="30" fillId="6" borderId="0" xfId="6" applyFont="1" applyFill="1" applyAlignment="1">
      <alignment vertical="center"/>
    </xf>
    <xf numFmtId="0" fontId="57" fillId="0" borderId="2" xfId="0" applyFont="1" applyBorder="1" applyAlignment="1">
      <alignment horizontal="center" vertical="center" wrapText="1"/>
    </xf>
    <xf numFmtId="0" fontId="8" fillId="0" borderId="0" xfId="6" quotePrefix="1" applyAlignment="1">
      <alignment horizontal="center" vertical="center"/>
    </xf>
    <xf numFmtId="0" fontId="1" fillId="0" borderId="0" xfId="15" applyAlignment="1">
      <alignment horizontal="center" vertical="center"/>
    </xf>
    <xf numFmtId="0" fontId="52" fillId="6" borderId="0" xfId="6" applyFont="1" applyFill="1" applyAlignment="1">
      <alignment horizontal="center" vertical="center"/>
    </xf>
    <xf numFmtId="0" fontId="52" fillId="6" borderId="0" xfId="6" quotePrefix="1" applyFont="1" applyFill="1" applyAlignment="1">
      <alignment horizontal="left" vertical="center"/>
    </xf>
    <xf numFmtId="0" fontId="52" fillId="6" borderId="0" xfId="6" applyFont="1" applyFill="1" applyAlignment="1">
      <alignment horizontal="left" vertical="center"/>
    </xf>
    <xf numFmtId="0" fontId="53" fillId="6" borderId="0" xfId="6" applyFont="1" applyFill="1" applyAlignment="1">
      <alignment horizontal="center" vertical="center"/>
    </xf>
    <xf numFmtId="0" fontId="53" fillId="6" borderId="0" xfId="6" quotePrefix="1" applyFont="1" applyFill="1" applyAlignment="1">
      <alignment horizontal="center" vertical="center"/>
    </xf>
    <xf numFmtId="0" fontId="30" fillId="0" borderId="4" xfId="6" applyFont="1" applyBorder="1" applyAlignment="1">
      <alignment horizontal="center" vertical="center" wrapText="1"/>
    </xf>
    <xf numFmtId="0" fontId="8" fillId="0" borderId="39" xfId="6" applyBorder="1" applyAlignment="1">
      <alignment horizontal="center" vertical="center"/>
    </xf>
    <xf numFmtId="0" fontId="0" fillId="6" borderId="0" xfId="0" applyFill="1"/>
    <xf numFmtId="0" fontId="58" fillId="6" borderId="0" xfId="0" applyFont="1" applyFill="1"/>
    <xf numFmtId="0" fontId="59" fillId="6" borderId="0" xfId="0" applyFont="1" applyFill="1"/>
    <xf numFmtId="0" fontId="60" fillId="0" borderId="0" xfId="0" applyFont="1"/>
    <xf numFmtId="0" fontId="0" fillId="0" borderId="40" xfId="0" applyBorder="1" applyAlignment="1">
      <alignment vertical="center"/>
    </xf>
    <xf numFmtId="17" fontId="0" fillId="0" borderId="40" xfId="0" applyNumberFormat="1" applyBorder="1" applyAlignment="1">
      <alignment horizontal="center" vertical="center"/>
    </xf>
    <xf numFmtId="10" fontId="0" fillId="0" borderId="40" xfId="0" applyNumberFormat="1" applyBorder="1" applyAlignment="1">
      <alignment horizontal="center" vertical="center"/>
    </xf>
    <xf numFmtId="0" fontId="0" fillId="0" borderId="40" xfId="0" applyBorder="1" applyAlignment="1">
      <alignment vertical="center" wrapText="1"/>
    </xf>
    <xf numFmtId="0" fontId="0" fillId="0" borderId="40" xfId="0" applyBorder="1" applyAlignment="1">
      <alignment horizontal="center" vertical="center"/>
    </xf>
    <xf numFmtId="0" fontId="58" fillId="6" borderId="0" xfId="0" applyFont="1" applyFill="1" applyAlignment="1">
      <alignment vertical="center"/>
    </xf>
    <xf numFmtId="0" fontId="27" fillId="0" borderId="0" xfId="6" applyFont="1" applyAlignment="1">
      <alignment horizontal="left"/>
    </xf>
    <xf numFmtId="0" fontId="27" fillId="0" borderId="0" xfId="6" applyFont="1" applyAlignment="1">
      <alignment horizontal="left" vertical="center"/>
    </xf>
    <xf numFmtId="0" fontId="61" fillId="0" borderId="0" xfId="6" applyFont="1" applyAlignment="1">
      <alignment horizontal="center" vertical="center"/>
    </xf>
    <xf numFmtId="0" fontId="61" fillId="0" borderId="0" xfId="6" applyFont="1" applyAlignment="1">
      <alignment horizontal="left" vertical="center"/>
    </xf>
    <xf numFmtId="17" fontId="27" fillId="0" borderId="0" xfId="6" applyNumberFormat="1" applyFont="1" applyAlignment="1">
      <alignment horizontal="left" vertical="center"/>
    </xf>
    <xf numFmtId="43" fontId="20" fillId="0" borderId="2" xfId="14" applyFont="1" applyFill="1" applyBorder="1" applyAlignment="1">
      <alignment horizontal="center" vertical="center"/>
    </xf>
    <xf numFmtId="0" fontId="17" fillId="0" borderId="0" xfId="6" applyFont="1" applyAlignment="1">
      <alignment vertical="center"/>
    </xf>
    <xf numFmtId="0" fontId="17" fillId="0" borderId="0" xfId="6" applyFont="1" applyAlignment="1">
      <alignment horizontal="left" vertical="center"/>
    </xf>
    <xf numFmtId="0" fontId="24" fillId="0" borderId="2" xfId="6" applyFont="1" applyBorder="1" applyAlignment="1">
      <alignment horizontal="center" vertical="center"/>
    </xf>
    <xf numFmtId="43" fontId="20" fillId="0" borderId="2" xfId="7" applyFont="1" applyFill="1" applyBorder="1" applyAlignment="1">
      <alignment horizontal="center" vertical="center"/>
    </xf>
    <xf numFmtId="1" fontId="0" fillId="15" borderId="32" xfId="0" applyNumberFormat="1" applyFill="1" applyBorder="1" applyAlignment="1">
      <alignment horizontal="center" vertical="center"/>
    </xf>
    <xf numFmtId="1" fontId="0" fillId="15" borderId="34" xfId="0" applyNumberFormat="1" applyFill="1" applyBorder="1" applyAlignment="1">
      <alignment horizontal="center" vertical="center"/>
    </xf>
    <xf numFmtId="1" fontId="0" fillId="3" borderId="41" xfId="0" applyNumberFormat="1" applyFill="1" applyBorder="1" applyAlignment="1">
      <alignment horizontal="center" vertical="center" wrapText="1"/>
    </xf>
    <xf numFmtId="1" fontId="0" fillId="3" borderId="34" xfId="0" applyNumberFormat="1" applyFill="1" applyBorder="1" applyAlignment="1">
      <alignment horizontal="center" vertical="center"/>
    </xf>
    <xf numFmtId="0" fontId="15" fillId="0" borderId="16" xfId="0" applyFont="1" applyBorder="1" applyAlignment="1">
      <alignment vertical="center"/>
    </xf>
    <xf numFmtId="0" fontId="15" fillId="0" borderId="17" xfId="0" applyFont="1" applyBorder="1" applyAlignment="1">
      <alignment vertical="center"/>
    </xf>
    <xf numFmtId="0" fontId="15" fillId="0" borderId="7" xfId="0" applyFont="1" applyBorder="1" applyAlignment="1">
      <alignment horizontal="center" vertical="center"/>
    </xf>
    <xf numFmtId="0" fontId="13" fillId="0" borderId="7" xfId="0" applyFont="1" applyBorder="1" applyAlignment="1">
      <alignment horizontal="center" vertical="center"/>
    </xf>
    <xf numFmtId="0" fontId="13" fillId="0" borderId="7" xfId="0" applyFont="1" applyBorder="1" applyAlignment="1">
      <alignment horizontal="center" vertical="center" wrapText="1"/>
    </xf>
    <xf numFmtId="4" fontId="13" fillId="0" borderId="7" xfId="0" applyNumberFormat="1" applyFont="1" applyBorder="1" applyAlignment="1">
      <alignment horizontal="center" vertical="center" wrapText="1"/>
    </xf>
    <xf numFmtId="0" fontId="13" fillId="0" borderId="7" xfId="0" applyFont="1" applyBorder="1" applyAlignment="1">
      <alignment horizontal="center"/>
    </xf>
    <xf numFmtId="4" fontId="64" fillId="0" borderId="2" xfId="0" applyNumberFormat="1" applyFont="1" applyBorder="1" applyAlignment="1">
      <alignment horizontal="center" vertical="center" wrapText="1"/>
    </xf>
    <xf numFmtId="0" fontId="64" fillId="0" borderId="0" xfId="0" applyFont="1" applyAlignment="1">
      <alignment horizontal="center"/>
    </xf>
    <xf numFmtId="174" fontId="64" fillId="0" borderId="0" xfId="0" applyNumberFormat="1" applyFont="1" applyAlignment="1">
      <alignment horizont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4" fontId="13" fillId="0" borderId="0" xfId="0" applyNumberFormat="1" applyFont="1" applyAlignment="1">
      <alignment horizontal="center" vertical="center" wrapText="1"/>
    </xf>
    <xf numFmtId="4" fontId="13" fillId="0" borderId="0" xfId="0" applyNumberFormat="1" applyFont="1" applyAlignment="1">
      <alignment horizontal="center" vertical="center"/>
    </xf>
    <xf numFmtId="0" fontId="15" fillId="0" borderId="15" xfId="0" applyFont="1" applyBorder="1" applyAlignment="1">
      <alignment horizontal="left" vertical="center"/>
    </xf>
    <xf numFmtId="0" fontId="15" fillId="0" borderId="16" xfId="0" applyFont="1" applyBorder="1" applyAlignment="1">
      <alignment horizontal="center" vertical="center"/>
    </xf>
    <xf numFmtId="0" fontId="25" fillId="0" borderId="2" xfId="6" applyFont="1" applyBorder="1" applyAlignment="1">
      <alignment horizontal="center" vertical="center"/>
    </xf>
    <xf numFmtId="0" fontId="46" fillId="0" borderId="2" xfId="0" applyFont="1" applyBorder="1" applyAlignment="1">
      <alignment horizontal="center" vertical="center" wrapText="1"/>
    </xf>
    <xf numFmtId="43" fontId="17" fillId="0" borderId="2" xfId="6" applyNumberFormat="1" applyFont="1" applyBorder="1" applyAlignment="1">
      <alignment vertical="center"/>
    </xf>
    <xf numFmtId="0" fontId="68" fillId="6" borderId="2" xfId="6" applyFont="1" applyFill="1" applyBorder="1" applyAlignment="1">
      <alignment horizontal="center" vertical="center"/>
    </xf>
    <xf numFmtId="0" fontId="46" fillId="0" borderId="16" xfId="6" applyFont="1" applyBorder="1" applyAlignment="1">
      <alignment horizontal="center" vertical="center" wrapText="1"/>
    </xf>
    <xf numFmtId="0" fontId="46" fillId="0" borderId="16" xfId="0" applyFont="1" applyBorder="1" applyAlignment="1">
      <alignment horizontal="center" vertical="center"/>
    </xf>
    <xf numFmtId="0" fontId="46" fillId="0" borderId="16" xfId="0" applyFont="1" applyBorder="1" applyAlignment="1">
      <alignment horizontal="center" vertical="center" wrapText="1"/>
    </xf>
    <xf numFmtId="4" fontId="46" fillId="0" borderId="16" xfId="0" applyNumberFormat="1" applyFont="1" applyBorder="1" applyAlignment="1">
      <alignment horizontal="center" vertical="center"/>
    </xf>
    <xf numFmtId="4" fontId="46" fillId="0" borderId="16" xfId="0" applyNumberFormat="1" applyFont="1" applyBorder="1" applyAlignment="1">
      <alignment horizontal="center" vertical="center" wrapText="1"/>
    </xf>
    <xf numFmtId="4" fontId="64" fillId="0" borderId="16" xfId="0" applyNumberFormat="1" applyFont="1" applyBorder="1" applyAlignment="1">
      <alignment horizontal="center" vertical="center" wrapText="1"/>
    </xf>
    <xf numFmtId="4" fontId="64" fillId="0" borderId="17" xfId="0" applyNumberFormat="1" applyFont="1" applyBorder="1" applyAlignment="1">
      <alignment horizontal="center" vertical="center" wrapText="1"/>
    </xf>
    <xf numFmtId="4" fontId="64" fillId="0" borderId="11" xfId="0" applyNumberFormat="1" applyFont="1" applyBorder="1" applyAlignment="1">
      <alignment horizontal="center" vertical="center" wrapText="1"/>
    </xf>
    <xf numFmtId="4" fontId="46" fillId="0" borderId="7" xfId="0" applyNumberFormat="1" applyFont="1" applyBorder="1" applyAlignment="1">
      <alignment horizontal="center" vertical="center" wrapText="1"/>
    </xf>
    <xf numFmtId="0" fontId="46" fillId="0" borderId="7" xfId="0" applyFont="1" applyBorder="1" applyAlignment="1">
      <alignment horizontal="center" vertical="center"/>
    </xf>
    <xf numFmtId="0" fontId="46" fillId="0" borderId="7" xfId="0" applyFont="1" applyBorder="1" applyAlignment="1">
      <alignment horizontal="center" vertical="center" wrapText="1"/>
    </xf>
    <xf numFmtId="4" fontId="46" fillId="0" borderId="7" xfId="0" applyNumberFormat="1" applyFont="1" applyBorder="1" applyAlignment="1">
      <alignment horizontal="center" vertical="center"/>
    </xf>
    <xf numFmtId="4" fontId="64" fillId="0" borderId="7" xfId="0" applyNumberFormat="1" applyFont="1" applyBorder="1" applyAlignment="1">
      <alignment horizontal="center" vertical="center" wrapText="1"/>
    </xf>
    <xf numFmtId="4" fontId="64" fillId="0" borderId="28" xfId="0" applyNumberFormat="1" applyFont="1" applyBorder="1" applyAlignment="1">
      <alignment horizontal="center" vertical="center" wrapText="1"/>
    </xf>
    <xf numFmtId="0" fontId="67" fillId="0" borderId="16" xfId="6" applyFont="1" applyBorder="1" applyAlignment="1">
      <alignment horizontal="center" vertical="center"/>
    </xf>
    <xf numFmtId="0" fontId="67" fillId="0" borderId="7" xfId="6" applyFont="1" applyBorder="1" applyAlignment="1">
      <alignment horizontal="center" vertical="center"/>
    </xf>
    <xf numFmtId="0" fontId="69" fillId="0" borderId="0" xfId="0" applyFont="1" applyAlignment="1">
      <alignment horizontal="center" vertical="center" wrapText="1"/>
    </xf>
    <xf numFmtId="4" fontId="69" fillId="0" borderId="0" xfId="0" applyNumberFormat="1" applyFont="1" applyAlignment="1">
      <alignment horizontal="center" vertical="center"/>
    </xf>
    <xf numFmtId="4" fontId="69" fillId="0" borderId="0" xfId="0" applyNumberFormat="1" applyFont="1" applyAlignment="1">
      <alignment horizontal="left" vertical="center"/>
    </xf>
    <xf numFmtId="4" fontId="69" fillId="0" borderId="0" xfId="0" applyNumberFormat="1" applyFont="1" applyAlignment="1">
      <alignment horizontal="center" vertical="center" wrapText="1"/>
    </xf>
    <xf numFmtId="4" fontId="62" fillId="0" borderId="0" xfId="19" applyNumberFormat="1" applyFont="1" applyFill="1" applyBorder="1" applyAlignment="1">
      <alignment horizontal="center" vertical="center" wrapText="1"/>
    </xf>
    <xf numFmtId="4" fontId="62" fillId="0" borderId="0" xfId="0" applyNumberFormat="1" applyFont="1" applyAlignment="1">
      <alignment horizontal="center" vertical="center" wrapText="1"/>
    </xf>
    <xf numFmtId="4" fontId="20" fillId="3" borderId="2" xfId="0" applyNumberFormat="1" applyFont="1" applyFill="1" applyBorder="1" applyAlignment="1">
      <alignment horizontal="center" vertical="center"/>
    </xf>
    <xf numFmtId="4" fontId="0" fillId="0" borderId="2" xfId="0" applyNumberFormat="1" applyBorder="1" applyAlignment="1">
      <alignment horizontal="center" vertical="center" wrapText="1"/>
    </xf>
    <xf numFmtId="9" fontId="0" fillId="0" borderId="2" xfId="1" applyFont="1" applyBorder="1" applyAlignment="1">
      <alignment horizontal="center" vertical="center" wrapText="1"/>
    </xf>
    <xf numFmtId="0" fontId="20" fillId="3" borderId="2" xfId="0" applyFont="1" applyFill="1" applyBorder="1" applyAlignment="1">
      <alignment horizontal="center" vertical="center"/>
    </xf>
    <xf numFmtId="0" fontId="0" fillId="0" borderId="27" xfId="0" applyBorder="1" applyAlignment="1">
      <alignment horizontal="center" vertical="center"/>
    </xf>
    <xf numFmtId="17" fontId="13" fillId="0" borderId="0" xfId="0" applyNumberFormat="1" applyFont="1" applyAlignment="1">
      <alignment horizontal="left" vertical="center"/>
    </xf>
    <xf numFmtId="0" fontId="13" fillId="0" borderId="18" xfId="0" applyFont="1" applyBorder="1" applyAlignment="1">
      <alignment horizontal="left" vertical="center"/>
    </xf>
    <xf numFmtId="0" fontId="13" fillId="0" borderId="11" xfId="0" applyFont="1" applyBorder="1" applyAlignment="1">
      <alignment vertical="center" wrapText="1"/>
    </xf>
    <xf numFmtId="0" fontId="13" fillId="0" borderId="0" xfId="0" applyFont="1" applyAlignment="1">
      <alignment vertical="center"/>
    </xf>
    <xf numFmtId="0" fontId="13" fillId="0" borderId="11" xfId="0" applyFont="1" applyBorder="1" applyAlignment="1">
      <alignment vertical="center"/>
    </xf>
    <xf numFmtId="0" fontId="13" fillId="0" borderId="27" xfId="0" applyFont="1" applyBorder="1" applyAlignment="1">
      <alignment horizontal="left" vertical="center"/>
    </xf>
    <xf numFmtId="0" fontId="13" fillId="0" borderId="7" xfId="0" applyFont="1" applyBorder="1" applyAlignment="1">
      <alignment vertical="center"/>
    </xf>
    <xf numFmtId="0" fontId="13" fillId="0" borderId="7" xfId="0" applyFont="1" applyBorder="1" applyAlignment="1">
      <alignment horizontal="left" vertical="center"/>
    </xf>
    <xf numFmtId="0" fontId="13" fillId="0" borderId="7" xfId="0" applyFont="1" applyBorder="1" applyAlignment="1">
      <alignment horizontal="left" vertical="center" wrapText="1"/>
    </xf>
    <xf numFmtId="0" fontId="13" fillId="0" borderId="28" xfId="0" applyFont="1" applyBorder="1" applyAlignment="1">
      <alignment vertical="center"/>
    </xf>
    <xf numFmtId="17" fontId="13" fillId="0" borderId="27" xfId="0" applyNumberFormat="1" applyFont="1" applyBorder="1" applyAlignment="1">
      <alignment horizontal="left" vertical="center"/>
    </xf>
    <xf numFmtId="10" fontId="3" fillId="3" borderId="29" xfId="0" applyNumberFormat="1" applyFont="1" applyFill="1" applyBorder="1" applyAlignment="1">
      <alignment vertical="center"/>
    </xf>
    <xf numFmtId="0" fontId="0" fillId="0" borderId="16" xfId="0" applyBorder="1" applyAlignment="1">
      <alignment horizontal="center" vertical="center" wrapText="1"/>
    </xf>
    <xf numFmtId="0" fontId="3" fillId="3" borderId="15" xfId="0" applyFont="1" applyFill="1" applyBorder="1" applyAlignment="1">
      <alignment vertical="center"/>
    </xf>
    <xf numFmtId="4" fontId="0" fillId="0" borderId="16" xfId="0" applyNumberFormat="1" applyBorder="1" applyAlignment="1">
      <alignment horizontal="center" vertical="center" wrapText="1"/>
    </xf>
    <xf numFmtId="9" fontId="0" fillId="0" borderId="16" xfId="1" applyFont="1" applyBorder="1" applyAlignment="1">
      <alignment horizontal="center" vertical="center" wrapText="1"/>
    </xf>
    <xf numFmtId="0" fontId="20" fillId="3" borderId="16" xfId="0" applyFont="1" applyFill="1" applyBorder="1" applyAlignment="1">
      <alignment horizontal="center" vertical="center"/>
    </xf>
    <xf numFmtId="0" fontId="0" fillId="0" borderId="29" xfId="0" applyBorder="1" applyAlignment="1">
      <alignment horizontal="center" vertical="center"/>
    </xf>
    <xf numFmtId="4" fontId="20" fillId="3" borderId="4" xfId="0" applyNumberFormat="1" applyFont="1" applyFill="1" applyBorder="1" applyAlignment="1">
      <alignment horizontal="center" vertical="center"/>
    </xf>
    <xf numFmtId="4" fontId="3" fillId="3" borderId="2" xfId="0" applyNumberFormat="1" applyFont="1" applyFill="1" applyBorder="1" applyAlignment="1">
      <alignment horizontal="center" vertical="center"/>
    </xf>
    <xf numFmtId="0" fontId="66" fillId="6" borderId="27" xfId="0" applyFont="1" applyFill="1" applyBorder="1" applyAlignment="1">
      <alignment vertical="center"/>
    </xf>
    <xf numFmtId="0" fontId="66" fillId="6" borderId="7" xfId="0" applyFont="1" applyFill="1" applyBorder="1" applyAlignment="1">
      <alignment vertical="center"/>
    </xf>
    <xf numFmtId="0" fontId="66" fillId="6" borderId="7" xfId="0" applyFont="1" applyFill="1" applyBorder="1" applyAlignment="1">
      <alignment horizontal="center" vertical="center"/>
    </xf>
    <xf numFmtId="4" fontId="66" fillId="6" borderId="5" xfId="0" applyNumberFormat="1" applyFont="1" applyFill="1" applyBorder="1" applyAlignment="1">
      <alignment horizontal="center" vertical="center"/>
    </xf>
    <xf numFmtId="0" fontId="67" fillId="0" borderId="29" xfId="6" applyFont="1" applyBorder="1" applyAlignment="1">
      <alignment horizontal="center" vertical="center" wrapText="1"/>
    </xf>
    <xf numFmtId="4" fontId="46" fillId="0" borderId="29" xfId="0" applyNumberFormat="1" applyFont="1" applyBorder="1" applyAlignment="1">
      <alignment horizontal="center" vertical="center" wrapText="1"/>
    </xf>
    <xf numFmtId="0" fontId="46" fillId="0" borderId="29" xfId="0" applyFont="1" applyBorder="1" applyAlignment="1">
      <alignment horizontal="center" vertical="center"/>
    </xf>
    <xf numFmtId="0" fontId="46" fillId="0" borderId="29" xfId="0" applyFont="1" applyBorder="1" applyAlignment="1">
      <alignment horizontal="center" vertical="center" wrapText="1"/>
    </xf>
    <xf numFmtId="4" fontId="46" fillId="0" borderId="29" xfId="0" applyNumberFormat="1" applyFont="1" applyBorder="1" applyAlignment="1">
      <alignment horizontal="center" vertical="center"/>
    </xf>
    <xf numFmtId="4" fontId="64" fillId="0" borderId="29" xfId="0" applyNumberFormat="1" applyFont="1" applyBorder="1" applyAlignment="1">
      <alignment horizontal="center" vertical="center" wrapText="1"/>
    </xf>
    <xf numFmtId="4" fontId="46" fillId="0" borderId="29" xfId="19" applyNumberFormat="1" applyFont="1" applyFill="1" applyBorder="1" applyAlignment="1">
      <alignment horizontal="center" vertical="center" wrapText="1"/>
    </xf>
    <xf numFmtId="4" fontId="62" fillId="6" borderId="5" xfId="0" applyNumberFormat="1" applyFont="1" applyFill="1" applyBorder="1" applyAlignment="1">
      <alignment horizontal="center" vertical="center" wrapText="1"/>
    </xf>
    <xf numFmtId="0" fontId="10" fillId="0" borderId="3" xfId="0" applyFont="1" applyBorder="1" applyAlignment="1">
      <alignment vertical="center"/>
    </xf>
    <xf numFmtId="0" fontId="10" fillId="3" borderId="3" xfId="0" applyFont="1" applyFill="1" applyBorder="1" applyAlignment="1">
      <alignment vertical="center"/>
    </xf>
    <xf numFmtId="165" fontId="26" fillId="5" borderId="2" xfId="6" applyNumberFormat="1" applyFont="1" applyFill="1" applyBorder="1" applyAlignment="1">
      <alignment horizontal="center" vertical="center"/>
    </xf>
    <xf numFmtId="0" fontId="30" fillId="0" borderId="39" xfId="6" applyFont="1" applyBorder="1" applyAlignment="1">
      <alignment horizontal="center" vertical="center"/>
    </xf>
    <xf numFmtId="0" fontId="30" fillId="0" borderId="39" xfId="6" applyFont="1" applyBorder="1" applyAlignment="1">
      <alignment horizontal="right" vertical="center"/>
    </xf>
    <xf numFmtId="17" fontId="71" fillId="3" borderId="0" xfId="0" applyNumberFormat="1" applyFont="1" applyFill="1" applyAlignment="1">
      <alignment vertical="center" wrapText="1"/>
    </xf>
    <xf numFmtId="0" fontId="26" fillId="5" borderId="3" xfId="6" applyFont="1" applyFill="1" applyBorder="1" applyAlignment="1">
      <alignment horizontal="center" vertical="center" wrapText="1"/>
    </xf>
    <xf numFmtId="0" fontId="14" fillId="0" borderId="0" xfId="6" applyFont="1" applyAlignment="1">
      <alignment horizontal="center" vertical="center"/>
    </xf>
    <xf numFmtId="0" fontId="14" fillId="3" borderId="0" xfId="6" applyFont="1" applyFill="1" applyAlignment="1">
      <alignment horizontal="center" vertical="center"/>
    </xf>
    <xf numFmtId="0" fontId="14" fillId="0" borderId="0" xfId="6" applyFont="1" applyAlignment="1">
      <alignment vertical="center"/>
    </xf>
    <xf numFmtId="43" fontId="14" fillId="3" borderId="0" xfId="6" applyNumberFormat="1" applyFont="1" applyFill="1" applyAlignment="1">
      <alignment horizontal="center" vertical="center"/>
    </xf>
    <xf numFmtId="43" fontId="14" fillId="0" borderId="0" xfId="6" applyNumberFormat="1" applyFont="1" applyAlignment="1">
      <alignment vertical="center"/>
    </xf>
    <xf numFmtId="0" fontId="65" fillId="10" borderId="36" xfId="6" applyFont="1" applyFill="1" applyBorder="1" applyAlignment="1">
      <alignment horizontal="center" vertical="center" wrapText="1"/>
    </xf>
    <xf numFmtId="0" fontId="65" fillId="10" borderId="37" xfId="6" applyFont="1" applyFill="1" applyBorder="1" applyAlignment="1">
      <alignment horizontal="center" vertical="center" wrapText="1"/>
    </xf>
    <xf numFmtId="0" fontId="13" fillId="0" borderId="0" xfId="6" applyFont="1" applyAlignment="1">
      <alignment vertical="center" wrapText="1"/>
    </xf>
    <xf numFmtId="0" fontId="72" fillId="11" borderId="2" xfId="6" applyFont="1" applyFill="1" applyBorder="1" applyAlignment="1">
      <alignment vertical="center"/>
    </xf>
    <xf numFmtId="0" fontId="72" fillId="11" borderId="2" xfId="6" applyFont="1" applyFill="1" applyBorder="1" applyAlignment="1">
      <alignment horizontal="center" vertical="center"/>
    </xf>
    <xf numFmtId="0" fontId="72" fillId="11" borderId="2" xfId="6" applyFont="1" applyFill="1" applyBorder="1" applyAlignment="1">
      <alignment horizontal="left" vertical="center"/>
    </xf>
    <xf numFmtId="43" fontId="72" fillId="11" borderId="2" xfId="6" applyNumberFormat="1" applyFont="1" applyFill="1" applyBorder="1" applyAlignment="1">
      <alignment vertical="center"/>
    </xf>
    <xf numFmtId="3" fontId="72" fillId="11" borderId="2" xfId="6" applyNumberFormat="1" applyFont="1" applyFill="1" applyBorder="1" applyAlignment="1">
      <alignment horizontal="center" vertical="center"/>
    </xf>
    <xf numFmtId="43" fontId="65" fillId="11" borderId="2" xfId="6" applyNumberFormat="1" applyFont="1" applyFill="1" applyBorder="1" applyAlignment="1">
      <alignment vertical="center"/>
    </xf>
    <xf numFmtId="0" fontId="14" fillId="0" borderId="2" xfId="6" applyFont="1" applyBorder="1" applyAlignment="1">
      <alignment horizontal="center" vertical="center"/>
    </xf>
    <xf numFmtId="0" fontId="14" fillId="0" borderId="2" xfId="6" applyFont="1" applyBorder="1" applyAlignment="1">
      <alignment vertical="center"/>
    </xf>
    <xf numFmtId="4" fontId="14" fillId="0" borderId="2" xfId="6" applyNumberFormat="1" applyFont="1" applyBorder="1" applyAlignment="1">
      <alignment horizontal="center" vertical="center"/>
    </xf>
    <xf numFmtId="175" fontId="14" fillId="0" borderId="2" xfId="6" applyNumberFormat="1" applyFont="1" applyBorder="1" applyAlignment="1">
      <alignment horizontal="center" vertical="center"/>
    </xf>
    <xf numFmtId="43" fontId="14" fillId="0" borderId="2" xfId="6" applyNumberFormat="1" applyFont="1" applyBorder="1" applyAlignment="1">
      <alignment horizontal="center" vertical="center"/>
    </xf>
    <xf numFmtId="3" fontId="14" fillId="0" borderId="2" xfId="6" applyNumberFormat="1" applyFont="1" applyBorder="1" applyAlignment="1">
      <alignment horizontal="center" vertical="center"/>
    </xf>
    <xf numFmtId="43" fontId="14" fillId="0" borderId="0" xfId="7" applyFont="1" applyAlignment="1">
      <alignment vertical="center"/>
    </xf>
    <xf numFmtId="0" fontId="74" fillId="0" borderId="0" xfId="6" applyFont="1" applyAlignment="1">
      <alignment vertical="center"/>
    </xf>
    <xf numFmtId="43" fontId="74" fillId="0" borderId="0" xfId="7" applyFont="1" applyAlignment="1">
      <alignment vertical="center"/>
    </xf>
    <xf numFmtId="0" fontId="46" fillId="0" borderId="2" xfId="6" applyFont="1" applyBorder="1" applyAlignment="1">
      <alignment vertical="center" wrapText="1"/>
    </xf>
    <xf numFmtId="0" fontId="72" fillId="11" borderId="3" xfId="6" applyFont="1" applyFill="1" applyBorder="1" applyAlignment="1">
      <alignment vertical="center"/>
    </xf>
    <xf numFmtId="0" fontId="72" fillId="11" borderId="1" xfId="6" applyFont="1" applyFill="1" applyBorder="1" applyAlignment="1">
      <alignment vertical="center"/>
    </xf>
    <xf numFmtId="0" fontId="14" fillId="0" borderId="27" xfId="6" applyFont="1" applyBorder="1" applyAlignment="1">
      <alignment horizontal="center" vertical="center" wrapText="1"/>
    </xf>
    <xf numFmtId="0" fontId="14" fillId="0" borderId="28" xfId="6" applyFont="1" applyBorder="1" applyAlignment="1">
      <alignment horizontal="center" vertical="center" wrapText="1"/>
    </xf>
    <xf numFmtId="0" fontId="14" fillId="0" borderId="3" xfId="6" applyFont="1" applyBorder="1" applyAlignment="1">
      <alignment horizontal="center" vertical="center"/>
    </xf>
    <xf numFmtId="0" fontId="14" fillId="0" borderId="1" xfId="6" applyFont="1" applyBorder="1" applyAlignment="1">
      <alignment horizontal="center" vertical="center"/>
    </xf>
    <xf numFmtId="0" fontId="73" fillId="0" borderId="3" xfId="6" applyFont="1" applyBorder="1" applyAlignment="1">
      <alignment horizontal="center" vertical="center"/>
    </xf>
    <xf numFmtId="0" fontId="73" fillId="0" borderId="1" xfId="6" applyFont="1" applyBorder="1" applyAlignment="1">
      <alignment horizontal="center" vertical="center"/>
    </xf>
    <xf numFmtId="0" fontId="79" fillId="11" borderId="1" xfId="6" applyFont="1" applyFill="1" applyBorder="1" applyAlignment="1">
      <alignment vertical="center"/>
    </xf>
    <xf numFmtId="0" fontId="72" fillId="11" borderId="27" xfId="6" applyFont="1" applyFill="1" applyBorder="1" applyAlignment="1">
      <alignment vertical="center"/>
    </xf>
    <xf numFmtId="0" fontId="72" fillId="11" borderId="28" xfId="6" applyFont="1" applyFill="1" applyBorder="1" applyAlignment="1">
      <alignment vertical="center"/>
    </xf>
    <xf numFmtId="0" fontId="20" fillId="3" borderId="29" xfId="0" applyFont="1" applyFill="1" applyBorder="1"/>
    <xf numFmtId="4" fontId="20" fillId="0" borderId="40" xfId="0" applyNumberFormat="1" applyFont="1" applyBorder="1" applyAlignment="1">
      <alignment horizontal="left" vertical="center"/>
    </xf>
    <xf numFmtId="166" fontId="7" fillId="0" borderId="0" xfId="1" applyNumberFormat="1" applyFont="1" applyAlignment="1">
      <alignment horizontal="center" vertical="center"/>
    </xf>
    <xf numFmtId="10" fontId="7" fillId="0" borderId="0" xfId="1" applyNumberFormat="1" applyFont="1" applyAlignment="1">
      <alignment horizontal="center" vertical="center"/>
    </xf>
    <xf numFmtId="0" fontId="33" fillId="8" borderId="2" xfId="6" applyFont="1" applyFill="1" applyBorder="1" applyAlignment="1">
      <alignment horizontal="center" vertical="center" wrapText="1"/>
    </xf>
    <xf numFmtId="1" fontId="32" fillId="9" borderId="2" xfId="6" applyNumberFormat="1" applyFont="1" applyFill="1" applyBorder="1" applyAlignment="1">
      <alignment horizontal="center" vertical="center"/>
    </xf>
    <xf numFmtId="0" fontId="84" fillId="7" borderId="1" xfId="10" applyFont="1" applyFill="1" applyBorder="1" applyAlignment="1">
      <alignment horizontal="center" vertical="center" wrapText="1"/>
    </xf>
    <xf numFmtId="0" fontId="30" fillId="3" borderId="16" xfId="6" applyFont="1" applyFill="1" applyBorder="1" applyAlignment="1">
      <alignment vertical="center" wrapText="1"/>
    </xf>
    <xf numFmtId="0" fontId="30" fillId="3" borderId="16" xfId="6" applyFont="1" applyFill="1" applyBorder="1" applyAlignment="1">
      <alignment horizontal="center" vertical="center" wrapText="1"/>
    </xf>
    <xf numFmtId="166" fontId="30" fillId="3" borderId="17" xfId="6" applyNumberFormat="1" applyFont="1" applyFill="1" applyBorder="1" applyAlignment="1">
      <alignment vertical="center" wrapText="1"/>
    </xf>
    <xf numFmtId="0" fontId="86" fillId="3" borderId="2" xfId="10" applyFont="1" applyFill="1" applyBorder="1" applyAlignment="1">
      <alignment horizontal="center" vertical="center" wrapText="1"/>
    </xf>
    <xf numFmtId="9" fontId="83" fillId="3" borderId="2" xfId="8" applyFont="1" applyFill="1" applyBorder="1" applyAlignment="1">
      <alignment horizontal="center" vertical="center" textRotation="90"/>
    </xf>
    <xf numFmtId="0" fontId="30" fillId="3" borderId="0" xfId="6" applyFont="1" applyFill="1" applyAlignment="1">
      <alignment vertical="center" wrapText="1"/>
    </xf>
    <xf numFmtId="0" fontId="30" fillId="3" borderId="0" xfId="6" applyFont="1" applyFill="1" applyAlignment="1">
      <alignment horizontal="center" vertical="center" wrapText="1"/>
    </xf>
    <xf numFmtId="166" fontId="30" fillId="3" borderId="11" xfId="6" applyNumberFormat="1" applyFont="1" applyFill="1" applyBorder="1" applyAlignment="1">
      <alignment vertical="center" wrapText="1"/>
    </xf>
    <xf numFmtId="168" fontId="86" fillId="3" borderId="1" xfId="10" applyNumberFormat="1" applyFont="1" applyFill="1" applyBorder="1" applyAlignment="1">
      <alignment horizontal="center" vertical="center" wrapText="1"/>
    </xf>
    <xf numFmtId="168" fontId="83" fillId="3" borderId="2" xfId="11" applyNumberFormat="1" applyFont="1" applyFill="1" applyBorder="1" applyAlignment="1">
      <alignment horizontal="center" vertical="center" textRotation="90"/>
    </xf>
    <xf numFmtId="0" fontId="28" fillId="0" borderId="0" xfId="6" applyFont="1" applyAlignment="1">
      <alignment vertical="center"/>
    </xf>
    <xf numFmtId="166" fontId="29" fillId="0" borderId="0" xfId="6" applyNumberFormat="1" applyFont="1" applyAlignment="1">
      <alignment horizontal="center" vertical="center"/>
    </xf>
    <xf numFmtId="0" fontId="29" fillId="0" borderId="0" xfId="6" applyFont="1" applyAlignment="1">
      <alignment horizontal="right" vertical="center"/>
    </xf>
    <xf numFmtId="0" fontId="29" fillId="0" borderId="0" xfId="6" applyFont="1" applyAlignment="1">
      <alignment vertical="center"/>
    </xf>
    <xf numFmtId="0" fontId="31" fillId="0" borderId="0" xfId="6" applyFont="1" applyAlignment="1">
      <alignment vertical="center"/>
    </xf>
    <xf numFmtId="0" fontId="4" fillId="0" borderId="0" xfId="0" applyFont="1" applyAlignment="1">
      <alignment vertical="center"/>
    </xf>
    <xf numFmtId="43" fontId="8" fillId="0" borderId="0" xfId="6" applyNumberFormat="1" applyAlignment="1">
      <alignment vertical="center"/>
    </xf>
    <xf numFmtId="166" fontId="8" fillId="0" borderId="0" xfId="6" applyNumberFormat="1" applyAlignment="1">
      <alignment horizontal="center" vertical="center"/>
    </xf>
    <xf numFmtId="0" fontId="80" fillId="3" borderId="45" xfId="6" applyFont="1" applyFill="1" applyBorder="1" applyAlignment="1">
      <alignment horizontal="center" vertical="center"/>
    </xf>
    <xf numFmtId="0" fontId="80" fillId="3" borderId="48" xfId="6" applyFont="1" applyFill="1" applyBorder="1" applyAlignment="1">
      <alignment horizontal="center" vertical="center"/>
    </xf>
    <xf numFmtId="0" fontId="80" fillId="3" borderId="32" xfId="6" applyFont="1" applyFill="1" applyBorder="1" applyAlignment="1">
      <alignment horizontal="center" vertical="center"/>
    </xf>
    <xf numFmtId="1" fontId="80" fillId="3" borderId="32" xfId="6" applyNumberFormat="1" applyFont="1" applyFill="1" applyBorder="1" applyAlignment="1">
      <alignment horizontal="center" vertical="center"/>
    </xf>
    <xf numFmtId="0" fontId="80" fillId="3" borderId="43" xfId="6" applyFont="1" applyFill="1" applyBorder="1" applyAlignment="1">
      <alignment horizontal="center" vertical="center"/>
    </xf>
    <xf numFmtId="4" fontId="0" fillId="0" borderId="0" xfId="0" applyNumberFormat="1" applyAlignment="1">
      <alignment horizontal="center" vertical="center"/>
    </xf>
    <xf numFmtId="4" fontId="27" fillId="9" borderId="2" xfId="10" applyNumberFormat="1" applyFont="1" applyFill="1" applyBorder="1" applyAlignment="1">
      <alignment horizontal="center" vertical="center" wrapText="1"/>
    </xf>
    <xf numFmtId="0" fontId="20" fillId="3" borderId="15" xfId="12" applyFont="1" applyFill="1" applyBorder="1" applyAlignment="1">
      <alignment vertical="center"/>
    </xf>
    <xf numFmtId="2" fontId="1" fillId="3" borderId="4" xfId="12" applyNumberFormat="1" applyFill="1" applyBorder="1" applyAlignment="1">
      <alignment horizontal="center" vertical="center"/>
    </xf>
    <xf numFmtId="0" fontId="20" fillId="3" borderId="18" xfId="12" applyFont="1" applyFill="1" applyBorder="1" applyAlignment="1">
      <alignment vertical="center"/>
    </xf>
    <xf numFmtId="0" fontId="10" fillId="3" borderId="27" xfId="12" applyFont="1" applyFill="1" applyBorder="1" applyAlignment="1">
      <alignment vertical="center"/>
    </xf>
    <xf numFmtId="2" fontId="10" fillId="3" borderId="28" xfId="12" applyNumberFormat="1" applyFont="1" applyFill="1" applyBorder="1" applyAlignment="1">
      <alignment horizontal="center" vertical="center"/>
    </xf>
    <xf numFmtId="0" fontId="20" fillId="3" borderId="6" xfId="12" applyFont="1" applyFill="1" applyBorder="1" applyAlignment="1">
      <alignment horizontal="left" vertical="center" wrapText="1"/>
    </xf>
    <xf numFmtId="0" fontId="20" fillId="3" borderId="6" xfId="12" applyFont="1" applyFill="1" applyBorder="1" applyAlignment="1">
      <alignment vertical="center" wrapText="1"/>
    </xf>
    <xf numFmtId="0" fontId="39" fillId="4" borderId="3" xfId="12" applyFont="1" applyFill="1" applyBorder="1" applyAlignment="1">
      <alignment vertical="center"/>
    </xf>
    <xf numFmtId="0" fontId="39" fillId="4" borderId="1" xfId="12" applyFont="1" applyFill="1" applyBorder="1" applyAlignment="1">
      <alignment horizontal="right" vertical="center"/>
    </xf>
    <xf numFmtId="10" fontId="40" fillId="4" borderId="2" xfId="13" applyNumberFormat="1" applyFont="1" applyFill="1" applyBorder="1" applyAlignment="1" applyProtection="1">
      <alignment horizontal="center" vertical="center"/>
    </xf>
    <xf numFmtId="10" fontId="41" fillId="4" borderId="2" xfId="13" applyNumberFormat="1" applyFont="1" applyFill="1" applyBorder="1" applyAlignment="1" applyProtection="1">
      <alignment horizontal="center" vertical="center"/>
    </xf>
    <xf numFmtId="0" fontId="0" fillId="0" borderId="2" xfId="0" applyBorder="1" applyAlignment="1">
      <alignment horizontal="left" vertical="center" wrapText="1"/>
    </xf>
    <xf numFmtId="1" fontId="26" fillId="0" borderId="2" xfId="6" applyNumberFormat="1" applyFont="1" applyBorder="1" applyAlignment="1">
      <alignment horizontal="center" vertical="center" wrapText="1"/>
    </xf>
    <xf numFmtId="0" fontId="20" fillId="3" borderId="5" xfId="0" applyFont="1" applyFill="1" applyBorder="1" applyAlignment="1">
      <alignment horizontal="center" vertical="center" wrapText="1"/>
    </xf>
    <xf numFmtId="10" fontId="8" fillId="0" borderId="0" xfId="1" applyNumberFormat="1" applyFont="1" applyAlignment="1">
      <alignment vertical="center"/>
    </xf>
    <xf numFmtId="0" fontId="29" fillId="8" borderId="2" xfId="6" applyFont="1" applyFill="1" applyBorder="1" applyAlignment="1">
      <alignment horizontal="center" vertical="center" wrapText="1"/>
    </xf>
    <xf numFmtId="4" fontId="87" fillId="9" borderId="2" xfId="10" applyNumberFormat="1" applyFont="1" applyFill="1" applyBorder="1" applyAlignment="1">
      <alignment horizontal="center" vertical="center" wrapText="1"/>
    </xf>
    <xf numFmtId="167" fontId="85" fillId="3" borderId="31" xfId="8" applyNumberFormat="1" applyFont="1" applyFill="1" applyBorder="1" applyAlignment="1">
      <alignment horizontal="center" vertical="center" wrapText="1"/>
    </xf>
    <xf numFmtId="167" fontId="85" fillId="3" borderId="32" xfId="8" applyNumberFormat="1" applyFont="1" applyFill="1" applyBorder="1" applyAlignment="1">
      <alignment horizontal="center" vertical="center" wrapText="1"/>
    </xf>
    <xf numFmtId="167" fontId="85" fillId="3" borderId="43" xfId="8" applyNumberFormat="1" applyFont="1" applyFill="1" applyBorder="1" applyAlignment="1">
      <alignment horizontal="center" vertical="center" wrapText="1"/>
    </xf>
    <xf numFmtId="167" fontId="85" fillId="3" borderId="45" xfId="8" applyNumberFormat="1" applyFont="1" applyFill="1" applyBorder="1" applyAlignment="1">
      <alignment horizontal="center" vertical="center" wrapText="1"/>
    </xf>
    <xf numFmtId="167" fontId="85" fillId="3" borderId="46" xfId="8" applyNumberFormat="1" applyFont="1" applyFill="1" applyBorder="1" applyAlignment="1">
      <alignment horizontal="center" vertical="center" wrapText="1"/>
    </xf>
    <xf numFmtId="167" fontId="85" fillId="3" borderId="48" xfId="8" applyNumberFormat="1" applyFont="1" applyFill="1" applyBorder="1" applyAlignment="1">
      <alignment horizontal="center" vertical="center" wrapText="1"/>
    </xf>
    <xf numFmtId="167" fontId="85" fillId="3" borderId="49" xfId="8" applyNumberFormat="1" applyFont="1" applyFill="1" applyBorder="1" applyAlignment="1">
      <alignment horizontal="center" vertical="center" wrapText="1"/>
    </xf>
    <xf numFmtId="165" fontId="7" fillId="0" borderId="2" xfId="6" applyNumberFormat="1" applyFont="1" applyBorder="1" applyAlignment="1">
      <alignment horizontal="center" vertical="center"/>
    </xf>
    <xf numFmtId="4" fontId="38" fillId="3" borderId="4" xfId="0" applyNumberFormat="1" applyFont="1" applyFill="1" applyBorder="1" applyAlignment="1">
      <alignment horizontal="center"/>
    </xf>
    <xf numFmtId="4" fontId="38" fillId="3" borderId="4" xfId="0" applyNumberFormat="1" applyFont="1" applyFill="1" applyBorder="1" applyAlignment="1">
      <alignment horizontal="center" vertical="center"/>
    </xf>
    <xf numFmtId="3" fontId="20" fillId="0" borderId="40" xfId="0" applyNumberFormat="1" applyFont="1" applyBorder="1" applyAlignment="1">
      <alignment horizontal="center" vertical="center"/>
    </xf>
    <xf numFmtId="165" fontId="70" fillId="6" borderId="51" xfId="6" applyNumberFormat="1" applyFont="1" applyFill="1" applyBorder="1" applyAlignment="1">
      <alignment horizontal="center" vertical="center"/>
    </xf>
    <xf numFmtId="165" fontId="70" fillId="6" borderId="52" xfId="6" applyNumberFormat="1" applyFont="1" applyFill="1" applyBorder="1" applyAlignment="1">
      <alignment horizontal="center" vertical="center"/>
    </xf>
    <xf numFmtId="0" fontId="15" fillId="0" borderId="16" xfId="0" applyFont="1" applyBorder="1" applyAlignment="1">
      <alignment horizontal="left" vertical="center"/>
    </xf>
    <xf numFmtId="0" fontId="13" fillId="0" borderId="0" xfId="0" applyFont="1" applyAlignment="1">
      <alignment horizontal="left" vertical="center"/>
    </xf>
    <xf numFmtId="0" fontId="3" fillId="3" borderId="16" xfId="0" applyFont="1" applyFill="1" applyBorder="1" applyAlignment="1">
      <alignment vertical="center"/>
    </xf>
    <xf numFmtId="43" fontId="66" fillId="6" borderId="2" xfId="6" applyNumberFormat="1" applyFont="1" applyFill="1" applyBorder="1" applyAlignment="1">
      <alignment horizontal="center" vertical="center"/>
    </xf>
    <xf numFmtId="0" fontId="14" fillId="3" borderId="0" xfId="6" applyFont="1" applyFill="1" applyAlignment="1">
      <alignment horizontal="center" vertical="center" wrapText="1"/>
    </xf>
    <xf numFmtId="0" fontId="72" fillId="11" borderId="2" xfId="6" applyFont="1" applyFill="1" applyBorder="1" applyAlignment="1">
      <alignment horizontal="center" vertical="center" wrapText="1"/>
    </xf>
    <xf numFmtId="0" fontId="14" fillId="0" borderId="2" xfId="6" applyFont="1" applyBorder="1" applyAlignment="1">
      <alignment horizontal="center" vertical="center" wrapText="1"/>
    </xf>
    <xf numFmtId="0" fontId="72" fillId="11" borderId="2" xfId="6" applyFont="1" applyFill="1" applyBorder="1" applyAlignment="1">
      <alignment vertical="center" wrapText="1"/>
    </xf>
    <xf numFmtId="0" fontId="14" fillId="0" borderId="0" xfId="6" applyFont="1" applyAlignment="1">
      <alignment horizontal="center" vertical="center" wrapText="1"/>
    </xf>
    <xf numFmtId="43" fontId="14" fillId="3" borderId="0" xfId="6" applyNumberFormat="1" applyFont="1" applyFill="1" applyAlignment="1">
      <alignment horizontal="center" vertical="center" wrapText="1"/>
    </xf>
    <xf numFmtId="43" fontId="65" fillId="11" borderId="2" xfId="6" applyNumberFormat="1" applyFont="1" applyFill="1" applyBorder="1" applyAlignment="1">
      <alignment horizontal="center" vertical="center" wrapText="1"/>
    </xf>
    <xf numFmtId="0" fontId="46" fillId="0" borderId="2" xfId="6" applyFont="1" applyBorder="1" applyAlignment="1">
      <alignment horizontal="center" vertical="center" wrapText="1"/>
    </xf>
    <xf numFmtId="17" fontId="46" fillId="0" borderId="2" xfId="6" applyNumberFormat="1" applyFont="1" applyBorder="1" applyAlignment="1">
      <alignment horizontal="center" vertical="center" wrapText="1"/>
    </xf>
    <xf numFmtId="43" fontId="75" fillId="11" borderId="2" xfId="6" applyNumberFormat="1" applyFont="1" applyFill="1" applyBorder="1" applyAlignment="1">
      <alignment horizontal="center" vertical="center" wrapText="1"/>
    </xf>
    <xf numFmtId="43" fontId="77" fillId="11" borderId="2" xfId="6" applyNumberFormat="1" applyFont="1" applyFill="1" applyBorder="1" applyAlignment="1">
      <alignment vertical="center" wrapText="1"/>
    </xf>
    <xf numFmtId="0" fontId="14" fillId="0" borderId="0" xfId="6" applyFont="1" applyAlignment="1">
      <alignment vertical="center" wrapText="1"/>
    </xf>
    <xf numFmtId="43" fontId="65" fillId="11" borderId="2" xfId="6" applyNumberFormat="1" applyFont="1" applyFill="1" applyBorder="1" applyAlignment="1">
      <alignment vertical="center" wrapText="1"/>
    </xf>
    <xf numFmtId="43" fontId="75" fillId="11" borderId="2" xfId="6" applyNumberFormat="1" applyFont="1" applyFill="1" applyBorder="1" applyAlignment="1">
      <alignment vertical="center" wrapText="1"/>
    </xf>
    <xf numFmtId="43" fontId="76" fillId="11" borderId="2" xfId="6" applyNumberFormat="1" applyFont="1" applyFill="1" applyBorder="1" applyAlignment="1">
      <alignment vertical="center" wrapText="1"/>
    </xf>
    <xf numFmtId="0" fontId="77" fillId="11" borderId="2" xfId="6" applyFont="1" applyFill="1" applyBorder="1" applyAlignment="1">
      <alignment vertical="center" wrapText="1"/>
    </xf>
    <xf numFmtId="0" fontId="78" fillId="11" borderId="2" xfId="6" applyFont="1" applyFill="1" applyBorder="1" applyAlignment="1">
      <alignment vertical="center" wrapText="1"/>
    </xf>
    <xf numFmtId="0" fontId="73" fillId="0" borderId="1" xfId="6" applyFont="1" applyBorder="1" applyAlignment="1">
      <alignment horizontal="center" vertical="center" wrapText="1"/>
    </xf>
    <xf numFmtId="17" fontId="0" fillId="0" borderId="40" xfId="0" applyNumberFormat="1" applyBorder="1" applyAlignment="1">
      <alignment horizontal="left" vertical="center"/>
    </xf>
    <xf numFmtId="43" fontId="14" fillId="0" borderId="0" xfId="6" applyNumberFormat="1" applyFont="1" applyAlignment="1">
      <alignment horizontal="center" vertical="center"/>
    </xf>
    <xf numFmtId="43" fontId="65" fillId="10" borderId="36" xfId="6" applyNumberFormat="1" applyFont="1" applyFill="1" applyBorder="1" applyAlignment="1">
      <alignment horizontal="center" vertical="center" wrapText="1"/>
    </xf>
    <xf numFmtId="0" fontId="0" fillId="0" borderId="0" xfId="0" applyAlignment="1">
      <alignment horizontal="left" vertical="center"/>
    </xf>
    <xf numFmtId="0" fontId="38" fillId="0" borderId="2" xfId="0" applyFont="1" applyBorder="1" applyAlignment="1">
      <alignment horizontal="center" vertical="center" wrapText="1"/>
    </xf>
    <xf numFmtId="0" fontId="0" fillId="3" borderId="7" xfId="0" applyFill="1" applyBorder="1" applyAlignment="1">
      <alignment vertical="center"/>
    </xf>
    <xf numFmtId="4" fontId="30" fillId="0" borderId="0" xfId="6" applyNumberFormat="1" applyFont="1" applyAlignment="1">
      <alignment horizontal="center"/>
    </xf>
    <xf numFmtId="43" fontId="53" fillId="14" borderId="0" xfId="6" applyNumberFormat="1" applyFont="1" applyFill="1" applyAlignment="1">
      <alignment vertical="center"/>
    </xf>
    <xf numFmtId="0" fontId="92" fillId="0" borderId="7" xfId="17" applyFont="1" applyBorder="1" applyAlignment="1">
      <alignment horizontal="left"/>
    </xf>
    <xf numFmtId="0" fontId="45" fillId="0" borderId="0" xfId="17" applyAlignment="1">
      <alignment horizontal="left" vertical="center"/>
    </xf>
    <xf numFmtId="0" fontId="14" fillId="0" borderId="27" xfId="6" applyFont="1" applyBorder="1" applyAlignment="1">
      <alignment horizontal="center" vertical="center"/>
    </xf>
    <xf numFmtId="0" fontId="14" fillId="0" borderId="28" xfId="6" applyFont="1" applyBorder="1" applyAlignment="1">
      <alignment horizontal="center" vertical="center"/>
    </xf>
    <xf numFmtId="17" fontId="71" fillId="3" borderId="0" xfId="0" applyNumberFormat="1" applyFont="1" applyFill="1" applyAlignment="1">
      <alignment vertical="center" textRotation="90" wrapText="1"/>
    </xf>
    <xf numFmtId="0" fontId="94" fillId="0" borderId="0" xfId="6" applyFont="1" applyAlignment="1">
      <alignment horizontal="center" vertical="center"/>
    </xf>
    <xf numFmtId="176" fontId="20" fillId="0" borderId="40" xfId="0" applyNumberFormat="1" applyFont="1" applyBorder="1" applyAlignment="1">
      <alignment horizontal="center" vertical="center"/>
    </xf>
    <xf numFmtId="3" fontId="0" fillId="0" borderId="2" xfId="0" applyNumberFormat="1" applyBorder="1" applyAlignment="1">
      <alignment horizontal="center" vertical="center" wrapText="1"/>
    </xf>
    <xf numFmtId="0" fontId="59" fillId="16" borderId="0" xfId="0" applyFont="1" applyFill="1" applyAlignment="1">
      <alignment vertical="center"/>
    </xf>
    <xf numFmtId="0" fontId="44" fillId="0" borderId="5" xfId="6" applyFont="1" applyBorder="1" applyAlignment="1">
      <alignment horizontal="center" vertical="center"/>
    </xf>
    <xf numFmtId="43" fontId="0" fillId="0" borderId="5" xfId="7" applyFont="1" applyBorder="1" applyAlignment="1">
      <alignment horizontal="center" vertical="center"/>
    </xf>
    <xf numFmtId="0" fontId="48" fillId="0" borderId="0" xfId="0" applyFont="1"/>
    <xf numFmtId="0" fontId="50" fillId="0" borderId="0" xfId="0" applyFont="1"/>
    <xf numFmtId="0" fontId="47" fillId="0" borderId="0" xfId="0" applyFont="1"/>
    <xf numFmtId="0" fontId="8" fillId="0" borderId="0" xfId="0" applyFont="1" applyAlignment="1">
      <alignment horizontal="left" vertical="center"/>
    </xf>
    <xf numFmtId="0" fontId="7" fillId="0" borderId="0" xfId="0" applyFont="1" applyAlignment="1">
      <alignment horizontal="left" vertical="top"/>
    </xf>
    <xf numFmtId="167" fontId="85" fillId="3" borderId="54" xfId="8" applyNumberFormat="1" applyFont="1" applyFill="1" applyBorder="1" applyAlignment="1">
      <alignment horizontal="center" vertical="center" wrapText="1"/>
    </xf>
    <xf numFmtId="167" fontId="85" fillId="3" borderId="55" xfId="8" applyNumberFormat="1" applyFont="1" applyFill="1" applyBorder="1" applyAlignment="1">
      <alignment horizontal="center" vertical="center" wrapText="1"/>
    </xf>
    <xf numFmtId="4" fontId="38" fillId="3" borderId="0" xfId="0" applyNumberFormat="1" applyFont="1" applyFill="1" applyAlignment="1">
      <alignment horizontal="center"/>
    </xf>
    <xf numFmtId="14" fontId="47" fillId="0" borderId="0" xfId="0" applyNumberFormat="1" applyFont="1"/>
    <xf numFmtId="0" fontId="49" fillId="0" borderId="0" xfId="0" applyFont="1" applyAlignment="1">
      <alignment horizontal="centerContinuous" vertical="center"/>
    </xf>
    <xf numFmtId="0" fontId="50" fillId="0" borderId="0" xfId="0" applyFont="1" applyAlignment="1">
      <alignment horizontal="centerContinuous"/>
    </xf>
    <xf numFmtId="0" fontId="50" fillId="0" borderId="0" xfId="0" applyFont="1" applyAlignment="1">
      <alignment horizontal="centerContinuous" vertical="center"/>
    </xf>
    <xf numFmtId="0" fontId="49" fillId="0" borderId="0" xfId="0" applyFont="1" applyAlignment="1">
      <alignment horizontal="centerContinuous" vertical="top"/>
    </xf>
    <xf numFmtId="0" fontId="50" fillId="0" borderId="0" xfId="0" applyFont="1" applyAlignment="1">
      <alignment horizontal="centerContinuous" vertical="top"/>
    </xf>
    <xf numFmtId="0" fontId="51" fillId="2" borderId="1" xfId="0" applyFont="1" applyFill="1" applyBorder="1" applyAlignment="1">
      <alignment horizontal="center" vertical="center" wrapText="1"/>
    </xf>
    <xf numFmtId="0" fontId="51" fillId="2" borderId="2"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43" fillId="0" borderId="2" xfId="0" applyFont="1" applyBorder="1" applyAlignment="1">
      <alignment horizontal="center" vertical="center" wrapText="1"/>
    </xf>
    <xf numFmtId="0" fontId="43" fillId="0" borderId="2" xfId="0" applyFont="1" applyBorder="1" applyAlignment="1">
      <alignment vertical="center" wrapText="1"/>
    </xf>
    <xf numFmtId="4" fontId="43" fillId="0" borderId="2" xfId="0" applyNumberFormat="1" applyFont="1" applyBorder="1" applyAlignment="1">
      <alignment horizontal="right" vertical="center" wrapText="1"/>
    </xf>
    <xf numFmtId="4" fontId="43" fillId="0" borderId="3" xfId="0" applyNumberFormat="1" applyFont="1" applyBorder="1" applyAlignment="1">
      <alignment horizontal="right" vertical="center" wrapText="1"/>
    </xf>
    <xf numFmtId="0" fontId="43" fillId="0" borderId="0" xfId="0" applyFont="1" applyAlignment="1">
      <alignment horizontal="center" vertical="center" wrapText="1"/>
    </xf>
    <xf numFmtId="0" fontId="43" fillId="0" borderId="0" xfId="0" applyFont="1" applyAlignment="1">
      <alignment vertical="center" wrapText="1"/>
    </xf>
    <xf numFmtId="0" fontId="43" fillId="0" borderId="0" xfId="0" applyFont="1" applyAlignment="1">
      <alignment horizontal="right" vertical="center" wrapText="1"/>
    </xf>
    <xf numFmtId="4" fontId="48" fillId="0" borderId="3" xfId="0" applyNumberFormat="1" applyFont="1" applyBorder="1" applyAlignment="1">
      <alignment horizontal="right" vertical="center" wrapText="1"/>
    </xf>
    <xf numFmtId="0" fontId="66" fillId="6" borderId="56" xfId="0" applyFont="1" applyFill="1" applyBorder="1" applyAlignment="1">
      <alignment vertical="center"/>
    </xf>
    <xf numFmtId="0" fontId="16" fillId="6" borderId="57" xfId="0" applyFont="1" applyFill="1" applyBorder="1" applyAlignment="1">
      <alignment vertical="center"/>
    </xf>
    <xf numFmtId="0" fontId="16" fillId="6" borderId="58" xfId="0" applyFont="1" applyFill="1" applyBorder="1" applyAlignment="1">
      <alignment vertical="center"/>
    </xf>
    <xf numFmtId="0" fontId="93" fillId="0" borderId="59" xfId="0" applyFont="1" applyBorder="1" applyAlignment="1">
      <alignment vertical="center"/>
    </xf>
    <xf numFmtId="0" fontId="93" fillId="0" borderId="60" xfId="0" applyFont="1" applyBorder="1" applyAlignment="1">
      <alignment vertical="center"/>
    </xf>
    <xf numFmtId="0" fontId="93" fillId="0" borderId="61" xfId="0" applyFont="1" applyBorder="1" applyAlignment="1">
      <alignment vertical="center"/>
    </xf>
    <xf numFmtId="4" fontId="93" fillId="0" borderId="62" xfId="0" applyNumberFormat="1" applyFont="1" applyBorder="1" applyAlignment="1">
      <alignment horizontal="center" vertical="center"/>
    </xf>
    <xf numFmtId="0" fontId="93" fillId="0" borderId="63" xfId="0" applyFont="1" applyBorder="1" applyAlignment="1">
      <alignment vertical="center"/>
    </xf>
    <xf numFmtId="0" fontId="13" fillId="0" borderId="3" xfId="0" applyFont="1" applyBorder="1" applyAlignment="1">
      <alignment horizontal="left" vertical="center" wrapText="1"/>
    </xf>
    <xf numFmtId="0" fontId="95" fillId="0" borderId="3" xfId="17" applyFont="1" applyBorder="1" applyAlignment="1">
      <alignment horizontal="left" vertical="center" wrapText="1"/>
    </xf>
    <xf numFmtId="0" fontId="0" fillId="3" borderId="15" xfId="0" applyFill="1" applyBorder="1" applyAlignment="1">
      <alignment horizontal="center" vertical="center"/>
    </xf>
    <xf numFmtId="4" fontId="38" fillId="3" borderId="6" xfId="0" applyNumberFormat="1" applyFont="1" applyFill="1" applyBorder="1" applyAlignment="1">
      <alignment horizontal="center" vertical="center"/>
    </xf>
    <xf numFmtId="0" fontId="20" fillId="3" borderId="4" xfId="2" applyFont="1" applyFill="1" applyBorder="1" applyAlignment="1">
      <alignment horizontal="center" textRotation="90" wrapText="1"/>
    </xf>
    <xf numFmtId="178" fontId="0" fillId="18" borderId="0" xfId="0" quotePrefix="1" applyNumberFormat="1" applyFill="1" applyAlignment="1">
      <alignment horizontal="center" vertical="center"/>
    </xf>
    <xf numFmtId="0" fontId="0" fillId="0" borderId="64" xfId="0" applyBorder="1" applyAlignment="1">
      <alignment horizontal="center" vertical="center" wrapText="1"/>
    </xf>
    <xf numFmtId="0" fontId="0" fillId="0" borderId="68" xfId="0" applyBorder="1" applyAlignment="1">
      <alignment vertical="center" wrapText="1"/>
    </xf>
    <xf numFmtId="0" fontId="0" fillId="0" borderId="69" xfId="0" applyBorder="1" applyAlignment="1">
      <alignment horizontal="center" vertical="center" wrapText="1"/>
    </xf>
    <xf numFmtId="166" fontId="0" fillId="0" borderId="0" xfId="1" applyNumberFormat="1" applyFont="1" applyAlignment="1">
      <alignment vertical="center"/>
    </xf>
    <xf numFmtId="0" fontId="66" fillId="19" borderId="0" xfId="0" applyFont="1" applyFill="1" applyAlignment="1">
      <alignment horizontal="center" vertical="center" wrapText="1"/>
    </xf>
    <xf numFmtId="176" fontId="10" fillId="0" borderId="40" xfId="0" applyNumberFormat="1" applyFont="1" applyBorder="1" applyAlignment="1">
      <alignment horizontal="center" vertical="center"/>
    </xf>
    <xf numFmtId="4" fontId="64" fillId="0" borderId="16" xfId="19" applyNumberFormat="1" applyFont="1" applyFill="1" applyBorder="1" applyAlignment="1">
      <alignment horizontal="center" vertical="center" wrapText="1"/>
    </xf>
    <xf numFmtId="4" fontId="64" fillId="0" borderId="0" xfId="19" applyNumberFormat="1" applyFont="1" applyFill="1" applyBorder="1" applyAlignment="1">
      <alignment horizontal="center" vertical="center" wrapText="1"/>
    </xf>
    <xf numFmtId="4" fontId="64" fillId="0" borderId="7" xfId="19" applyNumberFormat="1" applyFont="1" applyFill="1" applyBorder="1" applyAlignment="1">
      <alignment horizontal="center" vertical="center" wrapText="1"/>
    </xf>
    <xf numFmtId="177" fontId="13" fillId="0" borderId="40" xfId="0" applyNumberFormat="1" applyFont="1" applyBorder="1" applyAlignment="1">
      <alignment horizontal="left" vertical="center" wrapText="1"/>
    </xf>
    <xf numFmtId="43" fontId="33" fillId="7" borderId="3" xfId="6" applyNumberFormat="1" applyFont="1" applyFill="1" applyBorder="1" applyAlignment="1">
      <alignment horizontal="center" vertical="center" wrapText="1"/>
    </xf>
    <xf numFmtId="0" fontId="20" fillId="3" borderId="2" xfId="0" applyFont="1" applyFill="1" applyBorder="1" applyAlignment="1">
      <alignment vertical="center"/>
    </xf>
    <xf numFmtId="0" fontId="20" fillId="3" borderId="2" xfId="0" applyFont="1" applyFill="1" applyBorder="1" applyAlignment="1">
      <alignment horizontal="center" vertical="center" wrapText="1"/>
    </xf>
    <xf numFmtId="1" fontId="0" fillId="15" borderId="43" xfId="0" applyNumberFormat="1" applyFill="1" applyBorder="1" applyAlignment="1">
      <alignment horizontal="center" vertical="center"/>
    </xf>
    <xf numFmtId="0" fontId="96" fillId="5" borderId="2" xfId="0" applyFont="1" applyFill="1" applyBorder="1" applyAlignment="1">
      <alignment horizontal="center" vertical="center" wrapText="1"/>
    </xf>
    <xf numFmtId="0" fontId="96" fillId="5" borderId="2" xfId="0" applyFont="1" applyFill="1" applyBorder="1" applyAlignment="1">
      <alignment horizontal="center" vertical="center" textRotation="90" wrapText="1"/>
    </xf>
    <xf numFmtId="0" fontId="46" fillId="3" borderId="2" xfId="0" applyFont="1" applyFill="1" applyBorder="1" applyAlignment="1">
      <alignment horizontal="center" vertical="center" wrapText="1"/>
    </xf>
    <xf numFmtId="0" fontId="46" fillId="3" borderId="2" xfId="0" applyFont="1" applyFill="1" applyBorder="1" applyAlignment="1">
      <alignment vertical="center"/>
    </xf>
    <xf numFmtId="0" fontId="13" fillId="3" borderId="2" xfId="0" applyFont="1" applyFill="1" applyBorder="1" applyAlignment="1">
      <alignment horizontal="center" vertical="center"/>
    </xf>
    <xf numFmtId="0" fontId="13" fillId="3" borderId="2" xfId="0" applyFont="1" applyFill="1" applyBorder="1" applyAlignment="1">
      <alignment horizontal="left" vertical="center"/>
    </xf>
    <xf numFmtId="0" fontId="0" fillId="3" borderId="29" xfId="0" applyFill="1" applyBorder="1" applyAlignment="1">
      <alignment vertical="center" wrapText="1"/>
    </xf>
    <xf numFmtId="1" fontId="80" fillId="3" borderId="45" xfId="6" applyNumberFormat="1" applyFont="1" applyFill="1" applyBorder="1" applyAlignment="1">
      <alignment horizontal="center" vertical="center"/>
    </xf>
    <xf numFmtId="0" fontId="80" fillId="3" borderId="54" xfId="6" applyFont="1" applyFill="1" applyBorder="1" applyAlignment="1">
      <alignment horizontal="center" vertical="center"/>
    </xf>
    <xf numFmtId="1" fontId="80" fillId="3" borderId="54" xfId="6" applyNumberFormat="1" applyFont="1" applyFill="1" applyBorder="1" applyAlignment="1">
      <alignment horizontal="center" vertical="center"/>
    </xf>
    <xf numFmtId="0" fontId="72" fillId="11" borderId="3" xfId="6" applyFont="1" applyFill="1" applyBorder="1" applyAlignment="1">
      <alignment horizontal="right" vertical="center"/>
    </xf>
    <xf numFmtId="0" fontId="72" fillId="11" borderId="27" xfId="6" applyFont="1" applyFill="1" applyBorder="1" applyAlignment="1">
      <alignment horizontal="right" vertical="center"/>
    </xf>
    <xf numFmtId="179" fontId="71" fillId="0" borderId="0" xfId="0" applyNumberFormat="1" applyFont="1" applyAlignment="1">
      <alignment horizontal="left" vertical="center" wrapText="1"/>
    </xf>
    <xf numFmtId="17" fontId="13" fillId="0" borderId="7" xfId="0" applyNumberFormat="1" applyFont="1" applyBorder="1" applyAlignment="1">
      <alignment horizontal="left" vertical="center"/>
    </xf>
    <xf numFmtId="0" fontId="10" fillId="0" borderId="29" xfId="0" applyFont="1" applyBorder="1" applyAlignment="1">
      <alignment vertical="center"/>
    </xf>
    <xf numFmtId="0" fontId="10" fillId="3" borderId="29" xfId="0" applyFont="1" applyFill="1" applyBorder="1" applyAlignment="1">
      <alignment vertical="center"/>
    </xf>
    <xf numFmtId="0" fontId="3" fillId="5" borderId="2" xfId="0" applyFont="1" applyFill="1" applyBorder="1" applyAlignment="1">
      <alignment vertical="center" wrapText="1"/>
    </xf>
    <xf numFmtId="0" fontId="14" fillId="0" borderId="0" xfId="6" quotePrefix="1" applyFont="1" applyAlignment="1">
      <alignment horizontal="center" vertical="center" wrapText="1"/>
    </xf>
    <xf numFmtId="0" fontId="98" fillId="0" borderId="0" xfId="0" applyFont="1" applyAlignment="1">
      <alignment vertical="center"/>
    </xf>
    <xf numFmtId="0" fontId="75" fillId="0" borderId="0" xfId="0" applyFont="1" applyAlignment="1">
      <alignment vertical="center"/>
    </xf>
    <xf numFmtId="0" fontId="71" fillId="0" borderId="35" xfId="0" applyFont="1" applyBorder="1" applyAlignment="1">
      <alignment horizontal="center" vertical="center"/>
    </xf>
    <xf numFmtId="0" fontId="19" fillId="0" borderId="35" xfId="0" applyFont="1" applyBorder="1" applyAlignment="1">
      <alignment horizontal="center" vertical="center"/>
    </xf>
    <xf numFmtId="0" fontId="71" fillId="0" borderId="0" xfId="0" applyFont="1" applyAlignment="1">
      <alignment horizontal="center" vertical="center"/>
    </xf>
    <xf numFmtId="0" fontId="0" fillId="0" borderId="65" xfId="0" applyBorder="1" applyAlignment="1">
      <alignment vertical="center"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4" fontId="93" fillId="0" borderId="0" xfId="0" applyNumberFormat="1" applyFont="1" applyAlignment="1">
      <alignment horizontal="center" vertical="center"/>
    </xf>
    <xf numFmtId="0" fontId="93" fillId="0" borderId="56" xfId="0" applyFont="1" applyBorder="1" applyAlignment="1">
      <alignment vertical="center"/>
    </xf>
    <xf numFmtId="4" fontId="93" fillId="0" borderId="57" xfId="0" applyNumberFormat="1" applyFont="1" applyBorder="1" applyAlignment="1">
      <alignment horizontal="center" vertical="center"/>
    </xf>
    <xf numFmtId="0" fontId="93" fillId="0" borderId="58" xfId="0" applyFont="1" applyBorder="1" applyAlignment="1">
      <alignment vertical="center"/>
    </xf>
    <xf numFmtId="0" fontId="99" fillId="0" borderId="0" xfId="0" applyFont="1" applyAlignment="1">
      <alignment horizontal="center" vertical="center"/>
    </xf>
    <xf numFmtId="0" fontId="71" fillId="0" borderId="0" xfId="0" applyFont="1" applyAlignment="1">
      <alignment vertical="center"/>
    </xf>
    <xf numFmtId="0" fontId="10" fillId="0" borderId="64"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66" xfId="0" applyFont="1" applyBorder="1" applyAlignment="1">
      <alignment horizontal="center" vertical="center" wrapText="1"/>
    </xf>
    <xf numFmtId="0" fontId="0" fillId="0" borderId="0" xfId="0" applyAlignment="1">
      <alignment horizontal="left" vertical="center" wrapText="1"/>
    </xf>
    <xf numFmtId="4" fontId="0" fillId="0" borderId="0" xfId="0" applyNumberFormat="1" applyAlignment="1">
      <alignment horizontal="center"/>
    </xf>
    <xf numFmtId="4" fontId="18" fillId="0" borderId="0" xfId="0" applyNumberFormat="1" applyFont="1" applyAlignment="1">
      <alignment horizontal="center"/>
    </xf>
    <xf numFmtId="1" fontId="0" fillId="3" borderId="2" xfId="0" applyNumberFormat="1" applyFill="1" applyBorder="1" applyAlignment="1">
      <alignment horizontal="center" vertical="center" wrapText="1"/>
    </xf>
    <xf numFmtId="1" fontId="13" fillId="3" borderId="2" xfId="0" applyNumberFormat="1" applyFont="1" applyFill="1" applyBorder="1" applyAlignment="1">
      <alignment horizontal="center" vertical="center" wrapText="1"/>
    </xf>
    <xf numFmtId="4" fontId="13" fillId="0" borderId="3" xfId="0" applyNumberFormat="1" applyFont="1" applyBorder="1" applyAlignment="1">
      <alignment horizontal="center" vertical="center" wrapText="1"/>
    </xf>
    <xf numFmtId="9" fontId="13" fillId="0" borderId="3" xfId="0" applyNumberFormat="1" applyFont="1" applyBorder="1" applyAlignment="1">
      <alignment horizontal="center" vertical="center" wrapText="1"/>
    </xf>
    <xf numFmtId="9" fontId="12" fillId="3" borderId="0" xfId="1" applyFont="1" applyFill="1" applyBorder="1" applyAlignment="1">
      <alignment horizontal="center"/>
    </xf>
    <xf numFmtId="180" fontId="0" fillId="0" borderId="1" xfId="0" applyNumberFormat="1" applyBorder="1" applyAlignment="1">
      <alignment vertical="center"/>
    </xf>
    <xf numFmtId="180" fontId="3" fillId="5" borderId="1" xfId="0" applyNumberFormat="1" applyFont="1" applyFill="1" applyBorder="1" applyAlignment="1">
      <alignment vertical="center"/>
    </xf>
    <xf numFmtId="0" fontId="66" fillId="19" borderId="70" xfId="0" applyFont="1" applyFill="1" applyBorder="1" applyAlignment="1">
      <alignment horizontal="center" vertical="center" wrapText="1"/>
    </xf>
    <xf numFmtId="0" fontId="66" fillId="19" borderId="36" xfId="0" applyFont="1" applyFill="1" applyBorder="1" applyAlignment="1">
      <alignment horizontal="center" vertical="center" wrapText="1"/>
    </xf>
    <xf numFmtId="0" fontId="66" fillId="19" borderId="16" xfId="0" applyFont="1" applyFill="1" applyBorder="1" applyAlignment="1">
      <alignment horizontal="center" vertical="center" wrapText="1"/>
    </xf>
    <xf numFmtId="0" fontId="66" fillId="19" borderId="17" xfId="0" applyFont="1" applyFill="1" applyBorder="1" applyAlignment="1">
      <alignment horizontal="center" vertical="center" wrapText="1"/>
    </xf>
    <xf numFmtId="0" fontId="63" fillId="6" borderId="15" xfId="6" applyFont="1" applyFill="1" applyBorder="1" applyAlignment="1">
      <alignment vertical="center"/>
    </xf>
    <xf numFmtId="0" fontId="52" fillId="6" borderId="16" xfId="6" applyFont="1" applyFill="1" applyBorder="1" applyAlignment="1">
      <alignment vertical="center"/>
    </xf>
    <xf numFmtId="0" fontId="52" fillId="6" borderId="17" xfId="6" applyFont="1" applyFill="1" applyBorder="1" applyAlignment="1">
      <alignment vertical="center"/>
    </xf>
    <xf numFmtId="0" fontId="67" fillId="0" borderId="0" xfId="6" applyFont="1" applyAlignment="1">
      <alignment horizontal="center" vertical="center"/>
    </xf>
    <xf numFmtId="4" fontId="46" fillId="0" borderId="0" xfId="0" applyNumberFormat="1" applyFont="1" applyAlignment="1">
      <alignment horizontal="center" vertical="center" wrapText="1"/>
    </xf>
    <xf numFmtId="0" fontId="46" fillId="0" borderId="0" xfId="0" applyFont="1" applyAlignment="1">
      <alignment horizontal="center" vertical="center"/>
    </xf>
    <xf numFmtId="0" fontId="46" fillId="0" borderId="0" xfId="0" applyFont="1" applyAlignment="1">
      <alignment horizontal="center" vertical="center" wrapText="1"/>
    </xf>
    <xf numFmtId="4" fontId="46" fillId="0" borderId="0" xfId="0" applyNumberFormat="1" applyFont="1" applyAlignment="1">
      <alignment horizontal="center" vertical="center"/>
    </xf>
    <xf numFmtId="4" fontId="64" fillId="0" borderId="0" xfId="0" applyNumberFormat="1" applyFont="1" applyAlignment="1">
      <alignment horizontal="center" vertical="center" wrapText="1"/>
    </xf>
    <xf numFmtId="0" fontId="46" fillId="0" borderId="0" xfId="6" applyFont="1" applyAlignment="1">
      <alignment horizontal="center" vertical="center" wrapText="1"/>
    </xf>
    <xf numFmtId="0" fontId="69" fillId="6" borderId="7" xfId="0" applyFont="1" applyFill="1" applyBorder="1" applyAlignment="1">
      <alignment horizontal="center" vertical="center" wrapText="1"/>
    </xf>
    <xf numFmtId="4" fontId="69" fillId="6" borderId="7" xfId="0" applyNumberFormat="1" applyFont="1" applyFill="1" applyBorder="1" applyAlignment="1">
      <alignment horizontal="center" vertical="center"/>
    </xf>
    <xf numFmtId="4" fontId="69" fillId="6" borderId="7" xfId="0" applyNumberFormat="1" applyFont="1" applyFill="1" applyBorder="1" applyAlignment="1">
      <alignment horizontal="left" vertical="center"/>
    </xf>
    <xf numFmtId="4" fontId="69" fillId="6" borderId="7" xfId="0" applyNumberFormat="1" applyFont="1" applyFill="1" applyBorder="1" applyAlignment="1">
      <alignment horizontal="center" vertical="center" wrapText="1"/>
    </xf>
    <xf numFmtId="4" fontId="62" fillId="6" borderId="7" xfId="19" applyNumberFormat="1" applyFont="1" applyFill="1" applyBorder="1" applyAlignment="1">
      <alignment horizontal="center" vertical="center" wrapText="1"/>
    </xf>
    <xf numFmtId="0" fontId="37" fillId="0" borderId="0" xfId="0" applyFont="1" applyAlignment="1">
      <alignment horizontal="center" vertical="center" wrapText="1"/>
    </xf>
    <xf numFmtId="0" fontId="37" fillId="0" borderId="7" xfId="0" applyFont="1" applyBorder="1" applyAlignment="1">
      <alignment horizontal="center" vertical="center" wrapText="1"/>
    </xf>
    <xf numFmtId="0" fontId="38" fillId="0" borderId="2" xfId="0" applyFont="1" applyBorder="1" applyAlignment="1">
      <alignment vertical="center" wrapText="1"/>
    </xf>
    <xf numFmtId="0" fontId="97" fillId="5" borderId="2" xfId="0" applyFont="1" applyFill="1" applyBorder="1" applyAlignment="1">
      <alignment horizontal="center" vertical="center" wrapText="1"/>
    </xf>
    <xf numFmtId="1" fontId="38" fillId="0" borderId="2" xfId="0" applyNumberFormat="1" applyFont="1" applyBorder="1" applyAlignment="1">
      <alignment horizontal="center" vertical="center"/>
    </xf>
    <xf numFmtId="44" fontId="38" fillId="0" borderId="2" xfId="20" applyFont="1" applyBorder="1" applyAlignment="1">
      <alignment horizontal="center" vertical="center"/>
    </xf>
    <xf numFmtId="44" fontId="38" fillId="7" borderId="2" xfId="20" applyFont="1" applyFill="1" applyBorder="1" applyAlignment="1">
      <alignment horizontal="center" vertical="center"/>
    </xf>
    <xf numFmtId="44" fontId="100" fillId="6" borderId="52" xfId="0" applyNumberFormat="1" applyFont="1" applyFill="1" applyBorder="1" applyAlignment="1">
      <alignment vertical="center"/>
    </xf>
    <xf numFmtId="0" fontId="45" fillId="0" borderId="0" xfId="17" applyAlignment="1">
      <alignment vertical="center"/>
    </xf>
    <xf numFmtId="0" fontId="96" fillId="4" borderId="2" xfId="0" applyFont="1" applyFill="1" applyBorder="1" applyAlignment="1">
      <alignment horizontal="center" vertical="center" wrapText="1"/>
    </xf>
    <xf numFmtId="0" fontId="96" fillId="4" borderId="2" xfId="0" applyFont="1" applyFill="1" applyBorder="1" applyAlignment="1">
      <alignment horizontal="center" vertical="center" textRotation="90" wrapText="1"/>
    </xf>
    <xf numFmtId="0" fontId="61" fillId="3" borderId="32" xfId="6" applyFont="1" applyFill="1" applyBorder="1" applyAlignment="1">
      <alignment horizontal="left" vertical="center"/>
    </xf>
    <xf numFmtId="43" fontId="6" fillId="3" borderId="32" xfId="6" applyNumberFormat="1" applyFont="1" applyFill="1" applyBorder="1" applyAlignment="1">
      <alignment horizontal="center" vertical="center" wrapText="1"/>
    </xf>
    <xf numFmtId="43" fontId="84" fillId="3" borderId="32" xfId="6" applyNumberFormat="1" applyFont="1" applyFill="1" applyBorder="1" applyAlignment="1">
      <alignment horizontal="left" vertical="center"/>
    </xf>
    <xf numFmtId="166" fontId="6" fillId="3" borderId="32" xfId="8" applyNumberFormat="1" applyFont="1" applyFill="1" applyBorder="1" applyAlignment="1">
      <alignment horizontal="center" vertical="center" wrapText="1"/>
    </xf>
    <xf numFmtId="0" fontId="61" fillId="3" borderId="45" xfId="6" applyFont="1" applyFill="1" applyBorder="1" applyAlignment="1">
      <alignment horizontal="left" vertical="center"/>
    </xf>
    <xf numFmtId="43" fontId="84" fillId="3" borderId="45" xfId="6" applyNumberFormat="1" applyFont="1" applyFill="1" applyBorder="1" applyAlignment="1">
      <alignment horizontal="left" vertical="center"/>
    </xf>
    <xf numFmtId="166" fontId="4" fillId="3" borderId="45" xfId="8" applyNumberFormat="1" applyFont="1" applyFill="1" applyBorder="1" applyAlignment="1">
      <alignment horizontal="center" vertical="center"/>
    </xf>
    <xf numFmtId="0" fontId="61" fillId="3" borderId="54" xfId="6" applyFont="1" applyFill="1" applyBorder="1" applyAlignment="1">
      <alignment horizontal="left" vertical="center"/>
    </xf>
    <xf numFmtId="43" fontId="84" fillId="3" borderId="54" xfId="6" applyNumberFormat="1" applyFont="1" applyFill="1" applyBorder="1" applyAlignment="1">
      <alignment horizontal="left" vertical="center"/>
    </xf>
    <xf numFmtId="166" fontId="4" fillId="3" borderId="54" xfId="8" applyNumberFormat="1" applyFont="1" applyFill="1" applyBorder="1" applyAlignment="1">
      <alignment horizontal="center" vertical="center"/>
    </xf>
    <xf numFmtId="43" fontId="84" fillId="3" borderId="48" xfId="6" applyNumberFormat="1" applyFont="1" applyFill="1" applyBorder="1" applyAlignment="1">
      <alignment horizontal="left" vertical="center"/>
    </xf>
    <xf numFmtId="166" fontId="4" fillId="3" borderId="48" xfId="8" applyNumberFormat="1" applyFont="1" applyFill="1" applyBorder="1" applyAlignment="1">
      <alignment horizontal="center" vertical="center"/>
    </xf>
    <xf numFmtId="0" fontId="86" fillId="3" borderId="54" xfId="6" applyFont="1" applyFill="1" applyBorder="1" applyAlignment="1">
      <alignment horizontal="center" vertical="center" wrapText="1"/>
    </xf>
    <xf numFmtId="0" fontId="86" fillId="3" borderId="48" xfId="6" applyFont="1" applyFill="1" applyBorder="1" applyAlignment="1">
      <alignment horizontal="center" vertical="center" wrapText="1"/>
    </xf>
    <xf numFmtId="0" fontId="61" fillId="3" borderId="54" xfId="6" applyFont="1" applyFill="1" applyBorder="1" applyAlignment="1">
      <alignment horizontal="left" vertical="center" wrapText="1"/>
    </xf>
    <xf numFmtId="0" fontId="61" fillId="3" borderId="48" xfId="6" applyFont="1" applyFill="1" applyBorder="1" applyAlignment="1">
      <alignment horizontal="left" vertical="center" wrapText="1"/>
    </xf>
    <xf numFmtId="0" fontId="81" fillId="3" borderId="0" xfId="6" applyFont="1" applyFill="1" applyAlignment="1">
      <alignment horizontal="center" vertical="center"/>
    </xf>
    <xf numFmtId="0" fontId="81" fillId="3" borderId="0" xfId="6" applyFont="1" applyFill="1" applyAlignment="1">
      <alignment horizontal="left" vertical="center"/>
    </xf>
    <xf numFmtId="166" fontId="81" fillId="3" borderId="0" xfId="6" applyNumberFormat="1" applyFont="1" applyFill="1" applyAlignment="1">
      <alignment horizontal="center" vertical="center"/>
    </xf>
    <xf numFmtId="0" fontId="82" fillId="3" borderId="0" xfId="6" applyFont="1" applyFill="1" applyAlignment="1">
      <alignment horizontal="left" vertical="center"/>
    </xf>
    <xf numFmtId="0" fontId="31" fillId="3" borderId="0" xfId="6" applyFont="1" applyFill="1" applyAlignment="1">
      <alignment vertical="center"/>
    </xf>
    <xf numFmtId="168" fontId="101" fillId="7" borderId="2" xfId="11" applyNumberFormat="1" applyFont="1" applyFill="1" applyBorder="1" applyAlignment="1">
      <alignment horizontal="center" vertical="center" textRotation="90"/>
    </xf>
    <xf numFmtId="4" fontId="0" fillId="0" borderId="0" xfId="0" applyNumberFormat="1" applyAlignment="1">
      <alignment vertical="center"/>
    </xf>
    <xf numFmtId="0" fontId="58" fillId="6" borderId="15" xfId="6" applyFont="1" applyFill="1" applyBorder="1" applyAlignment="1">
      <alignment vertical="center"/>
    </xf>
    <xf numFmtId="0" fontId="69" fillId="6" borderId="16" xfId="6" applyFont="1" applyFill="1" applyBorder="1" applyAlignment="1">
      <alignment vertical="center"/>
    </xf>
    <xf numFmtId="0" fontId="58" fillId="6" borderId="16" xfId="6" applyFont="1" applyFill="1" applyBorder="1" applyAlignment="1">
      <alignment horizontal="center" vertical="center"/>
    </xf>
    <xf numFmtId="0" fontId="89" fillId="6" borderId="16" xfId="6" applyFont="1" applyFill="1" applyBorder="1" applyAlignment="1">
      <alignment vertical="center"/>
    </xf>
    <xf numFmtId="0" fontId="69" fillId="6" borderId="16" xfId="6" applyFont="1" applyFill="1" applyBorder="1" applyAlignment="1">
      <alignment horizontal="center" vertical="center" wrapText="1"/>
    </xf>
    <xf numFmtId="43" fontId="69" fillId="6" borderId="16" xfId="6" applyNumberFormat="1" applyFont="1" applyFill="1" applyBorder="1" applyAlignment="1">
      <alignment vertical="center"/>
    </xf>
    <xf numFmtId="43" fontId="62" fillId="6" borderId="16" xfId="6" applyNumberFormat="1" applyFont="1" applyFill="1" applyBorder="1" applyAlignment="1">
      <alignment vertical="center"/>
    </xf>
    <xf numFmtId="43" fontId="62" fillId="6" borderId="16" xfId="6" applyNumberFormat="1" applyFont="1" applyFill="1" applyBorder="1" applyAlignment="1">
      <alignment vertical="center" wrapText="1"/>
    </xf>
    <xf numFmtId="43" fontId="62" fillId="6" borderId="17" xfId="6" applyNumberFormat="1" applyFont="1" applyFill="1" applyBorder="1" applyAlignment="1">
      <alignment vertical="center" wrapText="1"/>
    </xf>
    <xf numFmtId="0" fontId="90" fillId="6" borderId="27" xfId="6" applyFont="1" applyFill="1" applyBorder="1" applyAlignment="1">
      <alignment vertical="center"/>
    </xf>
    <xf numFmtId="0" fontId="69" fillId="6" borderId="7" xfId="6" applyFont="1" applyFill="1" applyBorder="1" applyAlignment="1">
      <alignment vertical="center"/>
    </xf>
    <xf numFmtId="0" fontId="90" fillId="6" borderId="7" xfId="6" applyFont="1" applyFill="1" applyBorder="1" applyAlignment="1">
      <alignment horizontal="center" vertical="center"/>
    </xf>
    <xf numFmtId="0" fontId="89" fillId="6" borderId="7" xfId="6" applyFont="1" applyFill="1" applyBorder="1" applyAlignment="1">
      <alignment vertical="center"/>
    </xf>
    <xf numFmtId="0" fontId="91" fillId="6" borderId="7" xfId="6" applyFont="1" applyFill="1" applyBorder="1" applyAlignment="1">
      <alignment horizontal="right" vertical="center" wrapText="1"/>
    </xf>
    <xf numFmtId="17" fontId="91" fillId="6" borderId="7" xfId="6" applyNumberFormat="1" applyFont="1" applyFill="1" applyBorder="1" applyAlignment="1">
      <alignment horizontal="left" vertical="center"/>
    </xf>
    <xf numFmtId="43" fontId="69" fillId="6" borderId="7" xfId="6" applyNumberFormat="1" applyFont="1" applyFill="1" applyBorder="1" applyAlignment="1">
      <alignment horizontal="center" vertical="center" wrapText="1"/>
    </xf>
    <xf numFmtId="43" fontId="69" fillId="6" borderId="28" xfId="6" applyNumberFormat="1" applyFont="1" applyFill="1" applyBorder="1" applyAlignment="1">
      <alignment vertical="center" wrapText="1"/>
    </xf>
    <xf numFmtId="0" fontId="102" fillId="0" borderId="16" xfId="6" applyFont="1" applyBorder="1" applyAlignment="1">
      <alignment horizontal="center" vertical="center" wrapText="1"/>
    </xf>
    <xf numFmtId="0" fontId="102" fillId="0" borderId="0" xfId="6" applyFont="1" applyAlignment="1">
      <alignment horizontal="center" vertical="center" wrapText="1"/>
    </xf>
    <xf numFmtId="0" fontId="102" fillId="0" borderId="7" xfId="6" applyFont="1" applyBorder="1" applyAlignment="1">
      <alignment horizontal="center" vertical="center" wrapText="1"/>
    </xf>
    <xf numFmtId="0" fontId="46" fillId="0" borderId="0" xfId="0" applyFont="1" applyAlignment="1">
      <alignment horizontal="left" vertical="center" wrapText="1" readingOrder="1"/>
    </xf>
    <xf numFmtId="43" fontId="8" fillId="3" borderId="54" xfId="6" applyNumberFormat="1" applyFill="1" applyBorder="1" applyAlignment="1">
      <alignment vertical="center"/>
    </xf>
    <xf numFmtId="43" fontId="8" fillId="3" borderId="48" xfId="6" applyNumberFormat="1" applyFill="1" applyBorder="1" applyAlignment="1">
      <alignment vertical="center"/>
    </xf>
    <xf numFmtId="0" fontId="26" fillId="3" borderId="32" xfId="6" applyFont="1" applyFill="1" applyBorder="1" applyAlignment="1">
      <alignment horizontal="left" vertical="center" wrapText="1"/>
    </xf>
    <xf numFmtId="0" fontId="101" fillId="3" borderId="54" xfId="6" applyFont="1" applyFill="1" applyBorder="1" applyAlignment="1">
      <alignment horizontal="left" vertical="center" wrapText="1"/>
    </xf>
    <xf numFmtId="0" fontId="101" fillId="3" borderId="48" xfId="6" applyFont="1" applyFill="1" applyBorder="1" applyAlignment="1">
      <alignment horizontal="left" vertical="center" wrapText="1"/>
    </xf>
    <xf numFmtId="0" fontId="40" fillId="3" borderId="45" xfId="6" applyFont="1" applyFill="1" applyBorder="1" applyAlignment="1">
      <alignment horizontal="center" vertical="center"/>
    </xf>
    <xf numFmtId="0" fontId="40" fillId="3" borderId="54" xfId="6" applyFont="1" applyFill="1" applyBorder="1" applyAlignment="1">
      <alignment horizontal="center" vertical="center"/>
    </xf>
    <xf numFmtId="0" fontId="86" fillId="3" borderId="54" xfId="6" applyFont="1" applyFill="1" applyBorder="1" applyAlignment="1">
      <alignment horizontal="center" vertical="center"/>
    </xf>
    <xf numFmtId="0" fontId="46" fillId="3" borderId="2" xfId="0" applyFont="1" applyFill="1" applyBorder="1" applyAlignment="1">
      <alignment horizontal="center" vertical="center"/>
    </xf>
    <xf numFmtId="0" fontId="20" fillId="0" borderId="2" xfId="0" applyFont="1" applyBorder="1" applyAlignment="1">
      <alignment horizontal="center" vertical="center" wrapText="1"/>
    </xf>
    <xf numFmtId="1" fontId="0" fillId="0" borderId="32" xfId="0" applyNumberFormat="1" applyBorder="1" applyAlignment="1">
      <alignment horizontal="center" vertical="center"/>
    </xf>
    <xf numFmtId="0" fontId="103" fillId="0" borderId="16" xfId="6" applyFont="1" applyBorder="1" applyAlignment="1">
      <alignment horizontal="center" vertical="center"/>
    </xf>
    <xf numFmtId="0" fontId="103" fillId="0" borderId="7" xfId="6" applyFont="1" applyBorder="1" applyAlignment="1">
      <alignment horizontal="center" vertical="center"/>
    </xf>
    <xf numFmtId="0" fontId="103" fillId="0" borderId="0" xfId="6" applyFont="1" applyAlignment="1">
      <alignment horizontal="center" vertical="center"/>
    </xf>
    <xf numFmtId="0" fontId="13" fillId="0" borderId="0" xfId="0" quotePrefix="1" applyFont="1" applyAlignment="1">
      <alignment vertical="center"/>
    </xf>
    <xf numFmtId="0" fontId="64" fillId="5" borderId="2" xfId="0" applyFont="1" applyFill="1" applyBorder="1" applyAlignment="1">
      <alignment horizontal="center" vertical="center" wrapText="1"/>
    </xf>
    <xf numFmtId="4" fontId="64" fillId="5" borderId="2" xfId="0" applyNumberFormat="1" applyFont="1" applyFill="1" applyBorder="1" applyAlignment="1">
      <alignment horizontal="center" vertical="center" wrapText="1"/>
    </xf>
    <xf numFmtId="44" fontId="97" fillId="7" borderId="2" xfId="20" applyFont="1" applyFill="1" applyBorder="1" applyAlignment="1">
      <alignment horizontal="center" vertical="center"/>
    </xf>
    <xf numFmtId="168" fontId="31" fillId="3" borderId="0" xfId="6" applyNumberFormat="1" applyFont="1" applyFill="1" applyAlignment="1">
      <alignment vertical="center"/>
    </xf>
    <xf numFmtId="17" fontId="13" fillId="0" borderId="40" xfId="0" applyNumberFormat="1" applyFont="1" applyBorder="1" applyAlignment="1">
      <alignment horizontal="left" vertical="center" wrapText="1"/>
    </xf>
    <xf numFmtId="4" fontId="20" fillId="0" borderId="40" xfId="0" applyNumberFormat="1" applyFont="1" applyBorder="1" applyAlignment="1">
      <alignment horizontal="left" vertical="center" wrapText="1"/>
    </xf>
    <xf numFmtId="0" fontId="70" fillId="6" borderId="50" xfId="6" applyFont="1" applyFill="1" applyBorder="1" applyAlignment="1">
      <alignment horizontal="center" vertical="center"/>
    </xf>
    <xf numFmtId="0" fontId="70" fillId="6" borderId="51" xfId="6" applyFont="1" applyFill="1" applyBorder="1" applyAlignment="1">
      <alignment horizontal="center" vertical="center"/>
    </xf>
    <xf numFmtId="0" fontId="70" fillId="6" borderId="0" xfId="6" applyFont="1" applyFill="1" applyAlignment="1">
      <alignment horizontal="center" vertical="center" wrapText="1"/>
    </xf>
    <xf numFmtId="0" fontId="26" fillId="5" borderId="15" xfId="6" applyFont="1" applyFill="1" applyBorder="1" applyAlignment="1">
      <alignment horizontal="center" vertical="center"/>
    </xf>
    <xf numFmtId="0" fontId="26" fillId="5" borderId="17" xfId="6" applyFont="1" applyFill="1" applyBorder="1" applyAlignment="1">
      <alignment horizontal="center" vertical="center"/>
    </xf>
    <xf numFmtId="0" fontId="26" fillId="5" borderId="18" xfId="6" applyFont="1" applyFill="1" applyBorder="1" applyAlignment="1">
      <alignment horizontal="center" vertical="center"/>
    </xf>
    <xf numFmtId="0" fontId="26" fillId="5" borderId="11" xfId="6" applyFont="1" applyFill="1" applyBorder="1" applyAlignment="1">
      <alignment horizontal="center" vertical="center"/>
    </xf>
    <xf numFmtId="0" fontId="26" fillId="5" borderId="27" xfId="6" applyFont="1" applyFill="1" applyBorder="1" applyAlignment="1">
      <alignment horizontal="center" vertical="center"/>
    </xf>
    <xf numFmtId="0" fontId="26" fillId="5" borderId="28" xfId="6" applyFont="1" applyFill="1" applyBorder="1" applyAlignment="1">
      <alignment horizontal="center" vertical="center"/>
    </xf>
    <xf numFmtId="0" fontId="26" fillId="5" borderId="3" xfId="6" applyFont="1" applyFill="1" applyBorder="1" applyAlignment="1">
      <alignment horizontal="center" vertical="center"/>
    </xf>
    <xf numFmtId="0" fontId="26" fillId="5" borderId="29" xfId="6" applyFont="1" applyFill="1" applyBorder="1" applyAlignment="1">
      <alignment horizontal="center" vertical="center"/>
    </xf>
    <xf numFmtId="0" fontId="26" fillId="5" borderId="1" xfId="6" applyFont="1" applyFill="1" applyBorder="1" applyAlignment="1">
      <alignment horizontal="center" vertical="center"/>
    </xf>
    <xf numFmtId="0" fontId="26" fillId="5" borderId="4" xfId="6" applyFont="1" applyFill="1" applyBorder="1" applyAlignment="1">
      <alignment horizontal="center" vertical="center"/>
    </xf>
    <xf numFmtId="0" fontId="26" fillId="5" borderId="5" xfId="6" applyFont="1" applyFill="1" applyBorder="1" applyAlignment="1">
      <alignment horizontal="center" vertical="center"/>
    </xf>
    <xf numFmtId="0" fontId="26" fillId="5" borderId="4" xfId="6" applyFont="1" applyFill="1" applyBorder="1" applyAlignment="1">
      <alignment horizontal="center" vertical="center" wrapText="1"/>
    </xf>
    <xf numFmtId="0" fontId="26" fillId="5" borderId="6" xfId="6" applyFont="1" applyFill="1" applyBorder="1" applyAlignment="1">
      <alignment horizontal="center" vertical="center" wrapText="1"/>
    </xf>
    <xf numFmtId="0" fontId="26" fillId="5" borderId="5" xfId="6" applyFont="1" applyFill="1" applyBorder="1" applyAlignment="1">
      <alignment horizontal="center" vertical="center" wrapText="1"/>
    </xf>
    <xf numFmtId="0" fontId="86" fillId="3" borderId="2" xfId="10" applyFont="1" applyFill="1" applyBorder="1" applyAlignment="1">
      <alignment horizontal="center" vertical="center" wrapText="1"/>
    </xf>
    <xf numFmtId="0" fontId="33" fillId="7" borderId="2" xfId="6" applyFont="1" applyFill="1" applyBorder="1" applyAlignment="1">
      <alignment horizontal="center" vertical="center" wrapText="1"/>
    </xf>
    <xf numFmtId="43" fontId="33" fillId="7" borderId="3" xfId="6" applyNumberFormat="1" applyFont="1" applyFill="1" applyBorder="1" applyAlignment="1">
      <alignment horizontal="center" vertical="center"/>
    </xf>
    <xf numFmtId="43" fontId="33" fillId="7" borderId="1" xfId="6" applyNumberFormat="1" applyFont="1" applyFill="1" applyBorder="1" applyAlignment="1">
      <alignment horizontal="center" vertical="center"/>
    </xf>
    <xf numFmtId="0" fontId="84" fillId="7" borderId="3" xfId="10" applyFont="1" applyFill="1" applyBorder="1" applyAlignment="1">
      <alignment horizontal="center" vertical="center" wrapText="1"/>
    </xf>
    <xf numFmtId="0" fontId="84" fillId="7" borderId="29" xfId="10" applyFont="1" applyFill="1" applyBorder="1" applyAlignment="1">
      <alignment horizontal="center" vertical="center" wrapText="1"/>
    </xf>
    <xf numFmtId="0" fontId="84" fillId="7" borderId="1" xfId="10" applyFont="1" applyFill="1" applyBorder="1" applyAlignment="1">
      <alignment horizontal="center" vertical="center" wrapText="1"/>
    </xf>
    <xf numFmtId="168" fontId="86" fillId="3" borderId="3" xfId="10" applyNumberFormat="1" applyFont="1" applyFill="1" applyBorder="1" applyAlignment="1">
      <alignment horizontal="center" vertical="center" wrapText="1"/>
    </xf>
    <xf numFmtId="168" fontId="86" fillId="3" borderId="29" xfId="10" applyNumberFormat="1" applyFont="1" applyFill="1" applyBorder="1" applyAlignment="1">
      <alignment horizontal="center" vertical="center" wrapText="1"/>
    </xf>
    <xf numFmtId="168" fontId="86" fillId="3" borderId="1" xfId="10" applyNumberFormat="1" applyFont="1" applyFill="1" applyBorder="1" applyAlignment="1">
      <alignment horizontal="center" vertical="center" wrapText="1"/>
    </xf>
    <xf numFmtId="0" fontId="97" fillId="4" borderId="3" xfId="9" applyFont="1" applyFill="1" applyBorder="1" applyAlignment="1">
      <alignment horizontal="center" vertical="center" wrapText="1"/>
    </xf>
    <xf numFmtId="0" fontId="97" fillId="4" borderId="29" xfId="9" applyFont="1" applyFill="1" applyBorder="1" applyAlignment="1">
      <alignment horizontal="center" vertical="center" wrapText="1"/>
    </xf>
    <xf numFmtId="0" fontId="97" fillId="4" borderId="1" xfId="9" applyFont="1" applyFill="1" applyBorder="1" applyAlignment="1">
      <alignment horizontal="center" vertical="center" wrapText="1"/>
    </xf>
    <xf numFmtId="0" fontId="88" fillId="6" borderId="0" xfId="6" applyFont="1" applyFill="1" applyAlignment="1">
      <alignment horizontal="left" vertical="center" wrapText="1"/>
    </xf>
    <xf numFmtId="0" fontId="96" fillId="4" borderId="3" xfId="0" applyFont="1" applyFill="1" applyBorder="1" applyAlignment="1">
      <alignment horizontal="center" vertical="center" wrapText="1"/>
    </xf>
    <xf numFmtId="0" fontId="96" fillId="4" borderId="29" xfId="0" applyFont="1" applyFill="1" applyBorder="1" applyAlignment="1">
      <alignment horizontal="center" vertical="center" wrapText="1"/>
    </xf>
    <xf numFmtId="0" fontId="96" fillId="4" borderId="1" xfId="0" applyFont="1" applyFill="1" applyBorder="1" applyAlignment="1">
      <alignment horizontal="center" vertical="center" wrapText="1"/>
    </xf>
    <xf numFmtId="0" fontId="33" fillId="8" borderId="2" xfId="6" applyFont="1" applyFill="1" applyBorder="1" applyAlignment="1">
      <alignment horizontal="center" vertical="center" wrapText="1"/>
    </xf>
    <xf numFmtId="166" fontId="33" fillId="17" borderId="2" xfId="8" applyNumberFormat="1" applyFont="1" applyFill="1" applyBorder="1" applyAlignment="1">
      <alignment horizontal="center" vertical="center" wrapText="1"/>
    </xf>
    <xf numFmtId="0" fontId="30" fillId="8" borderId="2" xfId="6" applyFont="1" applyFill="1" applyBorder="1" applyAlignment="1">
      <alignment horizontal="center" vertical="center" wrapText="1"/>
    </xf>
    <xf numFmtId="0" fontId="33" fillId="8" borderId="15" xfId="6" applyFont="1" applyFill="1" applyBorder="1" applyAlignment="1">
      <alignment horizontal="center" vertical="center" wrapText="1"/>
    </xf>
    <xf numFmtId="0" fontId="33" fillId="8" borderId="17" xfId="6" applyFont="1" applyFill="1" applyBorder="1" applyAlignment="1">
      <alignment horizontal="center" vertical="center" wrapText="1"/>
    </xf>
    <xf numFmtId="0" fontId="33" fillId="8" borderId="27" xfId="6" applyFont="1" applyFill="1" applyBorder="1" applyAlignment="1">
      <alignment horizontal="center" vertical="center" wrapText="1"/>
    </xf>
    <xf numFmtId="0" fontId="33" fillId="8" borderId="28" xfId="6" applyFont="1" applyFill="1" applyBorder="1" applyAlignment="1">
      <alignment horizontal="center" vertical="center" wrapText="1"/>
    </xf>
    <xf numFmtId="0" fontId="86" fillId="3" borderId="54" xfId="6" applyFont="1" applyFill="1" applyBorder="1" applyAlignment="1">
      <alignment horizontal="center" vertical="center"/>
    </xf>
    <xf numFmtId="43" fontId="8" fillId="3" borderId="45" xfId="6" applyNumberFormat="1" applyFill="1" applyBorder="1" applyAlignment="1">
      <alignment horizontal="center" vertical="center"/>
    </xf>
    <xf numFmtId="43" fontId="8" fillId="3" borderId="54" xfId="6" applyNumberFormat="1" applyFill="1" applyBorder="1" applyAlignment="1">
      <alignment horizontal="center" vertical="center"/>
    </xf>
    <xf numFmtId="0" fontId="40" fillId="3" borderId="44" xfId="6" applyFont="1" applyFill="1" applyBorder="1" applyAlignment="1">
      <alignment horizontal="center" vertical="center" textRotation="90"/>
    </xf>
    <xf numFmtId="0" fontId="40" fillId="3" borderId="53" xfId="6" applyFont="1" applyFill="1" applyBorder="1" applyAlignment="1">
      <alignment horizontal="center" vertical="center" textRotation="90"/>
    </xf>
    <xf numFmtId="0" fontId="40" fillId="3" borderId="47" xfId="6" applyFont="1" applyFill="1" applyBorder="1" applyAlignment="1">
      <alignment horizontal="center" vertical="center" textRotation="90"/>
    </xf>
    <xf numFmtId="0" fontId="27" fillId="3" borderId="45" xfId="6" applyFont="1" applyFill="1" applyBorder="1" applyAlignment="1">
      <alignment horizontal="left" vertical="center" wrapText="1"/>
    </xf>
    <xf numFmtId="0" fontId="27" fillId="3" borderId="54" xfId="6" applyFont="1" applyFill="1" applyBorder="1" applyAlignment="1">
      <alignment horizontal="left" vertical="center" wrapText="1"/>
    </xf>
    <xf numFmtId="0" fontId="101" fillId="3" borderId="54" xfId="6" applyFont="1" applyFill="1" applyBorder="1" applyAlignment="1">
      <alignment horizontal="left" vertical="center" wrapText="1"/>
    </xf>
    <xf numFmtId="0" fontId="30" fillId="3" borderId="3" xfId="6" applyFont="1" applyFill="1" applyBorder="1" applyAlignment="1">
      <alignment horizontal="center" vertical="center" wrapText="1"/>
    </xf>
    <xf numFmtId="0" fontId="30" fillId="3" borderId="71" xfId="6" applyFont="1" applyFill="1" applyBorder="1" applyAlignment="1">
      <alignment horizontal="center" vertical="center" wrapText="1"/>
    </xf>
    <xf numFmtId="0" fontId="65" fillId="10" borderId="3" xfId="6" applyFont="1" applyFill="1" applyBorder="1" applyAlignment="1">
      <alignment horizontal="center" vertical="center" wrapText="1"/>
    </xf>
    <xf numFmtId="0" fontId="65" fillId="10" borderId="42" xfId="6" applyFont="1" applyFill="1" applyBorder="1" applyAlignment="1">
      <alignment horizontal="center" vertical="center" wrapText="1"/>
    </xf>
    <xf numFmtId="0" fontId="15" fillId="5" borderId="2" xfId="0" applyFont="1" applyFill="1" applyBorder="1" applyAlignment="1">
      <alignment horizontal="center" vertical="center" wrapText="1"/>
    </xf>
    <xf numFmtId="0" fontId="100" fillId="6" borderId="50" xfId="0" applyFont="1" applyFill="1" applyBorder="1" applyAlignment="1">
      <alignment horizontal="center" vertical="center"/>
    </xf>
    <xf numFmtId="0" fontId="100" fillId="6" borderId="51" xfId="0" applyFont="1" applyFill="1" applyBorder="1" applyAlignment="1">
      <alignment horizontal="center" vertical="center"/>
    </xf>
    <xf numFmtId="0" fontId="97" fillId="5" borderId="3" xfId="9" applyFont="1" applyFill="1" applyBorder="1" applyAlignment="1">
      <alignment horizontal="center" vertical="center" wrapText="1"/>
    </xf>
    <xf numFmtId="0" fontId="97" fillId="5" borderId="29" xfId="9" applyFont="1" applyFill="1" applyBorder="1" applyAlignment="1">
      <alignment horizontal="center" vertical="center" wrapText="1"/>
    </xf>
    <xf numFmtId="0" fontId="97" fillId="5" borderId="1" xfId="9" applyFont="1" applyFill="1" applyBorder="1" applyAlignment="1">
      <alignment horizontal="center" vertical="center" wrapText="1"/>
    </xf>
    <xf numFmtId="0" fontId="96" fillId="5" borderId="3" xfId="0" applyFont="1" applyFill="1" applyBorder="1" applyAlignment="1">
      <alignment horizontal="center" vertical="center" wrapText="1"/>
    </xf>
    <xf numFmtId="0" fontId="96" fillId="5" borderId="29" xfId="0" applyFont="1" applyFill="1" applyBorder="1" applyAlignment="1">
      <alignment horizontal="center" vertical="center" wrapText="1"/>
    </xf>
    <xf numFmtId="0" fontId="96" fillId="5" borderId="1" xfId="0" applyFont="1" applyFill="1" applyBorder="1" applyAlignment="1">
      <alignment horizontal="center" vertical="center" wrapText="1"/>
    </xf>
    <xf numFmtId="0" fontId="65" fillId="5" borderId="3" xfId="0" applyFont="1" applyFill="1" applyBorder="1" applyAlignment="1">
      <alignment horizontal="center" vertical="center" wrapText="1"/>
    </xf>
    <xf numFmtId="0" fontId="65" fillId="5" borderId="29"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1" fillId="3" borderId="0" xfId="12" applyFill="1" applyAlignment="1">
      <alignment horizontal="left" vertical="center" wrapText="1"/>
    </xf>
    <xf numFmtId="0" fontId="35" fillId="4" borderId="3" xfId="12" applyFont="1" applyFill="1" applyBorder="1" applyAlignment="1">
      <alignment horizontal="center" vertical="center"/>
    </xf>
    <xf numFmtId="0" fontId="35" fillId="4" borderId="29" xfId="12" applyFont="1" applyFill="1" applyBorder="1" applyAlignment="1">
      <alignment horizontal="center" vertical="center"/>
    </xf>
    <xf numFmtId="0" fontId="35" fillId="4" borderId="1" xfId="12" applyFont="1" applyFill="1" applyBorder="1" applyAlignment="1">
      <alignment horizontal="center" vertical="center"/>
    </xf>
    <xf numFmtId="0" fontId="36" fillId="7" borderId="27" xfId="12" applyFont="1" applyFill="1" applyBorder="1" applyAlignment="1">
      <alignment horizontal="left" vertical="center"/>
    </xf>
    <xf numFmtId="0" fontId="36" fillId="7" borderId="7" xfId="12" applyFont="1" applyFill="1" applyBorder="1" applyAlignment="1">
      <alignment horizontal="left" vertical="center"/>
    </xf>
    <xf numFmtId="0" fontId="36" fillId="7" borderId="28" xfId="12" applyFont="1" applyFill="1" applyBorder="1" applyAlignment="1">
      <alignment horizontal="left" vertical="center"/>
    </xf>
    <xf numFmtId="0" fontId="39" fillId="3" borderId="2" xfId="12" applyFont="1" applyFill="1" applyBorder="1" applyAlignment="1">
      <alignment horizontal="center" vertical="center"/>
    </xf>
    <xf numFmtId="0" fontId="38" fillId="3" borderId="16" xfId="0" applyFont="1" applyFill="1" applyBorder="1" applyAlignment="1">
      <alignment horizontal="left" vertical="center" wrapText="1"/>
    </xf>
    <xf numFmtId="0" fontId="38" fillId="3" borderId="17" xfId="0" applyFont="1" applyFill="1" applyBorder="1" applyAlignment="1">
      <alignment horizontal="left" vertical="center" wrapText="1"/>
    </xf>
    <xf numFmtId="0" fontId="3" fillId="4" borderId="0" xfId="0" applyFont="1" applyFill="1" applyAlignment="1">
      <alignment horizontal="center"/>
    </xf>
    <xf numFmtId="0" fontId="3" fillId="4" borderId="11" xfId="0" applyFont="1" applyFill="1" applyBorder="1" applyAlignment="1">
      <alignment horizontal="center"/>
    </xf>
    <xf numFmtId="0" fontId="10" fillId="3" borderId="18" xfId="0" applyFont="1" applyFill="1" applyBorder="1" applyAlignment="1">
      <alignment horizontal="left" vertical="center"/>
    </xf>
    <xf numFmtId="0" fontId="10" fillId="3" borderId="0" xfId="0" applyFont="1" applyFill="1" applyAlignment="1">
      <alignment horizontal="left" vertical="center"/>
    </xf>
    <xf numFmtId="0" fontId="10" fillId="3" borderId="7" xfId="0" applyFont="1" applyFill="1" applyBorder="1" applyAlignment="1">
      <alignment horizontal="left" vertical="center"/>
    </xf>
    <xf numFmtId="0" fontId="3" fillId="3" borderId="1" xfId="0" applyFont="1" applyFill="1" applyBorder="1" applyAlignment="1">
      <alignment horizontal="center" vertical="top"/>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29" xfId="0" applyFont="1" applyFill="1" applyBorder="1" applyAlignment="1">
      <alignment horizontal="center"/>
    </xf>
    <xf numFmtId="0" fontId="3" fillId="3" borderId="1"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17" xfId="0" applyFont="1" applyFill="1" applyBorder="1" applyAlignment="1">
      <alignment horizontal="center"/>
    </xf>
    <xf numFmtId="0" fontId="38" fillId="3" borderId="0" xfId="0" applyFont="1" applyFill="1" applyAlignment="1">
      <alignment horizontal="left" vertical="center" wrapText="1"/>
    </xf>
    <xf numFmtId="0" fontId="38" fillId="3" borderId="11" xfId="0" applyFont="1" applyFill="1" applyBorder="1" applyAlignment="1">
      <alignment horizontal="left" vertical="center" wrapText="1"/>
    </xf>
    <xf numFmtId="0" fontId="0" fillId="3" borderId="0" xfId="0" applyFill="1" applyAlignment="1">
      <alignment horizontal="left"/>
    </xf>
    <xf numFmtId="0" fontId="3" fillId="3" borderId="3" xfId="0" applyFont="1" applyFill="1" applyBorder="1" applyAlignment="1">
      <alignment horizontal="center" vertical="center"/>
    </xf>
    <xf numFmtId="0" fontId="3" fillId="3" borderId="29" xfId="0" applyFont="1" applyFill="1" applyBorder="1" applyAlignment="1">
      <alignment horizontal="center" vertical="center"/>
    </xf>
    <xf numFmtId="0" fontId="0" fillId="3" borderId="0" xfId="0" applyFill="1" applyAlignment="1">
      <alignment horizontal="left" vertical="center" wrapText="1"/>
    </xf>
    <xf numFmtId="0" fontId="0" fillId="3" borderId="11" xfId="0" applyFill="1" applyBorder="1" applyAlignment="1">
      <alignment horizontal="left"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left" vertical="center" wrapText="1"/>
    </xf>
    <xf numFmtId="0" fontId="13" fillId="0" borderId="18" xfId="0" applyFont="1" applyBorder="1" applyAlignment="1">
      <alignment horizontal="left" vertical="center" wrapText="1"/>
    </xf>
    <xf numFmtId="0" fontId="13" fillId="0" borderId="0" xfId="0" applyFont="1" applyAlignment="1">
      <alignment horizontal="left" vertical="center" wrapText="1"/>
    </xf>
    <xf numFmtId="0" fontId="3" fillId="5" borderId="2"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4" fontId="64" fillId="5" borderId="4" xfId="0" applyNumberFormat="1" applyFont="1" applyFill="1" applyBorder="1" applyAlignment="1">
      <alignment horizontal="center" vertical="center" wrapText="1"/>
    </xf>
    <xf numFmtId="4" fontId="64" fillId="5" borderId="5" xfId="0" applyNumberFormat="1" applyFont="1" applyFill="1" applyBorder="1" applyAlignment="1">
      <alignment horizontal="center" vertical="center" wrapText="1"/>
    </xf>
    <xf numFmtId="0" fontId="67" fillId="0" borderId="16" xfId="6" applyFont="1" applyBorder="1" applyAlignment="1">
      <alignment horizontal="center" vertical="center"/>
    </xf>
    <xf numFmtId="0" fontId="67" fillId="0" borderId="0" xfId="6" applyFont="1" applyAlignment="1">
      <alignment horizontal="center" vertical="center"/>
    </xf>
    <xf numFmtId="0" fontId="67" fillId="0" borderId="7" xfId="6" applyFont="1" applyBorder="1" applyAlignment="1">
      <alignment horizontal="center" vertical="center"/>
    </xf>
    <xf numFmtId="0" fontId="15" fillId="5" borderId="3"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1" xfId="0" applyFont="1" applyFill="1" applyBorder="1" applyAlignment="1">
      <alignment horizontal="center" vertical="center" wrapText="1"/>
    </xf>
    <xf numFmtId="4" fontId="46" fillId="0" borderId="15" xfId="0" applyNumberFormat="1" applyFont="1" applyBorder="1" applyAlignment="1">
      <alignment horizontal="center" vertical="center" wrapText="1"/>
    </xf>
    <xf numFmtId="4" fontId="46" fillId="0" borderId="18" xfId="0" applyNumberFormat="1" applyFont="1" applyBorder="1" applyAlignment="1">
      <alignment horizontal="center" vertical="center" wrapText="1"/>
    </xf>
    <xf numFmtId="4" fontId="46" fillId="0" borderId="27" xfId="0" applyNumberFormat="1" applyFont="1" applyBorder="1" applyAlignment="1">
      <alignment horizontal="center" vertical="center" wrapText="1"/>
    </xf>
    <xf numFmtId="0" fontId="64" fillId="5" borderId="4" xfId="0" applyFont="1" applyFill="1" applyBorder="1" applyAlignment="1">
      <alignment horizontal="center" vertical="center" wrapText="1"/>
    </xf>
    <xf numFmtId="0" fontId="64" fillId="5" borderId="6" xfId="0" applyFont="1" applyFill="1" applyBorder="1" applyAlignment="1">
      <alignment horizontal="center" vertical="center" wrapText="1"/>
    </xf>
    <xf numFmtId="0" fontId="64" fillId="5" borderId="5" xfId="0" applyFont="1" applyFill="1" applyBorder="1" applyAlignment="1">
      <alignment horizontal="center" vertical="center" wrapText="1"/>
    </xf>
    <xf numFmtId="0" fontId="46" fillId="0" borderId="15"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27" xfId="0" applyFont="1" applyBorder="1" applyAlignment="1">
      <alignment horizontal="center" vertical="center" wrapText="1"/>
    </xf>
    <xf numFmtId="17" fontId="13" fillId="0" borderId="18" xfId="0" applyNumberFormat="1" applyFont="1" applyBorder="1" applyAlignment="1">
      <alignment horizontal="left" vertical="center" wrapText="1"/>
    </xf>
    <xf numFmtId="17" fontId="13" fillId="0" borderId="0" xfId="0" applyNumberFormat="1" applyFont="1" applyAlignment="1">
      <alignment horizontal="left" vertical="center" wrapText="1"/>
    </xf>
    <xf numFmtId="0" fontId="15" fillId="0" borderId="7" xfId="0" applyFont="1" applyBorder="1" applyAlignment="1">
      <alignment horizontal="center" vertical="center"/>
    </xf>
    <xf numFmtId="0" fontId="64" fillId="5" borderId="4" xfId="0" applyFont="1" applyFill="1" applyBorder="1" applyAlignment="1">
      <alignment horizontal="center" vertical="center"/>
    </xf>
    <xf numFmtId="0" fontId="64" fillId="5" borderId="6" xfId="0" applyFont="1" applyFill="1" applyBorder="1" applyAlignment="1">
      <alignment horizontal="center" vertical="center"/>
    </xf>
    <xf numFmtId="0" fontId="64" fillId="5" borderId="5" xfId="0" applyFont="1" applyFill="1" applyBorder="1" applyAlignment="1">
      <alignment horizontal="center" vertical="center"/>
    </xf>
    <xf numFmtId="0" fontId="46" fillId="0" borderId="0" xfId="0" applyFont="1" applyAlignment="1">
      <alignment horizontal="left" vertical="center" wrapText="1" readingOrder="1"/>
    </xf>
    <xf numFmtId="0" fontId="30" fillId="0" borderId="2" xfId="6" applyFont="1" applyBorder="1" applyAlignment="1">
      <alignment horizontal="center" vertical="center" wrapText="1"/>
    </xf>
    <xf numFmtId="0" fontId="30" fillId="0" borderId="4" xfId="6" applyFont="1" applyBorder="1" applyAlignment="1">
      <alignment horizontal="center" vertical="center" wrapText="1"/>
    </xf>
    <xf numFmtId="0" fontId="55" fillId="0" borderId="3" xfId="6" applyFont="1" applyBorder="1" applyAlignment="1">
      <alignment horizontal="center" vertical="center" wrapText="1"/>
    </xf>
    <xf numFmtId="0" fontId="55" fillId="0" borderId="1" xfId="6" applyFont="1" applyBorder="1" applyAlignment="1">
      <alignment horizontal="center" vertical="center" wrapText="1"/>
    </xf>
    <xf numFmtId="0" fontId="63" fillId="14" borderId="0" xfId="6" applyFont="1" applyFill="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1" fillId="2" borderId="2"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3" xfId="0" applyFont="1" applyBorder="1" applyAlignment="1">
      <alignment horizontal="left" vertical="center" wrapText="1"/>
    </xf>
    <xf numFmtId="0" fontId="43" fillId="0" borderId="1" xfId="0" applyFont="1" applyBorder="1" applyAlignment="1">
      <alignment horizontal="left" vertical="center" wrapText="1"/>
    </xf>
    <xf numFmtId="0" fontId="51" fillId="2" borderId="1" xfId="0" applyFont="1" applyFill="1" applyBorder="1" applyAlignment="1">
      <alignment horizontal="center" vertical="center" wrapText="1"/>
    </xf>
    <xf numFmtId="0" fontId="5" fillId="2" borderId="2" xfId="2"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 xfId="0" applyFont="1" applyFill="1" applyBorder="1" applyAlignment="1">
      <alignment horizontal="center" vertical="center" wrapText="1"/>
    </xf>
  </cellXfs>
  <cellStyles count="21">
    <cellStyle name="60% - Ênfase5 2" xfId="18" xr:uid="{E633BD29-29A3-44D1-892D-6C5AD891F3C4}"/>
    <cellStyle name="Hiperlink" xfId="17" builtinId="8"/>
    <cellStyle name="Hiperlink 2" xfId="16" xr:uid="{4C63EE7D-D6C7-4EE0-A2A2-5345E91CADB3}"/>
    <cellStyle name="Moeda" xfId="20" builtinId="4"/>
    <cellStyle name="Moeda 2" xfId="11" xr:uid="{7BF6BAB7-72D4-4C72-9636-65038EACC97C}"/>
    <cellStyle name="Normal" xfId="0" builtinId="0"/>
    <cellStyle name="Normal 12" xfId="12" xr:uid="{3EED383E-2032-44E8-8237-1973EF7773F9}"/>
    <cellStyle name="Normal 2" xfId="2" xr:uid="{C8D70159-3958-430A-8BC3-21DA2A1EB028}"/>
    <cellStyle name="Normal 2 2" xfId="15" xr:uid="{A7904F69-519B-4B1C-B9C6-EDE2429B4710}"/>
    <cellStyle name="Normal 2 3 2" xfId="4" xr:uid="{6F3DC436-D3DA-41AD-A337-35D63E039F40}"/>
    <cellStyle name="Normal 3" xfId="6" xr:uid="{BF4AF7BE-62F7-43BD-BD90-4834799D6308}"/>
    <cellStyle name="Normal 4" xfId="5" xr:uid="{01EBFD24-582F-458F-A5C9-45F9AA0B9E7A}"/>
    <cellStyle name="Normal 7" xfId="10" xr:uid="{B596F9D4-E52F-4839-A99E-52BA8C074F57}"/>
    <cellStyle name="Normal 9" xfId="9" xr:uid="{E94B4CBA-8849-4760-8658-412E7847A49A}"/>
    <cellStyle name="Porcentagem" xfId="1" builtinId="5"/>
    <cellStyle name="Porcentagem 2" xfId="3" xr:uid="{4A738E4B-608D-4AC0-88C7-FE47DB70486C}"/>
    <cellStyle name="Porcentagem 2 2" xfId="8" xr:uid="{76E71249-00AE-41A9-B142-EE7F500B0293}"/>
    <cellStyle name="Porcentagem 4" xfId="13" xr:uid="{C69A807B-A270-413D-8EDE-ECE534DBF51F}"/>
    <cellStyle name="Vírgula 2" xfId="19" xr:uid="{DA151A66-0539-4D8A-BABB-A0681F57EEDF}"/>
    <cellStyle name="Vírgula 3" xfId="7" xr:uid="{1B0EE5C2-DDBF-4FCA-B289-AACDE20B998A}"/>
    <cellStyle name="Vírgula 4" xfId="14" xr:uid="{E897DD2F-821F-453D-9507-727B3EFF5A02}"/>
  </cellStyles>
  <dxfs count="123">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auto="1"/>
      </font>
      <fill>
        <patternFill>
          <bgColor theme="2" tint="-0.34998626667073579"/>
        </patternFill>
      </fill>
    </dxf>
    <dxf>
      <font>
        <color rgb="FF006100"/>
      </font>
      <fill>
        <patternFill>
          <bgColor rgb="FFC6EFCE"/>
        </patternFill>
      </fill>
    </dxf>
    <dxf>
      <font>
        <color rgb="FF9C0006"/>
      </font>
      <fill>
        <patternFill>
          <bgColor rgb="FFFFC7CE"/>
        </patternFill>
      </fill>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hair">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general" vertical="center" textRotation="0" wrapText="0" indent="0" justifyLastLine="0" shrinkToFit="0" readingOrder="0"/>
      <border diagonalUp="0" diagonalDown="0">
        <left/>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bottom style="thin">
          <color indexed="64"/>
        </bottom>
      </border>
    </dxf>
    <dxf>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center" vertical="bottom" textRotation="90" wrapText="0" indent="0" justifyLastLine="0" shrinkToFit="0" readingOrder="0"/>
      <border diagonalUp="0" diagonalDown="0" outline="0">
        <left style="thin">
          <color indexed="64"/>
        </left>
        <right style="thin">
          <color indexed="64"/>
        </right>
        <top/>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rgb="FF000000"/>
        </right>
        <bottom style="thin">
          <color rgb="FF000000"/>
        </bottom>
      </border>
    </dxf>
    <dxf>
      <fill>
        <patternFill patternType="solid">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009999"/>
      <color rgb="FF008080"/>
      <color rgb="FF00CC99"/>
      <color rgb="FF006699"/>
      <color rgb="FF006666"/>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6" Type="http://schemas.openxmlformats.org/officeDocument/2006/relationships/image" Target="../media/image30.png"/><Relationship Id="rId21" Type="http://schemas.openxmlformats.org/officeDocument/2006/relationships/image" Target="../media/image25.png"/><Relationship Id="rId42" Type="http://schemas.openxmlformats.org/officeDocument/2006/relationships/image" Target="../media/image46.png"/><Relationship Id="rId47" Type="http://schemas.openxmlformats.org/officeDocument/2006/relationships/image" Target="../media/image51.png"/><Relationship Id="rId63" Type="http://schemas.openxmlformats.org/officeDocument/2006/relationships/image" Target="../media/image67.png"/><Relationship Id="rId68" Type="http://schemas.openxmlformats.org/officeDocument/2006/relationships/image" Target="../media/image72.png"/><Relationship Id="rId16" Type="http://schemas.openxmlformats.org/officeDocument/2006/relationships/image" Target="../media/image20.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37" Type="http://schemas.openxmlformats.org/officeDocument/2006/relationships/image" Target="../media/image41.png"/><Relationship Id="rId40" Type="http://schemas.openxmlformats.org/officeDocument/2006/relationships/image" Target="../media/image44.png"/><Relationship Id="rId45" Type="http://schemas.openxmlformats.org/officeDocument/2006/relationships/image" Target="../media/image49.png"/><Relationship Id="rId53" Type="http://schemas.openxmlformats.org/officeDocument/2006/relationships/image" Target="../media/image57.png"/><Relationship Id="rId58" Type="http://schemas.openxmlformats.org/officeDocument/2006/relationships/image" Target="../media/image62.png"/><Relationship Id="rId66" Type="http://schemas.openxmlformats.org/officeDocument/2006/relationships/image" Target="../media/image70.png"/><Relationship Id="rId74" Type="http://schemas.openxmlformats.org/officeDocument/2006/relationships/image" Target="../media/image78.png"/><Relationship Id="rId79" Type="http://schemas.openxmlformats.org/officeDocument/2006/relationships/image" Target="../media/image83.png"/><Relationship Id="rId5" Type="http://schemas.openxmlformats.org/officeDocument/2006/relationships/image" Target="../media/image9.png"/><Relationship Id="rId61" Type="http://schemas.openxmlformats.org/officeDocument/2006/relationships/image" Target="../media/image65.png"/><Relationship Id="rId19" Type="http://schemas.openxmlformats.org/officeDocument/2006/relationships/image" Target="../media/image2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39.png"/><Relationship Id="rId43" Type="http://schemas.openxmlformats.org/officeDocument/2006/relationships/image" Target="../media/image47.png"/><Relationship Id="rId48" Type="http://schemas.openxmlformats.org/officeDocument/2006/relationships/image" Target="../media/image52.png"/><Relationship Id="rId56" Type="http://schemas.openxmlformats.org/officeDocument/2006/relationships/image" Target="../media/image60.png"/><Relationship Id="rId64" Type="http://schemas.openxmlformats.org/officeDocument/2006/relationships/image" Target="../media/image68.png"/><Relationship Id="rId69" Type="http://schemas.openxmlformats.org/officeDocument/2006/relationships/image" Target="../media/image73.png"/><Relationship Id="rId77" Type="http://schemas.openxmlformats.org/officeDocument/2006/relationships/image" Target="../media/image81.png"/><Relationship Id="rId8" Type="http://schemas.openxmlformats.org/officeDocument/2006/relationships/image" Target="../media/image12.png"/><Relationship Id="rId51" Type="http://schemas.openxmlformats.org/officeDocument/2006/relationships/image" Target="../media/image55.png"/><Relationship Id="rId72" Type="http://schemas.openxmlformats.org/officeDocument/2006/relationships/image" Target="../media/image76.png"/><Relationship Id="rId80" Type="http://schemas.openxmlformats.org/officeDocument/2006/relationships/image" Target="../media/image84.png"/><Relationship Id="rId3" Type="http://schemas.openxmlformats.org/officeDocument/2006/relationships/image" Target="../media/image7.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image" Target="../media/image37.png"/><Relationship Id="rId38" Type="http://schemas.openxmlformats.org/officeDocument/2006/relationships/image" Target="../media/image42.png"/><Relationship Id="rId46" Type="http://schemas.openxmlformats.org/officeDocument/2006/relationships/image" Target="../media/image50.png"/><Relationship Id="rId59" Type="http://schemas.openxmlformats.org/officeDocument/2006/relationships/image" Target="../media/image63.png"/><Relationship Id="rId67" Type="http://schemas.openxmlformats.org/officeDocument/2006/relationships/image" Target="../media/image71.png"/><Relationship Id="rId20" Type="http://schemas.openxmlformats.org/officeDocument/2006/relationships/image" Target="../media/image24.png"/><Relationship Id="rId41" Type="http://schemas.openxmlformats.org/officeDocument/2006/relationships/image" Target="../media/image45.png"/><Relationship Id="rId54" Type="http://schemas.openxmlformats.org/officeDocument/2006/relationships/image" Target="../media/image58.png"/><Relationship Id="rId62" Type="http://schemas.openxmlformats.org/officeDocument/2006/relationships/image" Target="../media/image66.png"/><Relationship Id="rId70" Type="http://schemas.openxmlformats.org/officeDocument/2006/relationships/image" Target="../media/image74.png"/><Relationship Id="rId75" Type="http://schemas.openxmlformats.org/officeDocument/2006/relationships/image" Target="../media/image79.png"/><Relationship Id="rId1" Type="http://schemas.openxmlformats.org/officeDocument/2006/relationships/image" Target="../media/image5.png"/><Relationship Id="rId6" Type="http://schemas.openxmlformats.org/officeDocument/2006/relationships/image" Target="../media/image10.pn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40.png"/><Relationship Id="rId49" Type="http://schemas.openxmlformats.org/officeDocument/2006/relationships/image" Target="../media/image53.png"/><Relationship Id="rId57" Type="http://schemas.openxmlformats.org/officeDocument/2006/relationships/image" Target="../media/image61.png"/><Relationship Id="rId10" Type="http://schemas.openxmlformats.org/officeDocument/2006/relationships/image" Target="../media/image14.png"/><Relationship Id="rId31" Type="http://schemas.openxmlformats.org/officeDocument/2006/relationships/image" Target="../media/image35.png"/><Relationship Id="rId44" Type="http://schemas.openxmlformats.org/officeDocument/2006/relationships/image" Target="../media/image48.png"/><Relationship Id="rId52" Type="http://schemas.openxmlformats.org/officeDocument/2006/relationships/image" Target="../media/image56.png"/><Relationship Id="rId60" Type="http://schemas.openxmlformats.org/officeDocument/2006/relationships/image" Target="../media/image64.png"/><Relationship Id="rId65" Type="http://schemas.openxmlformats.org/officeDocument/2006/relationships/image" Target="../media/image69.png"/><Relationship Id="rId73" Type="http://schemas.openxmlformats.org/officeDocument/2006/relationships/image" Target="../media/image77.png"/><Relationship Id="rId78" Type="http://schemas.openxmlformats.org/officeDocument/2006/relationships/image" Target="../media/image82.png"/><Relationship Id="rId4" Type="http://schemas.openxmlformats.org/officeDocument/2006/relationships/image" Target="../media/image8.png"/><Relationship Id="rId9" Type="http://schemas.openxmlformats.org/officeDocument/2006/relationships/image" Target="../media/image13.png"/><Relationship Id="rId13" Type="http://schemas.openxmlformats.org/officeDocument/2006/relationships/image" Target="../media/image17.png"/><Relationship Id="rId18" Type="http://schemas.openxmlformats.org/officeDocument/2006/relationships/image" Target="../media/image22.png"/><Relationship Id="rId39" Type="http://schemas.openxmlformats.org/officeDocument/2006/relationships/image" Target="../media/image43.png"/><Relationship Id="rId34" Type="http://schemas.openxmlformats.org/officeDocument/2006/relationships/image" Target="../media/image38.png"/><Relationship Id="rId50" Type="http://schemas.openxmlformats.org/officeDocument/2006/relationships/image" Target="../media/image54.png"/><Relationship Id="rId55" Type="http://schemas.openxmlformats.org/officeDocument/2006/relationships/image" Target="../media/image59.png"/><Relationship Id="rId76" Type="http://schemas.openxmlformats.org/officeDocument/2006/relationships/image" Target="../media/image80.png"/><Relationship Id="rId7" Type="http://schemas.openxmlformats.org/officeDocument/2006/relationships/image" Target="../media/image11.png"/><Relationship Id="rId71" Type="http://schemas.openxmlformats.org/officeDocument/2006/relationships/image" Target="../media/image75.png"/><Relationship Id="rId2" Type="http://schemas.openxmlformats.org/officeDocument/2006/relationships/image" Target="../media/image6.png"/><Relationship Id="rId29"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86.jpeg"/><Relationship Id="rId1" Type="http://schemas.openxmlformats.org/officeDocument/2006/relationships/image" Target="../media/image85.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89.jpeg"/><Relationship Id="rId2" Type="http://schemas.openxmlformats.org/officeDocument/2006/relationships/image" Target="../media/image88.png"/><Relationship Id="rId1" Type="http://schemas.openxmlformats.org/officeDocument/2006/relationships/image" Target="../media/image87.png"/><Relationship Id="rId4" Type="http://schemas.openxmlformats.org/officeDocument/2006/relationships/image" Target="../media/image90.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xdr:col>
      <xdr:colOff>1</xdr:colOff>
      <xdr:row>1</xdr:row>
      <xdr:rowOff>426620</xdr:rowOff>
    </xdr:to>
    <xdr:pic>
      <xdr:nvPicPr>
        <xdr:cNvPr id="3" name="Imagem 2">
          <a:extLst>
            <a:ext uri="{FF2B5EF4-FFF2-40B4-BE49-F238E27FC236}">
              <a16:creationId xmlns:a16="http://schemas.microsoft.com/office/drawing/2014/main" id="{41F33B6E-C1B5-4702-998B-42AF9B010AB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14301" y="190500"/>
          <a:ext cx="2000250" cy="426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A1BDD52D-0E45-4992-99B4-23B74D3A21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68864D31-5167-42C9-B36F-FA77F806FF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26DA347B-3C19-4E5A-969E-86FF68033F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3E27DAE7-6A18-4241-A451-8D5AA1B388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2B7B51A5-39F1-4EF6-B868-77886D60D6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7ED5575E-9A58-499F-BA4F-64226C765E2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0EC5168B-153C-45B0-880B-529AE7DE3C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FA3AE5FC-8973-441F-B170-06C84438179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603930DD-2ED7-44CC-80B3-AB6BADEE41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741958C7-0B48-4998-AB47-6DB9604F5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2511854</xdr:colOff>
      <xdr:row>1</xdr:row>
      <xdr:rowOff>598714</xdr:rowOff>
    </xdr:to>
    <xdr:pic>
      <xdr:nvPicPr>
        <xdr:cNvPr id="3" name="Imagem 2">
          <a:extLst>
            <a:ext uri="{FF2B5EF4-FFF2-40B4-BE49-F238E27FC236}">
              <a16:creationId xmlns:a16="http://schemas.microsoft.com/office/drawing/2014/main" id="{17C2AB81-6B80-4D7E-80E1-8D935938DA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80975" y="190500"/>
          <a:ext cx="2807129" cy="5987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C0E02B35-7A34-4C4A-8111-8F6D0F05E5E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A383BBB1-5836-415D-A754-A88CC81BC4D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5B859A3D-CD37-4CD9-A30C-5232AF375A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70408185-F4E3-46E6-A152-9634DA76D9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F90B3B85-6011-4BD9-88E8-C03B74EA4B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0DCF0807-2366-42C2-A4D5-1D35F6434B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55C81A11-F3D9-44D0-A107-6626B155B5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66DDF54E-8618-493F-9DAE-10034A0BB9A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A57B9B3B-09D8-4324-B794-86CAB179A79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A3CBF40C-D092-4A04-ACC1-5E1D3C7A26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3</xdr:col>
      <xdr:colOff>1343025</xdr:colOff>
      <xdr:row>1</xdr:row>
      <xdr:rowOff>443040</xdr:rowOff>
    </xdr:to>
    <xdr:pic>
      <xdr:nvPicPr>
        <xdr:cNvPr id="2" name="Imagem 1">
          <a:extLst>
            <a:ext uri="{FF2B5EF4-FFF2-40B4-BE49-F238E27FC236}">
              <a16:creationId xmlns:a16="http://schemas.microsoft.com/office/drawing/2014/main" id="{ED9D6242-2C14-4D10-B251-D9E4CC76B6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304801" y="190501"/>
          <a:ext cx="2076449" cy="44303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EA940CA8-C6DD-4A12-8D9E-6493058993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2894A060-D753-487D-A72A-96780914A3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7159F796-FE3D-469A-B89C-84C02F9D4B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9163B545-F7CB-448F-9DF7-886EB3DA75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D3A0FFB2-0BA3-48CC-B5E3-50742E8010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291CA512-479E-455D-A232-78ACE948F4A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008B1A92-F79C-4BC0-B275-034C53622ED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12</xdr:col>
      <xdr:colOff>266699</xdr:colOff>
      <xdr:row>1</xdr:row>
      <xdr:rowOff>238125</xdr:rowOff>
    </xdr:from>
    <xdr:to>
      <xdr:col>14</xdr:col>
      <xdr:colOff>774244</xdr:colOff>
      <xdr:row>2</xdr:row>
      <xdr:rowOff>297798</xdr:rowOff>
    </xdr:to>
    <xdr:pic>
      <xdr:nvPicPr>
        <xdr:cNvPr id="2" name="Imagem 1">
          <a:extLst>
            <a:ext uri="{FF2B5EF4-FFF2-40B4-BE49-F238E27FC236}">
              <a16:creationId xmlns:a16="http://schemas.microsoft.com/office/drawing/2014/main" id="{9BFEEA59-ECBF-4477-BF7F-CEB1B89C3B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8915399" y="428625"/>
          <a:ext cx="2107747" cy="45019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13</xdr:col>
      <xdr:colOff>107016</xdr:colOff>
      <xdr:row>1</xdr:row>
      <xdr:rowOff>200025</xdr:rowOff>
    </xdr:from>
    <xdr:to>
      <xdr:col>16</xdr:col>
      <xdr:colOff>836377</xdr:colOff>
      <xdr:row>3</xdr:row>
      <xdr:rowOff>17689</xdr:rowOff>
    </xdr:to>
    <xdr:pic>
      <xdr:nvPicPr>
        <xdr:cNvPr id="2" name="Imagem 1">
          <a:extLst>
            <a:ext uri="{FF2B5EF4-FFF2-40B4-BE49-F238E27FC236}">
              <a16:creationId xmlns:a16="http://schemas.microsoft.com/office/drawing/2014/main" id="{91C951D8-5C0B-4495-AA06-82FB6149F1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1503398" y="356907"/>
          <a:ext cx="2814278" cy="60375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70139</xdr:colOff>
      <xdr:row>3</xdr:row>
      <xdr:rowOff>105641</xdr:rowOff>
    </xdr:from>
    <xdr:to>
      <xdr:col>8</xdr:col>
      <xdr:colOff>406977</xdr:colOff>
      <xdr:row>22</xdr:row>
      <xdr:rowOff>80862</xdr:rowOff>
    </xdr:to>
    <xdr:pic>
      <xdr:nvPicPr>
        <xdr:cNvPr id="2" name="Imagem 1">
          <a:extLst>
            <a:ext uri="{FF2B5EF4-FFF2-40B4-BE49-F238E27FC236}">
              <a16:creationId xmlns:a16="http://schemas.microsoft.com/office/drawing/2014/main" id="{2C8D64BC-E4B5-4DFE-922B-A79BE54816F4}"/>
            </a:ext>
          </a:extLst>
        </xdr:cNvPr>
        <xdr:cNvPicPr>
          <a:picLocks noChangeAspect="1"/>
        </xdr:cNvPicPr>
      </xdr:nvPicPr>
      <xdr:blipFill>
        <a:blip xmlns:r="http://schemas.openxmlformats.org/officeDocument/2006/relationships" r:embed="rId1"/>
        <a:stretch>
          <a:fillRect/>
        </a:stretch>
      </xdr:blipFill>
      <xdr:spPr>
        <a:xfrm>
          <a:off x="165389" y="858116"/>
          <a:ext cx="4604038" cy="3594721"/>
        </a:xfrm>
        <a:prstGeom prst="rect">
          <a:avLst/>
        </a:prstGeom>
      </xdr:spPr>
    </xdr:pic>
    <xdr:clientData/>
  </xdr:twoCellAnchor>
  <xdr:twoCellAnchor editAs="oneCell">
    <xdr:from>
      <xdr:col>8</xdr:col>
      <xdr:colOff>510886</xdr:colOff>
      <xdr:row>3</xdr:row>
      <xdr:rowOff>112569</xdr:rowOff>
    </xdr:from>
    <xdr:to>
      <xdr:col>17</xdr:col>
      <xdr:colOff>98257</xdr:colOff>
      <xdr:row>18</xdr:row>
      <xdr:rowOff>173182</xdr:rowOff>
    </xdr:to>
    <xdr:pic>
      <xdr:nvPicPr>
        <xdr:cNvPr id="3" name="Imagem 2">
          <a:extLst>
            <a:ext uri="{FF2B5EF4-FFF2-40B4-BE49-F238E27FC236}">
              <a16:creationId xmlns:a16="http://schemas.microsoft.com/office/drawing/2014/main" id="{C81F88E0-97D7-4282-AF34-6D2801BFC8CE}"/>
            </a:ext>
          </a:extLst>
        </xdr:cNvPr>
        <xdr:cNvPicPr>
          <a:picLocks noChangeAspect="1"/>
        </xdr:cNvPicPr>
      </xdr:nvPicPr>
      <xdr:blipFill>
        <a:blip xmlns:r="http://schemas.openxmlformats.org/officeDocument/2006/relationships" r:embed="rId2"/>
        <a:stretch>
          <a:fillRect/>
        </a:stretch>
      </xdr:blipFill>
      <xdr:spPr>
        <a:xfrm>
          <a:off x="4873336" y="865044"/>
          <a:ext cx="5073771" cy="2918113"/>
        </a:xfrm>
        <a:prstGeom prst="rect">
          <a:avLst/>
        </a:prstGeom>
      </xdr:spPr>
    </xdr:pic>
    <xdr:clientData/>
  </xdr:twoCellAnchor>
  <xdr:twoCellAnchor editAs="oneCell">
    <xdr:from>
      <xdr:col>17</xdr:col>
      <xdr:colOff>207817</xdr:colOff>
      <xdr:row>3</xdr:row>
      <xdr:rowOff>121227</xdr:rowOff>
    </xdr:from>
    <xdr:to>
      <xdr:col>25</xdr:col>
      <xdr:colOff>493567</xdr:colOff>
      <xdr:row>17</xdr:row>
      <xdr:rowOff>115122</xdr:rowOff>
    </xdr:to>
    <xdr:pic>
      <xdr:nvPicPr>
        <xdr:cNvPr id="4" name="Imagem 3">
          <a:extLst>
            <a:ext uri="{FF2B5EF4-FFF2-40B4-BE49-F238E27FC236}">
              <a16:creationId xmlns:a16="http://schemas.microsoft.com/office/drawing/2014/main" id="{05123BF1-8264-4860-ABA7-299D7472E4E8}"/>
            </a:ext>
          </a:extLst>
        </xdr:cNvPr>
        <xdr:cNvPicPr>
          <a:picLocks noChangeAspect="1"/>
        </xdr:cNvPicPr>
      </xdr:nvPicPr>
      <xdr:blipFill>
        <a:blip xmlns:r="http://schemas.openxmlformats.org/officeDocument/2006/relationships" r:embed="rId3"/>
        <a:stretch>
          <a:fillRect/>
        </a:stretch>
      </xdr:blipFill>
      <xdr:spPr>
        <a:xfrm>
          <a:off x="10056667" y="873702"/>
          <a:ext cx="5162550" cy="2660895"/>
        </a:xfrm>
        <a:prstGeom prst="rect">
          <a:avLst/>
        </a:prstGeom>
      </xdr:spPr>
    </xdr:pic>
    <xdr:clientData/>
  </xdr:twoCellAnchor>
  <xdr:twoCellAnchor editAs="oneCell">
    <xdr:from>
      <xdr:col>8</xdr:col>
      <xdr:colOff>536865</xdr:colOff>
      <xdr:row>25</xdr:row>
      <xdr:rowOff>147203</xdr:rowOff>
    </xdr:from>
    <xdr:to>
      <xdr:col>17</xdr:col>
      <xdr:colOff>86591</xdr:colOff>
      <xdr:row>44</xdr:row>
      <xdr:rowOff>127863</xdr:rowOff>
    </xdr:to>
    <xdr:pic>
      <xdr:nvPicPr>
        <xdr:cNvPr id="5" name="Imagem 4">
          <a:extLst>
            <a:ext uri="{FF2B5EF4-FFF2-40B4-BE49-F238E27FC236}">
              <a16:creationId xmlns:a16="http://schemas.microsoft.com/office/drawing/2014/main" id="{28BC0472-1C4C-4FB5-BAC1-A9E486A2BAA6}"/>
            </a:ext>
          </a:extLst>
        </xdr:cNvPr>
        <xdr:cNvPicPr>
          <a:picLocks noChangeAspect="1"/>
        </xdr:cNvPicPr>
      </xdr:nvPicPr>
      <xdr:blipFill>
        <a:blip xmlns:r="http://schemas.openxmlformats.org/officeDocument/2006/relationships" r:embed="rId4"/>
        <a:stretch>
          <a:fillRect/>
        </a:stretch>
      </xdr:blipFill>
      <xdr:spPr>
        <a:xfrm>
          <a:off x="4899315" y="5147828"/>
          <a:ext cx="5036126" cy="3600160"/>
        </a:xfrm>
        <a:prstGeom prst="rect">
          <a:avLst/>
        </a:prstGeom>
      </xdr:spPr>
    </xdr:pic>
    <xdr:clientData/>
  </xdr:twoCellAnchor>
  <xdr:twoCellAnchor editAs="oneCell">
    <xdr:from>
      <xdr:col>17</xdr:col>
      <xdr:colOff>216478</xdr:colOff>
      <xdr:row>25</xdr:row>
      <xdr:rowOff>144882</xdr:rowOff>
    </xdr:from>
    <xdr:to>
      <xdr:col>25</xdr:col>
      <xdr:colOff>476251</xdr:colOff>
      <xdr:row>44</xdr:row>
      <xdr:rowOff>127627</xdr:rowOff>
    </xdr:to>
    <xdr:pic>
      <xdr:nvPicPr>
        <xdr:cNvPr id="6" name="Imagem 5">
          <a:extLst>
            <a:ext uri="{FF2B5EF4-FFF2-40B4-BE49-F238E27FC236}">
              <a16:creationId xmlns:a16="http://schemas.microsoft.com/office/drawing/2014/main" id="{876B674F-3B7E-4A44-B43F-4FF9BF4B9F10}"/>
            </a:ext>
          </a:extLst>
        </xdr:cNvPr>
        <xdr:cNvPicPr>
          <a:picLocks noChangeAspect="1"/>
        </xdr:cNvPicPr>
      </xdr:nvPicPr>
      <xdr:blipFill>
        <a:blip xmlns:r="http://schemas.openxmlformats.org/officeDocument/2006/relationships" r:embed="rId5"/>
        <a:stretch>
          <a:fillRect/>
        </a:stretch>
      </xdr:blipFill>
      <xdr:spPr>
        <a:xfrm>
          <a:off x="10065328" y="5145507"/>
          <a:ext cx="5136573" cy="3602245"/>
        </a:xfrm>
        <a:prstGeom prst="rect">
          <a:avLst/>
        </a:prstGeom>
      </xdr:spPr>
    </xdr:pic>
    <xdr:clientData/>
  </xdr:twoCellAnchor>
  <xdr:twoCellAnchor editAs="oneCell">
    <xdr:from>
      <xdr:col>1</xdr:col>
      <xdr:colOff>8660</xdr:colOff>
      <xdr:row>25</xdr:row>
      <xdr:rowOff>138545</xdr:rowOff>
    </xdr:from>
    <xdr:to>
      <xdr:col>8</xdr:col>
      <xdr:colOff>415637</xdr:colOff>
      <xdr:row>39</xdr:row>
      <xdr:rowOff>163314</xdr:rowOff>
    </xdr:to>
    <xdr:pic>
      <xdr:nvPicPr>
        <xdr:cNvPr id="7" name="Imagem 6">
          <a:extLst>
            <a:ext uri="{FF2B5EF4-FFF2-40B4-BE49-F238E27FC236}">
              <a16:creationId xmlns:a16="http://schemas.microsoft.com/office/drawing/2014/main" id="{A1A774CB-BF4E-4F13-A392-C2CA8F178025}"/>
            </a:ext>
          </a:extLst>
        </xdr:cNvPr>
        <xdr:cNvPicPr>
          <a:picLocks noChangeAspect="1"/>
        </xdr:cNvPicPr>
      </xdr:nvPicPr>
      <xdr:blipFill>
        <a:blip xmlns:r="http://schemas.openxmlformats.org/officeDocument/2006/relationships" r:embed="rId6"/>
        <a:stretch>
          <a:fillRect/>
        </a:stretch>
      </xdr:blipFill>
      <xdr:spPr>
        <a:xfrm>
          <a:off x="103910" y="5139170"/>
          <a:ext cx="4674177" cy="2691769"/>
        </a:xfrm>
        <a:prstGeom prst="rect">
          <a:avLst/>
        </a:prstGeom>
      </xdr:spPr>
    </xdr:pic>
    <xdr:clientData/>
  </xdr:twoCellAnchor>
  <xdr:twoCellAnchor editAs="oneCell">
    <xdr:from>
      <xdr:col>17</xdr:col>
      <xdr:colOff>216478</xdr:colOff>
      <xdr:row>47</xdr:row>
      <xdr:rowOff>152645</xdr:rowOff>
    </xdr:from>
    <xdr:to>
      <xdr:col>25</xdr:col>
      <xdr:colOff>493569</xdr:colOff>
      <xdr:row>69</xdr:row>
      <xdr:rowOff>53871</xdr:rowOff>
    </xdr:to>
    <xdr:pic>
      <xdr:nvPicPr>
        <xdr:cNvPr id="8" name="Imagem 7">
          <a:extLst>
            <a:ext uri="{FF2B5EF4-FFF2-40B4-BE49-F238E27FC236}">
              <a16:creationId xmlns:a16="http://schemas.microsoft.com/office/drawing/2014/main" id="{EDCFEB76-6633-41AC-99E0-1FE98D21FA8E}"/>
            </a:ext>
          </a:extLst>
        </xdr:cNvPr>
        <xdr:cNvPicPr>
          <a:picLocks noChangeAspect="1"/>
        </xdr:cNvPicPr>
      </xdr:nvPicPr>
      <xdr:blipFill>
        <a:blip xmlns:r="http://schemas.openxmlformats.org/officeDocument/2006/relationships" r:embed="rId7"/>
        <a:stretch>
          <a:fillRect/>
        </a:stretch>
      </xdr:blipFill>
      <xdr:spPr>
        <a:xfrm>
          <a:off x="10065328" y="9401420"/>
          <a:ext cx="5153891" cy="4092226"/>
        </a:xfrm>
        <a:prstGeom prst="rect">
          <a:avLst/>
        </a:prstGeom>
      </xdr:spPr>
    </xdr:pic>
    <xdr:clientData/>
  </xdr:twoCellAnchor>
  <xdr:twoCellAnchor editAs="oneCell">
    <xdr:from>
      <xdr:col>8</xdr:col>
      <xdr:colOff>519546</xdr:colOff>
      <xdr:row>47</xdr:row>
      <xdr:rowOff>147204</xdr:rowOff>
    </xdr:from>
    <xdr:to>
      <xdr:col>17</xdr:col>
      <xdr:colOff>106452</xdr:colOff>
      <xdr:row>62</xdr:row>
      <xdr:rowOff>43296</xdr:rowOff>
    </xdr:to>
    <xdr:pic>
      <xdr:nvPicPr>
        <xdr:cNvPr id="9" name="Imagem 8">
          <a:extLst>
            <a:ext uri="{FF2B5EF4-FFF2-40B4-BE49-F238E27FC236}">
              <a16:creationId xmlns:a16="http://schemas.microsoft.com/office/drawing/2014/main" id="{D33F2188-7FC5-4C23-8FAA-5EB5A9D72F06}"/>
            </a:ext>
          </a:extLst>
        </xdr:cNvPr>
        <xdr:cNvPicPr>
          <a:picLocks noChangeAspect="1"/>
        </xdr:cNvPicPr>
      </xdr:nvPicPr>
      <xdr:blipFill>
        <a:blip xmlns:r="http://schemas.openxmlformats.org/officeDocument/2006/relationships" r:embed="rId8"/>
        <a:stretch>
          <a:fillRect/>
        </a:stretch>
      </xdr:blipFill>
      <xdr:spPr>
        <a:xfrm>
          <a:off x="4881996" y="9395979"/>
          <a:ext cx="5073306" cy="2753592"/>
        </a:xfrm>
        <a:prstGeom prst="rect">
          <a:avLst/>
        </a:prstGeom>
      </xdr:spPr>
    </xdr:pic>
    <xdr:clientData/>
  </xdr:twoCellAnchor>
  <xdr:twoCellAnchor editAs="oneCell">
    <xdr:from>
      <xdr:col>1</xdr:col>
      <xdr:colOff>112568</xdr:colOff>
      <xdr:row>47</xdr:row>
      <xdr:rowOff>147204</xdr:rowOff>
    </xdr:from>
    <xdr:to>
      <xdr:col>8</xdr:col>
      <xdr:colOff>472906</xdr:colOff>
      <xdr:row>63</xdr:row>
      <xdr:rowOff>34637</xdr:rowOff>
    </xdr:to>
    <xdr:pic>
      <xdr:nvPicPr>
        <xdr:cNvPr id="10" name="Imagem 9">
          <a:extLst>
            <a:ext uri="{FF2B5EF4-FFF2-40B4-BE49-F238E27FC236}">
              <a16:creationId xmlns:a16="http://schemas.microsoft.com/office/drawing/2014/main" id="{BFC8E007-DFA4-46F9-ABEB-C8B29D72F57F}"/>
            </a:ext>
          </a:extLst>
        </xdr:cNvPr>
        <xdr:cNvPicPr>
          <a:picLocks noChangeAspect="1"/>
        </xdr:cNvPicPr>
      </xdr:nvPicPr>
      <xdr:blipFill>
        <a:blip xmlns:r="http://schemas.openxmlformats.org/officeDocument/2006/relationships" r:embed="rId9"/>
        <a:stretch>
          <a:fillRect/>
        </a:stretch>
      </xdr:blipFill>
      <xdr:spPr>
        <a:xfrm>
          <a:off x="207818" y="9395979"/>
          <a:ext cx="4627538" cy="2935433"/>
        </a:xfrm>
        <a:prstGeom prst="rect">
          <a:avLst/>
        </a:prstGeom>
      </xdr:spPr>
    </xdr:pic>
    <xdr:clientData/>
  </xdr:twoCellAnchor>
  <xdr:twoCellAnchor editAs="oneCell">
    <xdr:from>
      <xdr:col>8</xdr:col>
      <xdr:colOff>554181</xdr:colOff>
      <xdr:row>72</xdr:row>
      <xdr:rowOff>164521</xdr:rowOff>
    </xdr:from>
    <xdr:to>
      <xdr:col>17</xdr:col>
      <xdr:colOff>86592</xdr:colOff>
      <xdr:row>87</xdr:row>
      <xdr:rowOff>34162</xdr:rowOff>
    </xdr:to>
    <xdr:pic>
      <xdr:nvPicPr>
        <xdr:cNvPr id="11" name="Imagem 10">
          <a:extLst>
            <a:ext uri="{FF2B5EF4-FFF2-40B4-BE49-F238E27FC236}">
              <a16:creationId xmlns:a16="http://schemas.microsoft.com/office/drawing/2014/main" id="{21F205D3-DFBB-4A68-AAE2-5285B657E0C8}"/>
            </a:ext>
          </a:extLst>
        </xdr:cNvPr>
        <xdr:cNvPicPr>
          <a:picLocks noChangeAspect="1"/>
        </xdr:cNvPicPr>
      </xdr:nvPicPr>
      <xdr:blipFill>
        <a:blip xmlns:r="http://schemas.openxmlformats.org/officeDocument/2006/relationships" r:embed="rId10"/>
        <a:stretch>
          <a:fillRect/>
        </a:stretch>
      </xdr:blipFill>
      <xdr:spPr>
        <a:xfrm>
          <a:off x="4916631" y="14232946"/>
          <a:ext cx="5018811" cy="2727141"/>
        </a:xfrm>
        <a:prstGeom prst="rect">
          <a:avLst/>
        </a:prstGeom>
      </xdr:spPr>
    </xdr:pic>
    <xdr:clientData/>
  </xdr:twoCellAnchor>
  <xdr:twoCellAnchor editAs="oneCell">
    <xdr:from>
      <xdr:col>1</xdr:col>
      <xdr:colOff>60614</xdr:colOff>
      <xdr:row>72</xdr:row>
      <xdr:rowOff>173182</xdr:rowOff>
    </xdr:from>
    <xdr:to>
      <xdr:col>8</xdr:col>
      <xdr:colOff>450272</xdr:colOff>
      <xdr:row>82</xdr:row>
      <xdr:rowOff>78499</xdr:rowOff>
    </xdr:to>
    <xdr:pic>
      <xdr:nvPicPr>
        <xdr:cNvPr id="12" name="Imagem 11">
          <a:extLst>
            <a:ext uri="{FF2B5EF4-FFF2-40B4-BE49-F238E27FC236}">
              <a16:creationId xmlns:a16="http://schemas.microsoft.com/office/drawing/2014/main" id="{2F5BD68C-DD44-4457-B372-3E2C15414054}"/>
            </a:ext>
          </a:extLst>
        </xdr:cNvPr>
        <xdr:cNvPicPr>
          <a:picLocks noChangeAspect="1"/>
        </xdr:cNvPicPr>
      </xdr:nvPicPr>
      <xdr:blipFill>
        <a:blip xmlns:r="http://schemas.openxmlformats.org/officeDocument/2006/relationships" r:embed="rId11"/>
        <a:stretch>
          <a:fillRect/>
        </a:stretch>
      </xdr:blipFill>
      <xdr:spPr>
        <a:xfrm>
          <a:off x="155864" y="14241607"/>
          <a:ext cx="4656858" cy="1810317"/>
        </a:xfrm>
        <a:prstGeom prst="rect">
          <a:avLst/>
        </a:prstGeom>
      </xdr:spPr>
    </xdr:pic>
    <xdr:clientData/>
  </xdr:twoCellAnchor>
  <xdr:twoCellAnchor editAs="oneCell">
    <xdr:from>
      <xdr:col>17</xdr:col>
      <xdr:colOff>210771</xdr:colOff>
      <xdr:row>72</xdr:row>
      <xdr:rowOff>147206</xdr:rowOff>
    </xdr:from>
    <xdr:to>
      <xdr:col>25</xdr:col>
      <xdr:colOff>464357</xdr:colOff>
      <xdr:row>84</xdr:row>
      <xdr:rowOff>155864</xdr:rowOff>
    </xdr:to>
    <xdr:pic>
      <xdr:nvPicPr>
        <xdr:cNvPr id="13" name="Imagem 12">
          <a:extLst>
            <a:ext uri="{FF2B5EF4-FFF2-40B4-BE49-F238E27FC236}">
              <a16:creationId xmlns:a16="http://schemas.microsoft.com/office/drawing/2014/main" id="{9BDA1C52-3491-4343-BFFD-91D243351C85}"/>
            </a:ext>
          </a:extLst>
        </xdr:cNvPr>
        <xdr:cNvPicPr>
          <a:picLocks noChangeAspect="1"/>
        </xdr:cNvPicPr>
      </xdr:nvPicPr>
      <xdr:blipFill>
        <a:blip xmlns:r="http://schemas.openxmlformats.org/officeDocument/2006/relationships" r:embed="rId12"/>
        <a:stretch>
          <a:fillRect/>
        </a:stretch>
      </xdr:blipFill>
      <xdr:spPr>
        <a:xfrm>
          <a:off x="10059621" y="14215631"/>
          <a:ext cx="5130386" cy="2294658"/>
        </a:xfrm>
        <a:prstGeom prst="rect">
          <a:avLst/>
        </a:prstGeom>
      </xdr:spPr>
    </xdr:pic>
    <xdr:clientData/>
  </xdr:twoCellAnchor>
  <xdr:twoCellAnchor editAs="oneCell">
    <xdr:from>
      <xdr:col>8</xdr:col>
      <xdr:colOff>536864</xdr:colOff>
      <xdr:row>90</xdr:row>
      <xdr:rowOff>86592</xdr:rowOff>
    </xdr:from>
    <xdr:to>
      <xdr:col>17</xdr:col>
      <xdr:colOff>129008</xdr:colOff>
      <xdr:row>109</xdr:row>
      <xdr:rowOff>159094</xdr:rowOff>
    </xdr:to>
    <xdr:pic>
      <xdr:nvPicPr>
        <xdr:cNvPr id="14" name="Imagem 13">
          <a:extLst>
            <a:ext uri="{FF2B5EF4-FFF2-40B4-BE49-F238E27FC236}">
              <a16:creationId xmlns:a16="http://schemas.microsoft.com/office/drawing/2014/main" id="{F1F3917D-752F-43A6-B540-21439AB2A9FE}"/>
            </a:ext>
          </a:extLst>
        </xdr:cNvPr>
        <xdr:cNvPicPr>
          <a:picLocks noChangeAspect="1"/>
        </xdr:cNvPicPr>
      </xdr:nvPicPr>
      <xdr:blipFill>
        <a:blip xmlns:r="http://schemas.openxmlformats.org/officeDocument/2006/relationships" r:embed="rId13"/>
        <a:stretch>
          <a:fillRect/>
        </a:stretch>
      </xdr:blipFill>
      <xdr:spPr>
        <a:xfrm>
          <a:off x="4899314" y="17641167"/>
          <a:ext cx="5078544" cy="3692002"/>
        </a:xfrm>
        <a:prstGeom prst="rect">
          <a:avLst/>
        </a:prstGeom>
      </xdr:spPr>
    </xdr:pic>
    <xdr:clientData/>
  </xdr:twoCellAnchor>
  <xdr:twoCellAnchor editAs="oneCell">
    <xdr:from>
      <xdr:col>17</xdr:col>
      <xdr:colOff>225137</xdr:colOff>
      <xdr:row>90</xdr:row>
      <xdr:rowOff>95248</xdr:rowOff>
    </xdr:from>
    <xdr:to>
      <xdr:col>25</xdr:col>
      <xdr:colOff>480799</xdr:colOff>
      <xdr:row>104</xdr:row>
      <xdr:rowOff>51955</xdr:rowOff>
    </xdr:to>
    <xdr:pic>
      <xdr:nvPicPr>
        <xdr:cNvPr id="15" name="Imagem 14">
          <a:extLst>
            <a:ext uri="{FF2B5EF4-FFF2-40B4-BE49-F238E27FC236}">
              <a16:creationId xmlns:a16="http://schemas.microsoft.com/office/drawing/2014/main" id="{5F7F5C0D-1D20-4366-B153-A8109C0E50CA}"/>
            </a:ext>
          </a:extLst>
        </xdr:cNvPr>
        <xdr:cNvPicPr>
          <a:picLocks noChangeAspect="1"/>
        </xdr:cNvPicPr>
      </xdr:nvPicPr>
      <xdr:blipFill>
        <a:blip xmlns:r="http://schemas.openxmlformats.org/officeDocument/2006/relationships" r:embed="rId14"/>
        <a:stretch>
          <a:fillRect/>
        </a:stretch>
      </xdr:blipFill>
      <xdr:spPr>
        <a:xfrm>
          <a:off x="10073987" y="17649823"/>
          <a:ext cx="5132462" cy="2623707"/>
        </a:xfrm>
        <a:prstGeom prst="rect">
          <a:avLst/>
        </a:prstGeom>
      </xdr:spPr>
    </xdr:pic>
    <xdr:clientData/>
  </xdr:twoCellAnchor>
  <xdr:twoCellAnchor editAs="oneCell">
    <xdr:from>
      <xdr:col>1</xdr:col>
      <xdr:colOff>95250</xdr:colOff>
      <xdr:row>90</xdr:row>
      <xdr:rowOff>103910</xdr:rowOff>
    </xdr:from>
    <xdr:to>
      <xdr:col>8</xdr:col>
      <xdr:colOff>467590</xdr:colOff>
      <xdr:row>99</xdr:row>
      <xdr:rowOff>176157</xdr:rowOff>
    </xdr:to>
    <xdr:pic>
      <xdr:nvPicPr>
        <xdr:cNvPr id="16" name="Imagem 15">
          <a:extLst>
            <a:ext uri="{FF2B5EF4-FFF2-40B4-BE49-F238E27FC236}">
              <a16:creationId xmlns:a16="http://schemas.microsoft.com/office/drawing/2014/main" id="{D55AA550-DC4A-436B-9F1F-EB83FABAF565}"/>
            </a:ext>
          </a:extLst>
        </xdr:cNvPr>
        <xdr:cNvPicPr>
          <a:picLocks noChangeAspect="1"/>
        </xdr:cNvPicPr>
      </xdr:nvPicPr>
      <xdr:blipFill>
        <a:blip xmlns:r="http://schemas.openxmlformats.org/officeDocument/2006/relationships" r:embed="rId15"/>
        <a:stretch>
          <a:fillRect/>
        </a:stretch>
      </xdr:blipFill>
      <xdr:spPr>
        <a:xfrm>
          <a:off x="190500" y="17658485"/>
          <a:ext cx="4639540" cy="1786747"/>
        </a:xfrm>
        <a:prstGeom prst="rect">
          <a:avLst/>
        </a:prstGeom>
      </xdr:spPr>
    </xdr:pic>
    <xdr:clientData/>
  </xdr:twoCellAnchor>
  <xdr:twoCellAnchor editAs="oneCell">
    <xdr:from>
      <xdr:col>8</xdr:col>
      <xdr:colOff>502228</xdr:colOff>
      <xdr:row>112</xdr:row>
      <xdr:rowOff>112569</xdr:rowOff>
    </xdr:from>
    <xdr:to>
      <xdr:col>17</xdr:col>
      <xdr:colOff>138547</xdr:colOff>
      <xdr:row>129</xdr:row>
      <xdr:rowOff>125969</xdr:rowOff>
    </xdr:to>
    <xdr:pic>
      <xdr:nvPicPr>
        <xdr:cNvPr id="17" name="Imagem 16">
          <a:extLst>
            <a:ext uri="{FF2B5EF4-FFF2-40B4-BE49-F238E27FC236}">
              <a16:creationId xmlns:a16="http://schemas.microsoft.com/office/drawing/2014/main" id="{EA3E7539-9CD4-42B2-AAC2-177DD193ED0B}"/>
            </a:ext>
          </a:extLst>
        </xdr:cNvPr>
        <xdr:cNvPicPr>
          <a:picLocks noChangeAspect="1"/>
        </xdr:cNvPicPr>
      </xdr:nvPicPr>
      <xdr:blipFill>
        <a:blip xmlns:r="http://schemas.openxmlformats.org/officeDocument/2006/relationships" r:embed="rId16"/>
        <a:stretch>
          <a:fillRect/>
        </a:stretch>
      </xdr:blipFill>
      <xdr:spPr>
        <a:xfrm>
          <a:off x="4864678" y="21915294"/>
          <a:ext cx="5122719" cy="3251900"/>
        </a:xfrm>
        <a:prstGeom prst="rect">
          <a:avLst/>
        </a:prstGeom>
      </xdr:spPr>
    </xdr:pic>
    <xdr:clientData/>
  </xdr:twoCellAnchor>
  <xdr:twoCellAnchor editAs="oneCell">
    <xdr:from>
      <xdr:col>1</xdr:col>
      <xdr:colOff>60613</xdr:colOff>
      <xdr:row>112</xdr:row>
      <xdr:rowOff>112568</xdr:rowOff>
    </xdr:from>
    <xdr:to>
      <xdr:col>8</xdr:col>
      <xdr:colOff>441613</xdr:colOff>
      <xdr:row>123</xdr:row>
      <xdr:rowOff>99527</xdr:rowOff>
    </xdr:to>
    <xdr:pic>
      <xdr:nvPicPr>
        <xdr:cNvPr id="18" name="Imagem 17">
          <a:extLst>
            <a:ext uri="{FF2B5EF4-FFF2-40B4-BE49-F238E27FC236}">
              <a16:creationId xmlns:a16="http://schemas.microsoft.com/office/drawing/2014/main" id="{FBC2BCAC-F993-49CA-BAB6-3FD99E77A47E}"/>
            </a:ext>
          </a:extLst>
        </xdr:cNvPr>
        <xdr:cNvPicPr>
          <a:picLocks noChangeAspect="1"/>
        </xdr:cNvPicPr>
      </xdr:nvPicPr>
      <xdr:blipFill>
        <a:blip xmlns:r="http://schemas.openxmlformats.org/officeDocument/2006/relationships" r:embed="rId17"/>
        <a:stretch>
          <a:fillRect/>
        </a:stretch>
      </xdr:blipFill>
      <xdr:spPr>
        <a:xfrm>
          <a:off x="155863" y="21915293"/>
          <a:ext cx="4648200" cy="2082459"/>
        </a:xfrm>
        <a:prstGeom prst="rect">
          <a:avLst/>
        </a:prstGeom>
      </xdr:spPr>
    </xdr:pic>
    <xdr:clientData/>
  </xdr:twoCellAnchor>
  <xdr:twoCellAnchor editAs="oneCell">
    <xdr:from>
      <xdr:col>17</xdr:col>
      <xdr:colOff>225136</xdr:colOff>
      <xdr:row>112</xdr:row>
      <xdr:rowOff>120246</xdr:rowOff>
    </xdr:from>
    <xdr:to>
      <xdr:col>25</xdr:col>
      <xdr:colOff>533802</xdr:colOff>
      <xdr:row>124</xdr:row>
      <xdr:rowOff>155864</xdr:rowOff>
    </xdr:to>
    <xdr:pic>
      <xdr:nvPicPr>
        <xdr:cNvPr id="19" name="Imagem 18">
          <a:extLst>
            <a:ext uri="{FF2B5EF4-FFF2-40B4-BE49-F238E27FC236}">
              <a16:creationId xmlns:a16="http://schemas.microsoft.com/office/drawing/2014/main" id="{896B3030-8402-46FF-B2C8-C0206C6FA351}"/>
            </a:ext>
          </a:extLst>
        </xdr:cNvPr>
        <xdr:cNvPicPr>
          <a:picLocks noChangeAspect="1"/>
        </xdr:cNvPicPr>
      </xdr:nvPicPr>
      <xdr:blipFill>
        <a:blip xmlns:r="http://schemas.openxmlformats.org/officeDocument/2006/relationships" r:embed="rId18"/>
        <a:stretch>
          <a:fillRect/>
        </a:stretch>
      </xdr:blipFill>
      <xdr:spPr>
        <a:xfrm>
          <a:off x="10073986" y="21922971"/>
          <a:ext cx="5185466" cy="2321618"/>
        </a:xfrm>
        <a:prstGeom prst="rect">
          <a:avLst/>
        </a:prstGeom>
      </xdr:spPr>
    </xdr:pic>
    <xdr:clientData/>
  </xdr:twoCellAnchor>
  <xdr:twoCellAnchor editAs="oneCell">
    <xdr:from>
      <xdr:col>17</xdr:col>
      <xdr:colOff>303068</xdr:colOff>
      <xdr:row>132</xdr:row>
      <xdr:rowOff>86591</xdr:rowOff>
    </xdr:from>
    <xdr:to>
      <xdr:col>25</xdr:col>
      <xdr:colOff>484908</xdr:colOff>
      <xdr:row>151</xdr:row>
      <xdr:rowOff>166666</xdr:rowOff>
    </xdr:to>
    <xdr:pic>
      <xdr:nvPicPr>
        <xdr:cNvPr id="20" name="Imagem 19">
          <a:extLst>
            <a:ext uri="{FF2B5EF4-FFF2-40B4-BE49-F238E27FC236}">
              <a16:creationId xmlns:a16="http://schemas.microsoft.com/office/drawing/2014/main" id="{8F28D14D-94E7-4F36-8C4B-DBE26990B843}"/>
            </a:ext>
          </a:extLst>
        </xdr:cNvPr>
        <xdr:cNvPicPr>
          <a:picLocks noChangeAspect="1"/>
        </xdr:cNvPicPr>
      </xdr:nvPicPr>
      <xdr:blipFill>
        <a:blip xmlns:r="http://schemas.openxmlformats.org/officeDocument/2006/relationships" r:embed="rId19"/>
        <a:stretch>
          <a:fillRect/>
        </a:stretch>
      </xdr:blipFill>
      <xdr:spPr>
        <a:xfrm>
          <a:off x="10151918" y="25756466"/>
          <a:ext cx="5058640" cy="3699575"/>
        </a:xfrm>
        <a:prstGeom prst="rect">
          <a:avLst/>
        </a:prstGeom>
      </xdr:spPr>
    </xdr:pic>
    <xdr:clientData/>
  </xdr:twoCellAnchor>
  <xdr:twoCellAnchor editAs="oneCell">
    <xdr:from>
      <xdr:col>8</xdr:col>
      <xdr:colOff>554183</xdr:colOff>
      <xdr:row>132</xdr:row>
      <xdr:rowOff>103908</xdr:rowOff>
    </xdr:from>
    <xdr:to>
      <xdr:col>17</xdr:col>
      <xdr:colOff>233797</xdr:colOff>
      <xdr:row>151</xdr:row>
      <xdr:rowOff>82545</xdr:rowOff>
    </xdr:to>
    <xdr:pic>
      <xdr:nvPicPr>
        <xdr:cNvPr id="21" name="Imagem 20">
          <a:extLst>
            <a:ext uri="{FF2B5EF4-FFF2-40B4-BE49-F238E27FC236}">
              <a16:creationId xmlns:a16="http://schemas.microsoft.com/office/drawing/2014/main" id="{31FA301B-F59A-4188-9499-DD7F69CF1538}"/>
            </a:ext>
          </a:extLst>
        </xdr:cNvPr>
        <xdr:cNvPicPr>
          <a:picLocks noChangeAspect="1"/>
        </xdr:cNvPicPr>
      </xdr:nvPicPr>
      <xdr:blipFill>
        <a:blip xmlns:r="http://schemas.openxmlformats.org/officeDocument/2006/relationships" r:embed="rId20"/>
        <a:stretch>
          <a:fillRect/>
        </a:stretch>
      </xdr:blipFill>
      <xdr:spPr>
        <a:xfrm>
          <a:off x="4916633" y="25773783"/>
          <a:ext cx="5166014" cy="3598137"/>
        </a:xfrm>
        <a:prstGeom prst="rect">
          <a:avLst/>
        </a:prstGeom>
      </xdr:spPr>
    </xdr:pic>
    <xdr:clientData/>
  </xdr:twoCellAnchor>
  <xdr:twoCellAnchor editAs="oneCell">
    <xdr:from>
      <xdr:col>1</xdr:col>
      <xdr:colOff>60613</xdr:colOff>
      <xdr:row>132</xdr:row>
      <xdr:rowOff>103910</xdr:rowOff>
    </xdr:from>
    <xdr:to>
      <xdr:col>8</xdr:col>
      <xdr:colOff>441613</xdr:colOff>
      <xdr:row>148</xdr:row>
      <xdr:rowOff>12763</xdr:rowOff>
    </xdr:to>
    <xdr:pic>
      <xdr:nvPicPr>
        <xdr:cNvPr id="22" name="Imagem 21">
          <a:extLst>
            <a:ext uri="{FF2B5EF4-FFF2-40B4-BE49-F238E27FC236}">
              <a16:creationId xmlns:a16="http://schemas.microsoft.com/office/drawing/2014/main" id="{5790F081-1871-4F74-975A-65BFF7A91B28}"/>
            </a:ext>
          </a:extLst>
        </xdr:cNvPr>
        <xdr:cNvPicPr>
          <a:picLocks noChangeAspect="1"/>
        </xdr:cNvPicPr>
      </xdr:nvPicPr>
      <xdr:blipFill>
        <a:blip xmlns:r="http://schemas.openxmlformats.org/officeDocument/2006/relationships" r:embed="rId21"/>
        <a:stretch>
          <a:fillRect/>
        </a:stretch>
      </xdr:blipFill>
      <xdr:spPr>
        <a:xfrm>
          <a:off x="155863" y="25773785"/>
          <a:ext cx="4648200" cy="2956853"/>
        </a:xfrm>
        <a:prstGeom prst="rect">
          <a:avLst/>
        </a:prstGeom>
      </xdr:spPr>
    </xdr:pic>
    <xdr:clientData/>
  </xdr:twoCellAnchor>
  <xdr:twoCellAnchor editAs="oneCell">
    <xdr:from>
      <xdr:col>17</xdr:col>
      <xdr:colOff>355022</xdr:colOff>
      <xdr:row>156</xdr:row>
      <xdr:rowOff>129885</xdr:rowOff>
    </xdr:from>
    <xdr:to>
      <xdr:col>25</xdr:col>
      <xdr:colOff>489296</xdr:colOff>
      <xdr:row>174</xdr:row>
      <xdr:rowOff>53552</xdr:rowOff>
    </xdr:to>
    <xdr:pic>
      <xdr:nvPicPr>
        <xdr:cNvPr id="23" name="Imagem 22">
          <a:extLst>
            <a:ext uri="{FF2B5EF4-FFF2-40B4-BE49-F238E27FC236}">
              <a16:creationId xmlns:a16="http://schemas.microsoft.com/office/drawing/2014/main" id="{E1ED4130-F788-4DB1-B363-D66E51260566}"/>
            </a:ext>
          </a:extLst>
        </xdr:cNvPr>
        <xdr:cNvPicPr>
          <a:picLocks noChangeAspect="1"/>
        </xdr:cNvPicPr>
      </xdr:nvPicPr>
      <xdr:blipFill>
        <a:blip xmlns:r="http://schemas.openxmlformats.org/officeDocument/2006/relationships" r:embed="rId22"/>
        <a:stretch>
          <a:fillRect/>
        </a:stretch>
      </xdr:blipFill>
      <xdr:spPr>
        <a:xfrm>
          <a:off x="10203872" y="30552735"/>
          <a:ext cx="5011074" cy="3352667"/>
        </a:xfrm>
        <a:prstGeom prst="rect">
          <a:avLst/>
        </a:prstGeom>
      </xdr:spPr>
    </xdr:pic>
    <xdr:clientData/>
  </xdr:twoCellAnchor>
  <xdr:twoCellAnchor editAs="oneCell">
    <xdr:from>
      <xdr:col>1</xdr:col>
      <xdr:colOff>51955</xdr:colOff>
      <xdr:row>156</xdr:row>
      <xdr:rowOff>95249</xdr:rowOff>
    </xdr:from>
    <xdr:to>
      <xdr:col>8</xdr:col>
      <xdr:colOff>458932</xdr:colOff>
      <xdr:row>175</xdr:row>
      <xdr:rowOff>50879</xdr:rowOff>
    </xdr:to>
    <xdr:pic>
      <xdr:nvPicPr>
        <xdr:cNvPr id="24" name="Imagem 23">
          <a:extLst>
            <a:ext uri="{FF2B5EF4-FFF2-40B4-BE49-F238E27FC236}">
              <a16:creationId xmlns:a16="http://schemas.microsoft.com/office/drawing/2014/main" id="{A47EAF80-2294-46A8-B726-C5BADE95B23C}"/>
            </a:ext>
          </a:extLst>
        </xdr:cNvPr>
        <xdr:cNvPicPr>
          <a:picLocks noChangeAspect="1"/>
        </xdr:cNvPicPr>
      </xdr:nvPicPr>
      <xdr:blipFill>
        <a:blip xmlns:r="http://schemas.openxmlformats.org/officeDocument/2006/relationships" r:embed="rId23"/>
        <a:stretch>
          <a:fillRect/>
        </a:stretch>
      </xdr:blipFill>
      <xdr:spPr>
        <a:xfrm>
          <a:off x="147205" y="30518099"/>
          <a:ext cx="4674177" cy="3575130"/>
        </a:xfrm>
        <a:prstGeom prst="rect">
          <a:avLst/>
        </a:prstGeom>
      </xdr:spPr>
    </xdr:pic>
    <xdr:clientData/>
  </xdr:twoCellAnchor>
  <xdr:twoCellAnchor editAs="oneCell">
    <xdr:from>
      <xdr:col>8</xdr:col>
      <xdr:colOff>554182</xdr:colOff>
      <xdr:row>156</xdr:row>
      <xdr:rowOff>112568</xdr:rowOff>
    </xdr:from>
    <xdr:to>
      <xdr:col>17</xdr:col>
      <xdr:colOff>285306</xdr:colOff>
      <xdr:row>168</xdr:row>
      <xdr:rowOff>164522</xdr:rowOff>
    </xdr:to>
    <xdr:pic>
      <xdr:nvPicPr>
        <xdr:cNvPr id="25" name="Imagem 24">
          <a:extLst>
            <a:ext uri="{FF2B5EF4-FFF2-40B4-BE49-F238E27FC236}">
              <a16:creationId xmlns:a16="http://schemas.microsoft.com/office/drawing/2014/main" id="{16D2EE0E-8A90-4FDB-8C37-76A4993A180D}"/>
            </a:ext>
          </a:extLst>
        </xdr:cNvPr>
        <xdr:cNvPicPr>
          <a:picLocks noChangeAspect="1"/>
        </xdr:cNvPicPr>
      </xdr:nvPicPr>
      <xdr:blipFill>
        <a:blip xmlns:r="http://schemas.openxmlformats.org/officeDocument/2006/relationships" r:embed="rId24"/>
        <a:stretch>
          <a:fillRect/>
        </a:stretch>
      </xdr:blipFill>
      <xdr:spPr>
        <a:xfrm>
          <a:off x="4916632" y="30535418"/>
          <a:ext cx="5217524" cy="2337954"/>
        </a:xfrm>
        <a:prstGeom prst="rect">
          <a:avLst/>
        </a:prstGeom>
      </xdr:spPr>
    </xdr:pic>
    <xdr:clientData/>
  </xdr:twoCellAnchor>
  <xdr:twoCellAnchor editAs="oneCell">
    <xdr:from>
      <xdr:col>8</xdr:col>
      <xdr:colOff>580160</xdr:colOff>
      <xdr:row>178</xdr:row>
      <xdr:rowOff>77932</xdr:rowOff>
    </xdr:from>
    <xdr:to>
      <xdr:col>17</xdr:col>
      <xdr:colOff>233796</xdr:colOff>
      <xdr:row>194</xdr:row>
      <xdr:rowOff>57868</xdr:rowOff>
    </xdr:to>
    <xdr:pic>
      <xdr:nvPicPr>
        <xdr:cNvPr id="26" name="Imagem 25">
          <a:extLst>
            <a:ext uri="{FF2B5EF4-FFF2-40B4-BE49-F238E27FC236}">
              <a16:creationId xmlns:a16="http://schemas.microsoft.com/office/drawing/2014/main" id="{3D4D1D1D-D0A9-4382-A312-6D38C60A2082}"/>
            </a:ext>
          </a:extLst>
        </xdr:cNvPr>
        <xdr:cNvPicPr>
          <a:picLocks noChangeAspect="1"/>
        </xdr:cNvPicPr>
      </xdr:nvPicPr>
      <xdr:blipFill>
        <a:blip xmlns:r="http://schemas.openxmlformats.org/officeDocument/2006/relationships" r:embed="rId25"/>
        <a:stretch>
          <a:fillRect/>
        </a:stretch>
      </xdr:blipFill>
      <xdr:spPr>
        <a:xfrm>
          <a:off x="4942610" y="34748932"/>
          <a:ext cx="5140036" cy="3027936"/>
        </a:xfrm>
        <a:prstGeom prst="rect">
          <a:avLst/>
        </a:prstGeom>
      </xdr:spPr>
    </xdr:pic>
    <xdr:clientData/>
  </xdr:twoCellAnchor>
  <xdr:twoCellAnchor editAs="oneCell">
    <xdr:from>
      <xdr:col>17</xdr:col>
      <xdr:colOff>294409</xdr:colOff>
      <xdr:row>178</xdr:row>
      <xdr:rowOff>69272</xdr:rowOff>
    </xdr:from>
    <xdr:to>
      <xdr:col>25</xdr:col>
      <xdr:colOff>520863</xdr:colOff>
      <xdr:row>193</xdr:row>
      <xdr:rowOff>138546</xdr:rowOff>
    </xdr:to>
    <xdr:pic>
      <xdr:nvPicPr>
        <xdr:cNvPr id="27" name="Imagem 26">
          <a:extLst>
            <a:ext uri="{FF2B5EF4-FFF2-40B4-BE49-F238E27FC236}">
              <a16:creationId xmlns:a16="http://schemas.microsoft.com/office/drawing/2014/main" id="{ED7DE7C5-3469-42A8-840C-F39172013C3B}"/>
            </a:ext>
          </a:extLst>
        </xdr:cNvPr>
        <xdr:cNvPicPr>
          <a:picLocks noChangeAspect="1"/>
        </xdr:cNvPicPr>
      </xdr:nvPicPr>
      <xdr:blipFill>
        <a:blip xmlns:r="http://schemas.openxmlformats.org/officeDocument/2006/relationships" r:embed="rId26"/>
        <a:stretch>
          <a:fillRect/>
        </a:stretch>
      </xdr:blipFill>
      <xdr:spPr>
        <a:xfrm>
          <a:off x="10143259" y="34740272"/>
          <a:ext cx="5103254" cy="2926774"/>
        </a:xfrm>
        <a:prstGeom prst="rect">
          <a:avLst/>
        </a:prstGeom>
      </xdr:spPr>
    </xdr:pic>
    <xdr:clientData/>
  </xdr:twoCellAnchor>
  <xdr:twoCellAnchor editAs="oneCell">
    <xdr:from>
      <xdr:col>1</xdr:col>
      <xdr:colOff>101693</xdr:colOff>
      <xdr:row>178</xdr:row>
      <xdr:rowOff>69274</xdr:rowOff>
    </xdr:from>
    <xdr:to>
      <xdr:col>8</xdr:col>
      <xdr:colOff>493568</xdr:colOff>
      <xdr:row>197</xdr:row>
      <xdr:rowOff>86592</xdr:rowOff>
    </xdr:to>
    <xdr:pic>
      <xdr:nvPicPr>
        <xdr:cNvPr id="28" name="Imagem 27">
          <a:extLst>
            <a:ext uri="{FF2B5EF4-FFF2-40B4-BE49-F238E27FC236}">
              <a16:creationId xmlns:a16="http://schemas.microsoft.com/office/drawing/2014/main" id="{37C8816F-8153-458D-B7DF-8993E5219B01}"/>
            </a:ext>
          </a:extLst>
        </xdr:cNvPr>
        <xdr:cNvPicPr>
          <a:picLocks noChangeAspect="1"/>
        </xdr:cNvPicPr>
      </xdr:nvPicPr>
      <xdr:blipFill>
        <a:blip xmlns:r="http://schemas.openxmlformats.org/officeDocument/2006/relationships" r:embed="rId27"/>
        <a:stretch>
          <a:fillRect/>
        </a:stretch>
      </xdr:blipFill>
      <xdr:spPr>
        <a:xfrm>
          <a:off x="196943" y="34740274"/>
          <a:ext cx="4659075" cy="3636818"/>
        </a:xfrm>
        <a:prstGeom prst="rect">
          <a:avLst/>
        </a:prstGeom>
      </xdr:spPr>
    </xdr:pic>
    <xdr:clientData/>
  </xdr:twoCellAnchor>
  <xdr:twoCellAnchor editAs="oneCell">
    <xdr:from>
      <xdr:col>9</xdr:col>
      <xdr:colOff>17318</xdr:colOff>
      <xdr:row>200</xdr:row>
      <xdr:rowOff>69273</xdr:rowOff>
    </xdr:from>
    <xdr:to>
      <xdr:col>17</xdr:col>
      <xdr:colOff>216478</xdr:colOff>
      <xdr:row>216</xdr:row>
      <xdr:rowOff>87162</xdr:rowOff>
    </xdr:to>
    <xdr:pic>
      <xdr:nvPicPr>
        <xdr:cNvPr id="29" name="Imagem 28">
          <a:extLst>
            <a:ext uri="{FF2B5EF4-FFF2-40B4-BE49-F238E27FC236}">
              <a16:creationId xmlns:a16="http://schemas.microsoft.com/office/drawing/2014/main" id="{CF90D26F-BA37-4556-B5B7-9A87DB2A5C01}"/>
            </a:ext>
          </a:extLst>
        </xdr:cNvPr>
        <xdr:cNvPicPr>
          <a:picLocks noChangeAspect="1"/>
        </xdr:cNvPicPr>
      </xdr:nvPicPr>
      <xdr:blipFill>
        <a:blip xmlns:r="http://schemas.openxmlformats.org/officeDocument/2006/relationships" r:embed="rId28"/>
        <a:stretch>
          <a:fillRect/>
        </a:stretch>
      </xdr:blipFill>
      <xdr:spPr>
        <a:xfrm>
          <a:off x="4989368" y="38988423"/>
          <a:ext cx="5075960" cy="3065889"/>
        </a:xfrm>
        <a:prstGeom prst="rect">
          <a:avLst/>
        </a:prstGeom>
      </xdr:spPr>
    </xdr:pic>
    <xdr:clientData/>
  </xdr:twoCellAnchor>
  <xdr:twoCellAnchor editAs="oneCell">
    <xdr:from>
      <xdr:col>17</xdr:col>
      <xdr:colOff>294408</xdr:colOff>
      <xdr:row>200</xdr:row>
      <xdr:rowOff>75260</xdr:rowOff>
    </xdr:from>
    <xdr:to>
      <xdr:col>25</xdr:col>
      <xdr:colOff>463799</xdr:colOff>
      <xdr:row>215</xdr:row>
      <xdr:rowOff>112568</xdr:rowOff>
    </xdr:to>
    <xdr:pic>
      <xdr:nvPicPr>
        <xdr:cNvPr id="30" name="Imagem 29">
          <a:extLst>
            <a:ext uri="{FF2B5EF4-FFF2-40B4-BE49-F238E27FC236}">
              <a16:creationId xmlns:a16="http://schemas.microsoft.com/office/drawing/2014/main" id="{B2BB5EEF-B0F8-417B-88F0-4D946EE53221}"/>
            </a:ext>
          </a:extLst>
        </xdr:cNvPr>
        <xdr:cNvPicPr>
          <a:picLocks noChangeAspect="1"/>
        </xdr:cNvPicPr>
      </xdr:nvPicPr>
      <xdr:blipFill>
        <a:blip xmlns:r="http://schemas.openxmlformats.org/officeDocument/2006/relationships" r:embed="rId29"/>
        <a:stretch>
          <a:fillRect/>
        </a:stretch>
      </xdr:blipFill>
      <xdr:spPr>
        <a:xfrm>
          <a:off x="10143258" y="38994410"/>
          <a:ext cx="5046191" cy="2894808"/>
        </a:xfrm>
        <a:prstGeom prst="rect">
          <a:avLst/>
        </a:prstGeom>
      </xdr:spPr>
    </xdr:pic>
    <xdr:clientData/>
  </xdr:twoCellAnchor>
  <xdr:twoCellAnchor editAs="oneCell">
    <xdr:from>
      <xdr:col>1</xdr:col>
      <xdr:colOff>95250</xdr:colOff>
      <xdr:row>200</xdr:row>
      <xdr:rowOff>69274</xdr:rowOff>
    </xdr:from>
    <xdr:to>
      <xdr:col>8</xdr:col>
      <xdr:colOff>562840</xdr:colOff>
      <xdr:row>216</xdr:row>
      <xdr:rowOff>33498</xdr:rowOff>
    </xdr:to>
    <xdr:pic>
      <xdr:nvPicPr>
        <xdr:cNvPr id="31" name="Imagem 30">
          <a:extLst>
            <a:ext uri="{FF2B5EF4-FFF2-40B4-BE49-F238E27FC236}">
              <a16:creationId xmlns:a16="http://schemas.microsoft.com/office/drawing/2014/main" id="{44878779-A954-4AE9-BE92-CAB2C6E86988}"/>
            </a:ext>
          </a:extLst>
        </xdr:cNvPr>
        <xdr:cNvPicPr>
          <a:picLocks noChangeAspect="1"/>
        </xdr:cNvPicPr>
      </xdr:nvPicPr>
      <xdr:blipFill>
        <a:blip xmlns:r="http://schemas.openxmlformats.org/officeDocument/2006/relationships" r:embed="rId30"/>
        <a:stretch>
          <a:fillRect/>
        </a:stretch>
      </xdr:blipFill>
      <xdr:spPr>
        <a:xfrm>
          <a:off x="190500" y="38988424"/>
          <a:ext cx="4734790" cy="3012224"/>
        </a:xfrm>
        <a:prstGeom prst="rect">
          <a:avLst/>
        </a:prstGeom>
      </xdr:spPr>
    </xdr:pic>
    <xdr:clientData/>
  </xdr:twoCellAnchor>
  <xdr:twoCellAnchor editAs="oneCell">
    <xdr:from>
      <xdr:col>9</xdr:col>
      <xdr:colOff>34638</xdr:colOff>
      <xdr:row>219</xdr:row>
      <xdr:rowOff>77931</xdr:rowOff>
    </xdr:from>
    <xdr:to>
      <xdr:col>17</xdr:col>
      <xdr:colOff>207819</xdr:colOff>
      <xdr:row>231</xdr:row>
      <xdr:rowOff>58674</xdr:rowOff>
    </xdr:to>
    <xdr:pic>
      <xdr:nvPicPr>
        <xdr:cNvPr id="32" name="Imagem 31">
          <a:extLst>
            <a:ext uri="{FF2B5EF4-FFF2-40B4-BE49-F238E27FC236}">
              <a16:creationId xmlns:a16="http://schemas.microsoft.com/office/drawing/2014/main" id="{182553F5-1561-462D-B87D-5013F8765C74}"/>
            </a:ext>
          </a:extLst>
        </xdr:cNvPr>
        <xdr:cNvPicPr>
          <a:picLocks noChangeAspect="1"/>
        </xdr:cNvPicPr>
      </xdr:nvPicPr>
      <xdr:blipFill>
        <a:blip xmlns:r="http://schemas.openxmlformats.org/officeDocument/2006/relationships" r:embed="rId31"/>
        <a:stretch>
          <a:fillRect/>
        </a:stretch>
      </xdr:blipFill>
      <xdr:spPr>
        <a:xfrm>
          <a:off x="5006688" y="42673731"/>
          <a:ext cx="5049981" cy="2266743"/>
        </a:xfrm>
        <a:prstGeom prst="rect">
          <a:avLst/>
        </a:prstGeom>
      </xdr:spPr>
    </xdr:pic>
    <xdr:clientData/>
  </xdr:twoCellAnchor>
  <xdr:twoCellAnchor editAs="oneCell">
    <xdr:from>
      <xdr:col>17</xdr:col>
      <xdr:colOff>311727</xdr:colOff>
      <xdr:row>219</xdr:row>
      <xdr:rowOff>81613</xdr:rowOff>
    </xdr:from>
    <xdr:to>
      <xdr:col>25</xdr:col>
      <xdr:colOff>562841</xdr:colOff>
      <xdr:row>233</xdr:row>
      <xdr:rowOff>26611</xdr:rowOff>
    </xdr:to>
    <xdr:pic>
      <xdr:nvPicPr>
        <xdr:cNvPr id="33" name="Imagem 32">
          <a:extLst>
            <a:ext uri="{FF2B5EF4-FFF2-40B4-BE49-F238E27FC236}">
              <a16:creationId xmlns:a16="http://schemas.microsoft.com/office/drawing/2014/main" id="{41E434AA-9A85-414D-B4C5-030FC0838882}"/>
            </a:ext>
          </a:extLst>
        </xdr:cNvPr>
        <xdr:cNvPicPr>
          <a:picLocks noChangeAspect="1"/>
        </xdr:cNvPicPr>
      </xdr:nvPicPr>
      <xdr:blipFill>
        <a:blip xmlns:r="http://schemas.openxmlformats.org/officeDocument/2006/relationships" r:embed="rId32"/>
        <a:stretch>
          <a:fillRect/>
        </a:stretch>
      </xdr:blipFill>
      <xdr:spPr>
        <a:xfrm>
          <a:off x="10160577" y="42677413"/>
          <a:ext cx="5127914" cy="2611998"/>
        </a:xfrm>
        <a:prstGeom prst="rect">
          <a:avLst/>
        </a:prstGeom>
      </xdr:spPr>
    </xdr:pic>
    <xdr:clientData/>
  </xdr:twoCellAnchor>
  <xdr:twoCellAnchor editAs="oneCell">
    <xdr:from>
      <xdr:col>1</xdr:col>
      <xdr:colOff>112568</xdr:colOff>
      <xdr:row>219</xdr:row>
      <xdr:rowOff>77931</xdr:rowOff>
    </xdr:from>
    <xdr:to>
      <xdr:col>8</xdr:col>
      <xdr:colOff>571500</xdr:colOff>
      <xdr:row>228</xdr:row>
      <xdr:rowOff>177590</xdr:rowOff>
    </xdr:to>
    <xdr:pic>
      <xdr:nvPicPr>
        <xdr:cNvPr id="34" name="Imagem 33">
          <a:extLst>
            <a:ext uri="{FF2B5EF4-FFF2-40B4-BE49-F238E27FC236}">
              <a16:creationId xmlns:a16="http://schemas.microsoft.com/office/drawing/2014/main" id="{A94EAC3F-631C-402C-92C7-821F2291CC7C}"/>
            </a:ext>
          </a:extLst>
        </xdr:cNvPr>
        <xdr:cNvPicPr>
          <a:picLocks noChangeAspect="1"/>
        </xdr:cNvPicPr>
      </xdr:nvPicPr>
      <xdr:blipFill>
        <a:blip xmlns:r="http://schemas.openxmlformats.org/officeDocument/2006/relationships" r:embed="rId33"/>
        <a:stretch>
          <a:fillRect/>
        </a:stretch>
      </xdr:blipFill>
      <xdr:spPr>
        <a:xfrm>
          <a:off x="207818" y="42673731"/>
          <a:ext cx="4726132" cy="1814159"/>
        </a:xfrm>
        <a:prstGeom prst="rect">
          <a:avLst/>
        </a:prstGeom>
      </xdr:spPr>
    </xdr:pic>
    <xdr:clientData/>
  </xdr:twoCellAnchor>
  <xdr:twoCellAnchor editAs="oneCell">
    <xdr:from>
      <xdr:col>9</xdr:col>
      <xdr:colOff>25979</xdr:colOff>
      <xdr:row>235</xdr:row>
      <xdr:rowOff>77931</xdr:rowOff>
    </xdr:from>
    <xdr:to>
      <xdr:col>17</xdr:col>
      <xdr:colOff>233796</xdr:colOff>
      <xdr:row>247</xdr:row>
      <xdr:rowOff>157556</xdr:rowOff>
    </xdr:to>
    <xdr:pic>
      <xdr:nvPicPr>
        <xdr:cNvPr id="35" name="Imagem 34">
          <a:extLst>
            <a:ext uri="{FF2B5EF4-FFF2-40B4-BE49-F238E27FC236}">
              <a16:creationId xmlns:a16="http://schemas.microsoft.com/office/drawing/2014/main" id="{D6F1A3AD-3A66-404D-B75E-33E5CE9EF3E2}"/>
            </a:ext>
          </a:extLst>
        </xdr:cNvPr>
        <xdr:cNvPicPr>
          <a:picLocks noChangeAspect="1"/>
        </xdr:cNvPicPr>
      </xdr:nvPicPr>
      <xdr:blipFill>
        <a:blip xmlns:r="http://schemas.openxmlformats.org/officeDocument/2006/relationships" r:embed="rId34"/>
        <a:stretch>
          <a:fillRect/>
        </a:stretch>
      </xdr:blipFill>
      <xdr:spPr>
        <a:xfrm>
          <a:off x="4998029" y="45778881"/>
          <a:ext cx="5084617" cy="2365625"/>
        </a:xfrm>
        <a:prstGeom prst="rect">
          <a:avLst/>
        </a:prstGeom>
      </xdr:spPr>
    </xdr:pic>
    <xdr:clientData/>
  </xdr:twoCellAnchor>
  <xdr:twoCellAnchor editAs="oneCell">
    <xdr:from>
      <xdr:col>17</xdr:col>
      <xdr:colOff>318680</xdr:colOff>
      <xdr:row>235</xdr:row>
      <xdr:rowOff>77932</xdr:rowOff>
    </xdr:from>
    <xdr:to>
      <xdr:col>25</xdr:col>
      <xdr:colOff>529294</xdr:colOff>
      <xdr:row>249</xdr:row>
      <xdr:rowOff>8659</xdr:rowOff>
    </xdr:to>
    <xdr:pic>
      <xdr:nvPicPr>
        <xdr:cNvPr id="36" name="Imagem 35">
          <a:extLst>
            <a:ext uri="{FF2B5EF4-FFF2-40B4-BE49-F238E27FC236}">
              <a16:creationId xmlns:a16="http://schemas.microsoft.com/office/drawing/2014/main" id="{2DA7CEF8-547A-49B2-BB0D-95AD532A24EF}"/>
            </a:ext>
          </a:extLst>
        </xdr:cNvPr>
        <xdr:cNvPicPr>
          <a:picLocks noChangeAspect="1"/>
        </xdr:cNvPicPr>
      </xdr:nvPicPr>
      <xdr:blipFill>
        <a:blip xmlns:r="http://schemas.openxmlformats.org/officeDocument/2006/relationships" r:embed="rId35"/>
        <a:stretch>
          <a:fillRect/>
        </a:stretch>
      </xdr:blipFill>
      <xdr:spPr>
        <a:xfrm>
          <a:off x="10167530" y="45778882"/>
          <a:ext cx="5087414" cy="2597727"/>
        </a:xfrm>
        <a:prstGeom prst="rect">
          <a:avLst/>
        </a:prstGeom>
      </xdr:spPr>
    </xdr:pic>
    <xdr:clientData/>
  </xdr:twoCellAnchor>
  <xdr:twoCellAnchor editAs="oneCell">
    <xdr:from>
      <xdr:col>1</xdr:col>
      <xdr:colOff>69273</xdr:colOff>
      <xdr:row>235</xdr:row>
      <xdr:rowOff>69273</xdr:rowOff>
    </xdr:from>
    <xdr:to>
      <xdr:col>8</xdr:col>
      <xdr:colOff>571500</xdr:colOff>
      <xdr:row>249</xdr:row>
      <xdr:rowOff>136099</xdr:rowOff>
    </xdr:to>
    <xdr:pic>
      <xdr:nvPicPr>
        <xdr:cNvPr id="37" name="Imagem 36">
          <a:extLst>
            <a:ext uri="{FF2B5EF4-FFF2-40B4-BE49-F238E27FC236}">
              <a16:creationId xmlns:a16="http://schemas.microsoft.com/office/drawing/2014/main" id="{E0650C53-9470-4ED6-B319-71F21D4EC5D2}"/>
            </a:ext>
          </a:extLst>
        </xdr:cNvPr>
        <xdr:cNvPicPr>
          <a:picLocks noChangeAspect="1"/>
        </xdr:cNvPicPr>
      </xdr:nvPicPr>
      <xdr:blipFill>
        <a:blip xmlns:r="http://schemas.openxmlformats.org/officeDocument/2006/relationships" r:embed="rId36"/>
        <a:stretch>
          <a:fillRect/>
        </a:stretch>
      </xdr:blipFill>
      <xdr:spPr>
        <a:xfrm>
          <a:off x="164523" y="45770223"/>
          <a:ext cx="4769427" cy="2733826"/>
        </a:xfrm>
        <a:prstGeom prst="rect">
          <a:avLst/>
        </a:prstGeom>
      </xdr:spPr>
    </xdr:pic>
    <xdr:clientData/>
  </xdr:twoCellAnchor>
  <xdr:twoCellAnchor editAs="oneCell">
    <xdr:from>
      <xdr:col>1</xdr:col>
      <xdr:colOff>77931</xdr:colOff>
      <xdr:row>252</xdr:row>
      <xdr:rowOff>51956</xdr:rowOff>
    </xdr:from>
    <xdr:to>
      <xdr:col>8</xdr:col>
      <xdr:colOff>588818</xdr:colOff>
      <xdr:row>265</xdr:row>
      <xdr:rowOff>78992</xdr:rowOff>
    </xdr:to>
    <xdr:pic>
      <xdr:nvPicPr>
        <xdr:cNvPr id="38" name="Imagem 37">
          <a:extLst>
            <a:ext uri="{FF2B5EF4-FFF2-40B4-BE49-F238E27FC236}">
              <a16:creationId xmlns:a16="http://schemas.microsoft.com/office/drawing/2014/main" id="{A4C99E9E-9C0F-44F8-9B77-2CABC32192D5}"/>
            </a:ext>
          </a:extLst>
        </xdr:cNvPr>
        <xdr:cNvPicPr>
          <a:picLocks noChangeAspect="1"/>
        </xdr:cNvPicPr>
      </xdr:nvPicPr>
      <xdr:blipFill>
        <a:blip xmlns:r="http://schemas.openxmlformats.org/officeDocument/2006/relationships" r:embed="rId37"/>
        <a:stretch>
          <a:fillRect/>
        </a:stretch>
      </xdr:blipFill>
      <xdr:spPr>
        <a:xfrm>
          <a:off x="173181" y="49048556"/>
          <a:ext cx="4778087" cy="2503536"/>
        </a:xfrm>
        <a:prstGeom prst="rect">
          <a:avLst/>
        </a:prstGeom>
      </xdr:spPr>
    </xdr:pic>
    <xdr:clientData/>
  </xdr:twoCellAnchor>
  <xdr:twoCellAnchor editAs="oneCell">
    <xdr:from>
      <xdr:col>9</xdr:col>
      <xdr:colOff>25978</xdr:colOff>
      <xdr:row>252</xdr:row>
      <xdr:rowOff>60613</xdr:rowOff>
    </xdr:from>
    <xdr:to>
      <xdr:col>17</xdr:col>
      <xdr:colOff>285750</xdr:colOff>
      <xdr:row>264</xdr:row>
      <xdr:rowOff>59668</xdr:rowOff>
    </xdr:to>
    <xdr:pic>
      <xdr:nvPicPr>
        <xdr:cNvPr id="39" name="Imagem 38">
          <a:extLst>
            <a:ext uri="{FF2B5EF4-FFF2-40B4-BE49-F238E27FC236}">
              <a16:creationId xmlns:a16="http://schemas.microsoft.com/office/drawing/2014/main" id="{136E5CF7-45F8-4C91-989D-FA4BB6130A8A}"/>
            </a:ext>
          </a:extLst>
        </xdr:cNvPr>
        <xdr:cNvPicPr>
          <a:picLocks noChangeAspect="1"/>
        </xdr:cNvPicPr>
      </xdr:nvPicPr>
      <xdr:blipFill>
        <a:blip xmlns:r="http://schemas.openxmlformats.org/officeDocument/2006/relationships" r:embed="rId38"/>
        <a:stretch>
          <a:fillRect/>
        </a:stretch>
      </xdr:blipFill>
      <xdr:spPr>
        <a:xfrm>
          <a:off x="4998028" y="49057213"/>
          <a:ext cx="5136572" cy="2285055"/>
        </a:xfrm>
        <a:prstGeom prst="rect">
          <a:avLst/>
        </a:prstGeom>
      </xdr:spPr>
    </xdr:pic>
    <xdr:clientData/>
  </xdr:twoCellAnchor>
  <xdr:twoCellAnchor editAs="oneCell">
    <xdr:from>
      <xdr:col>17</xdr:col>
      <xdr:colOff>337704</xdr:colOff>
      <xdr:row>252</xdr:row>
      <xdr:rowOff>69273</xdr:rowOff>
    </xdr:from>
    <xdr:to>
      <xdr:col>25</xdr:col>
      <xdr:colOff>532762</xdr:colOff>
      <xdr:row>262</xdr:row>
      <xdr:rowOff>98680</xdr:rowOff>
    </xdr:to>
    <xdr:pic>
      <xdr:nvPicPr>
        <xdr:cNvPr id="40" name="Imagem 39">
          <a:extLst>
            <a:ext uri="{FF2B5EF4-FFF2-40B4-BE49-F238E27FC236}">
              <a16:creationId xmlns:a16="http://schemas.microsoft.com/office/drawing/2014/main" id="{75F5F0DB-E440-4554-8031-B6154F2C567B}"/>
            </a:ext>
          </a:extLst>
        </xdr:cNvPr>
        <xdr:cNvPicPr>
          <a:picLocks noChangeAspect="1"/>
        </xdr:cNvPicPr>
      </xdr:nvPicPr>
      <xdr:blipFill>
        <a:blip xmlns:r="http://schemas.openxmlformats.org/officeDocument/2006/relationships" r:embed="rId39"/>
        <a:stretch>
          <a:fillRect/>
        </a:stretch>
      </xdr:blipFill>
      <xdr:spPr>
        <a:xfrm>
          <a:off x="10186554" y="49065873"/>
          <a:ext cx="5071858" cy="1934407"/>
        </a:xfrm>
        <a:prstGeom prst="rect">
          <a:avLst/>
        </a:prstGeom>
      </xdr:spPr>
    </xdr:pic>
    <xdr:clientData/>
  </xdr:twoCellAnchor>
  <xdr:twoCellAnchor editAs="oneCell">
    <xdr:from>
      <xdr:col>17</xdr:col>
      <xdr:colOff>396219</xdr:colOff>
      <xdr:row>268</xdr:row>
      <xdr:rowOff>77933</xdr:rowOff>
    </xdr:from>
    <xdr:to>
      <xdr:col>25</xdr:col>
      <xdr:colOff>531029</xdr:colOff>
      <xdr:row>283</xdr:row>
      <xdr:rowOff>173182</xdr:rowOff>
    </xdr:to>
    <xdr:pic>
      <xdr:nvPicPr>
        <xdr:cNvPr id="41" name="Imagem 40">
          <a:extLst>
            <a:ext uri="{FF2B5EF4-FFF2-40B4-BE49-F238E27FC236}">
              <a16:creationId xmlns:a16="http://schemas.microsoft.com/office/drawing/2014/main" id="{D472E7CD-B6B0-45B5-88A9-1A189F4FEE52}"/>
            </a:ext>
          </a:extLst>
        </xdr:cNvPr>
        <xdr:cNvPicPr>
          <a:picLocks noChangeAspect="1"/>
        </xdr:cNvPicPr>
      </xdr:nvPicPr>
      <xdr:blipFill>
        <a:blip xmlns:r="http://schemas.openxmlformats.org/officeDocument/2006/relationships" r:embed="rId40"/>
        <a:stretch>
          <a:fillRect/>
        </a:stretch>
      </xdr:blipFill>
      <xdr:spPr>
        <a:xfrm>
          <a:off x="10245069" y="52179683"/>
          <a:ext cx="5011610" cy="2952749"/>
        </a:xfrm>
        <a:prstGeom prst="rect">
          <a:avLst/>
        </a:prstGeom>
      </xdr:spPr>
    </xdr:pic>
    <xdr:clientData/>
  </xdr:twoCellAnchor>
  <xdr:twoCellAnchor editAs="oneCell">
    <xdr:from>
      <xdr:col>1</xdr:col>
      <xdr:colOff>51955</xdr:colOff>
      <xdr:row>268</xdr:row>
      <xdr:rowOff>69272</xdr:rowOff>
    </xdr:from>
    <xdr:to>
      <xdr:col>9</xdr:col>
      <xdr:colOff>8660</xdr:colOff>
      <xdr:row>282</xdr:row>
      <xdr:rowOff>173497</xdr:rowOff>
    </xdr:to>
    <xdr:pic>
      <xdr:nvPicPr>
        <xdr:cNvPr id="42" name="Imagem 41">
          <a:extLst>
            <a:ext uri="{FF2B5EF4-FFF2-40B4-BE49-F238E27FC236}">
              <a16:creationId xmlns:a16="http://schemas.microsoft.com/office/drawing/2014/main" id="{3F668911-9218-4BC3-AEA4-88E28896F530}"/>
            </a:ext>
          </a:extLst>
        </xdr:cNvPr>
        <xdr:cNvPicPr>
          <a:picLocks noChangeAspect="1"/>
        </xdr:cNvPicPr>
      </xdr:nvPicPr>
      <xdr:blipFill>
        <a:blip xmlns:r="http://schemas.openxmlformats.org/officeDocument/2006/relationships" r:embed="rId41"/>
        <a:stretch>
          <a:fillRect/>
        </a:stretch>
      </xdr:blipFill>
      <xdr:spPr>
        <a:xfrm>
          <a:off x="147205" y="52171022"/>
          <a:ext cx="4833505" cy="2771225"/>
        </a:xfrm>
        <a:prstGeom prst="rect">
          <a:avLst/>
        </a:prstGeom>
      </xdr:spPr>
    </xdr:pic>
    <xdr:clientData/>
  </xdr:twoCellAnchor>
  <xdr:twoCellAnchor editAs="oneCell">
    <xdr:from>
      <xdr:col>9</xdr:col>
      <xdr:colOff>77932</xdr:colOff>
      <xdr:row>268</xdr:row>
      <xdr:rowOff>77932</xdr:rowOff>
    </xdr:from>
    <xdr:to>
      <xdr:col>17</xdr:col>
      <xdr:colOff>303068</xdr:colOff>
      <xdr:row>287</xdr:row>
      <xdr:rowOff>15940</xdr:rowOff>
    </xdr:to>
    <xdr:pic>
      <xdr:nvPicPr>
        <xdr:cNvPr id="43" name="Imagem 42">
          <a:extLst>
            <a:ext uri="{FF2B5EF4-FFF2-40B4-BE49-F238E27FC236}">
              <a16:creationId xmlns:a16="http://schemas.microsoft.com/office/drawing/2014/main" id="{CE6F089B-46B6-4338-AE42-CF4A4A0BBD06}"/>
            </a:ext>
          </a:extLst>
        </xdr:cNvPr>
        <xdr:cNvPicPr>
          <a:picLocks noChangeAspect="1"/>
        </xdr:cNvPicPr>
      </xdr:nvPicPr>
      <xdr:blipFill>
        <a:blip xmlns:r="http://schemas.openxmlformats.org/officeDocument/2006/relationships" r:embed="rId42"/>
        <a:stretch>
          <a:fillRect/>
        </a:stretch>
      </xdr:blipFill>
      <xdr:spPr>
        <a:xfrm>
          <a:off x="5049982" y="52179682"/>
          <a:ext cx="5101936" cy="3557508"/>
        </a:xfrm>
        <a:prstGeom prst="rect">
          <a:avLst/>
        </a:prstGeom>
      </xdr:spPr>
    </xdr:pic>
    <xdr:clientData/>
  </xdr:twoCellAnchor>
  <xdr:twoCellAnchor editAs="oneCell">
    <xdr:from>
      <xdr:col>1</xdr:col>
      <xdr:colOff>60613</xdr:colOff>
      <xdr:row>292</xdr:row>
      <xdr:rowOff>60614</xdr:rowOff>
    </xdr:from>
    <xdr:to>
      <xdr:col>8</xdr:col>
      <xdr:colOff>549796</xdr:colOff>
      <xdr:row>313</xdr:row>
      <xdr:rowOff>138546</xdr:rowOff>
    </xdr:to>
    <xdr:pic>
      <xdr:nvPicPr>
        <xdr:cNvPr id="44" name="Imagem 43">
          <a:extLst>
            <a:ext uri="{FF2B5EF4-FFF2-40B4-BE49-F238E27FC236}">
              <a16:creationId xmlns:a16="http://schemas.microsoft.com/office/drawing/2014/main" id="{F5AF0D06-4BE9-4F51-BA03-CF2B19191BF2}"/>
            </a:ext>
          </a:extLst>
        </xdr:cNvPr>
        <xdr:cNvPicPr>
          <a:picLocks noChangeAspect="1"/>
        </xdr:cNvPicPr>
      </xdr:nvPicPr>
      <xdr:blipFill>
        <a:blip xmlns:r="http://schemas.openxmlformats.org/officeDocument/2006/relationships" r:embed="rId43"/>
        <a:stretch>
          <a:fillRect/>
        </a:stretch>
      </xdr:blipFill>
      <xdr:spPr>
        <a:xfrm>
          <a:off x="155863" y="56915339"/>
          <a:ext cx="4756383" cy="4078432"/>
        </a:xfrm>
        <a:prstGeom prst="rect">
          <a:avLst/>
        </a:prstGeom>
      </xdr:spPr>
    </xdr:pic>
    <xdr:clientData/>
  </xdr:twoCellAnchor>
  <xdr:twoCellAnchor editAs="oneCell">
    <xdr:from>
      <xdr:col>17</xdr:col>
      <xdr:colOff>346362</xdr:colOff>
      <xdr:row>292</xdr:row>
      <xdr:rowOff>95251</xdr:rowOff>
    </xdr:from>
    <xdr:to>
      <xdr:col>25</xdr:col>
      <xdr:colOff>546612</xdr:colOff>
      <xdr:row>306</xdr:row>
      <xdr:rowOff>20657</xdr:rowOff>
    </xdr:to>
    <xdr:pic>
      <xdr:nvPicPr>
        <xdr:cNvPr id="45" name="Imagem 44">
          <a:extLst>
            <a:ext uri="{FF2B5EF4-FFF2-40B4-BE49-F238E27FC236}">
              <a16:creationId xmlns:a16="http://schemas.microsoft.com/office/drawing/2014/main" id="{202AC23D-F666-4D8C-A663-E7C01226C1FF}"/>
            </a:ext>
          </a:extLst>
        </xdr:cNvPr>
        <xdr:cNvPicPr>
          <a:picLocks noChangeAspect="1"/>
        </xdr:cNvPicPr>
      </xdr:nvPicPr>
      <xdr:blipFill>
        <a:blip xmlns:r="http://schemas.openxmlformats.org/officeDocument/2006/relationships" r:embed="rId44"/>
        <a:stretch>
          <a:fillRect/>
        </a:stretch>
      </xdr:blipFill>
      <xdr:spPr>
        <a:xfrm>
          <a:off x="10195212" y="56949976"/>
          <a:ext cx="5077050" cy="2592406"/>
        </a:xfrm>
        <a:prstGeom prst="rect">
          <a:avLst/>
        </a:prstGeom>
      </xdr:spPr>
    </xdr:pic>
    <xdr:clientData/>
  </xdr:twoCellAnchor>
  <xdr:twoCellAnchor editAs="oneCell">
    <xdr:from>
      <xdr:col>8</xdr:col>
      <xdr:colOff>597477</xdr:colOff>
      <xdr:row>292</xdr:row>
      <xdr:rowOff>60613</xdr:rowOff>
    </xdr:from>
    <xdr:to>
      <xdr:col>17</xdr:col>
      <xdr:colOff>285750</xdr:colOff>
      <xdr:row>311</xdr:row>
      <xdr:rowOff>72926</xdr:rowOff>
    </xdr:to>
    <xdr:pic>
      <xdr:nvPicPr>
        <xdr:cNvPr id="46" name="Imagem 45">
          <a:extLst>
            <a:ext uri="{FF2B5EF4-FFF2-40B4-BE49-F238E27FC236}">
              <a16:creationId xmlns:a16="http://schemas.microsoft.com/office/drawing/2014/main" id="{100AC9FD-83F5-46D4-B577-98779B369B95}"/>
            </a:ext>
          </a:extLst>
        </xdr:cNvPr>
        <xdr:cNvPicPr>
          <a:picLocks noChangeAspect="1"/>
        </xdr:cNvPicPr>
      </xdr:nvPicPr>
      <xdr:blipFill>
        <a:blip xmlns:r="http://schemas.openxmlformats.org/officeDocument/2006/relationships" r:embed="rId45"/>
        <a:stretch>
          <a:fillRect/>
        </a:stretch>
      </xdr:blipFill>
      <xdr:spPr>
        <a:xfrm>
          <a:off x="4959927" y="56915338"/>
          <a:ext cx="5174673" cy="3631813"/>
        </a:xfrm>
        <a:prstGeom prst="rect">
          <a:avLst/>
        </a:prstGeom>
      </xdr:spPr>
    </xdr:pic>
    <xdr:clientData/>
  </xdr:twoCellAnchor>
  <xdr:twoCellAnchor editAs="oneCell">
    <xdr:from>
      <xdr:col>1</xdr:col>
      <xdr:colOff>60614</xdr:colOff>
      <xdr:row>316</xdr:row>
      <xdr:rowOff>69274</xdr:rowOff>
    </xdr:from>
    <xdr:to>
      <xdr:col>8</xdr:col>
      <xdr:colOff>588818</xdr:colOff>
      <xdr:row>336</xdr:row>
      <xdr:rowOff>3876</xdr:rowOff>
    </xdr:to>
    <xdr:pic>
      <xdr:nvPicPr>
        <xdr:cNvPr id="47" name="Imagem 46">
          <a:extLst>
            <a:ext uri="{FF2B5EF4-FFF2-40B4-BE49-F238E27FC236}">
              <a16:creationId xmlns:a16="http://schemas.microsoft.com/office/drawing/2014/main" id="{5F57C7A5-EB1C-4D34-AF69-257708B96BAF}"/>
            </a:ext>
          </a:extLst>
        </xdr:cNvPr>
        <xdr:cNvPicPr>
          <a:picLocks noChangeAspect="1"/>
        </xdr:cNvPicPr>
      </xdr:nvPicPr>
      <xdr:blipFill>
        <a:blip xmlns:r="http://schemas.openxmlformats.org/officeDocument/2006/relationships" r:embed="rId46"/>
        <a:stretch>
          <a:fillRect/>
        </a:stretch>
      </xdr:blipFill>
      <xdr:spPr>
        <a:xfrm>
          <a:off x="155864" y="61553149"/>
          <a:ext cx="4795404" cy="3744602"/>
        </a:xfrm>
        <a:prstGeom prst="rect">
          <a:avLst/>
        </a:prstGeom>
      </xdr:spPr>
    </xdr:pic>
    <xdr:clientData/>
  </xdr:twoCellAnchor>
  <xdr:twoCellAnchor editAs="oneCell">
    <xdr:from>
      <xdr:col>9</xdr:col>
      <xdr:colOff>43296</xdr:colOff>
      <xdr:row>316</xdr:row>
      <xdr:rowOff>77933</xdr:rowOff>
    </xdr:from>
    <xdr:to>
      <xdr:col>17</xdr:col>
      <xdr:colOff>320387</xdr:colOff>
      <xdr:row>326</xdr:row>
      <xdr:rowOff>168527</xdr:rowOff>
    </xdr:to>
    <xdr:pic>
      <xdr:nvPicPr>
        <xdr:cNvPr id="48" name="Imagem 47">
          <a:extLst>
            <a:ext uri="{FF2B5EF4-FFF2-40B4-BE49-F238E27FC236}">
              <a16:creationId xmlns:a16="http://schemas.microsoft.com/office/drawing/2014/main" id="{3C737D27-34A5-468C-AACE-AB712559B0E2}"/>
            </a:ext>
          </a:extLst>
        </xdr:cNvPr>
        <xdr:cNvPicPr>
          <a:picLocks noChangeAspect="1"/>
        </xdr:cNvPicPr>
      </xdr:nvPicPr>
      <xdr:blipFill>
        <a:blip xmlns:r="http://schemas.openxmlformats.org/officeDocument/2006/relationships" r:embed="rId47"/>
        <a:stretch>
          <a:fillRect/>
        </a:stretch>
      </xdr:blipFill>
      <xdr:spPr>
        <a:xfrm>
          <a:off x="5015346" y="61561808"/>
          <a:ext cx="5153891" cy="1995594"/>
        </a:xfrm>
        <a:prstGeom prst="rect">
          <a:avLst/>
        </a:prstGeom>
      </xdr:spPr>
    </xdr:pic>
    <xdr:clientData/>
  </xdr:twoCellAnchor>
  <xdr:twoCellAnchor editAs="oneCell">
    <xdr:from>
      <xdr:col>17</xdr:col>
      <xdr:colOff>372341</xdr:colOff>
      <xdr:row>316</xdr:row>
      <xdr:rowOff>69914</xdr:rowOff>
    </xdr:from>
    <xdr:to>
      <xdr:col>25</xdr:col>
      <xdr:colOff>476250</xdr:colOff>
      <xdr:row>329</xdr:row>
      <xdr:rowOff>132952</xdr:rowOff>
    </xdr:to>
    <xdr:pic>
      <xdr:nvPicPr>
        <xdr:cNvPr id="49" name="Imagem 48">
          <a:extLst>
            <a:ext uri="{FF2B5EF4-FFF2-40B4-BE49-F238E27FC236}">
              <a16:creationId xmlns:a16="http://schemas.microsoft.com/office/drawing/2014/main" id="{71B8E8E5-C3D9-4FD8-BEA0-8B8005B8E18A}"/>
            </a:ext>
          </a:extLst>
        </xdr:cNvPr>
        <xdr:cNvPicPr>
          <a:picLocks noChangeAspect="1"/>
        </xdr:cNvPicPr>
      </xdr:nvPicPr>
      <xdr:blipFill>
        <a:blip xmlns:r="http://schemas.openxmlformats.org/officeDocument/2006/relationships" r:embed="rId48"/>
        <a:stretch>
          <a:fillRect/>
        </a:stretch>
      </xdr:blipFill>
      <xdr:spPr>
        <a:xfrm>
          <a:off x="10221191" y="61553789"/>
          <a:ext cx="4980709" cy="2539538"/>
        </a:xfrm>
        <a:prstGeom prst="rect">
          <a:avLst/>
        </a:prstGeom>
      </xdr:spPr>
    </xdr:pic>
    <xdr:clientData/>
  </xdr:twoCellAnchor>
  <xdr:twoCellAnchor editAs="oneCell">
    <xdr:from>
      <xdr:col>17</xdr:col>
      <xdr:colOff>418519</xdr:colOff>
      <xdr:row>338</xdr:row>
      <xdr:rowOff>77932</xdr:rowOff>
    </xdr:from>
    <xdr:to>
      <xdr:col>25</xdr:col>
      <xdr:colOff>521502</xdr:colOff>
      <xdr:row>353</xdr:row>
      <xdr:rowOff>43295</xdr:rowOff>
    </xdr:to>
    <xdr:pic>
      <xdr:nvPicPr>
        <xdr:cNvPr id="50" name="Imagem 49">
          <a:extLst>
            <a:ext uri="{FF2B5EF4-FFF2-40B4-BE49-F238E27FC236}">
              <a16:creationId xmlns:a16="http://schemas.microsoft.com/office/drawing/2014/main" id="{331691B2-D8CC-4E55-8422-7DB3B37EC6D8}"/>
            </a:ext>
          </a:extLst>
        </xdr:cNvPr>
        <xdr:cNvPicPr>
          <a:picLocks noChangeAspect="1"/>
        </xdr:cNvPicPr>
      </xdr:nvPicPr>
      <xdr:blipFill>
        <a:blip xmlns:r="http://schemas.openxmlformats.org/officeDocument/2006/relationships" r:embed="rId49"/>
        <a:stretch>
          <a:fillRect/>
        </a:stretch>
      </xdr:blipFill>
      <xdr:spPr>
        <a:xfrm>
          <a:off x="10267369" y="65809957"/>
          <a:ext cx="4979783" cy="2822863"/>
        </a:xfrm>
        <a:prstGeom prst="rect">
          <a:avLst/>
        </a:prstGeom>
      </xdr:spPr>
    </xdr:pic>
    <xdr:clientData/>
  </xdr:twoCellAnchor>
  <xdr:twoCellAnchor editAs="oneCell">
    <xdr:from>
      <xdr:col>9</xdr:col>
      <xdr:colOff>43295</xdr:colOff>
      <xdr:row>338</xdr:row>
      <xdr:rowOff>86591</xdr:rowOff>
    </xdr:from>
    <xdr:to>
      <xdr:col>17</xdr:col>
      <xdr:colOff>320386</xdr:colOff>
      <xdr:row>359</xdr:row>
      <xdr:rowOff>44678</xdr:rowOff>
    </xdr:to>
    <xdr:pic>
      <xdr:nvPicPr>
        <xdr:cNvPr id="51" name="Imagem 50">
          <a:extLst>
            <a:ext uri="{FF2B5EF4-FFF2-40B4-BE49-F238E27FC236}">
              <a16:creationId xmlns:a16="http://schemas.microsoft.com/office/drawing/2014/main" id="{C60C5D3D-6A30-48AD-A390-7196B779F01C}"/>
            </a:ext>
          </a:extLst>
        </xdr:cNvPr>
        <xdr:cNvPicPr>
          <a:picLocks noChangeAspect="1"/>
        </xdr:cNvPicPr>
      </xdr:nvPicPr>
      <xdr:blipFill>
        <a:blip xmlns:r="http://schemas.openxmlformats.org/officeDocument/2006/relationships" r:embed="rId50"/>
        <a:stretch>
          <a:fillRect/>
        </a:stretch>
      </xdr:blipFill>
      <xdr:spPr>
        <a:xfrm>
          <a:off x="5015345" y="65818616"/>
          <a:ext cx="5153891" cy="3958587"/>
        </a:xfrm>
        <a:prstGeom prst="rect">
          <a:avLst/>
        </a:prstGeom>
      </xdr:spPr>
    </xdr:pic>
    <xdr:clientData/>
  </xdr:twoCellAnchor>
  <xdr:twoCellAnchor editAs="oneCell">
    <xdr:from>
      <xdr:col>1</xdr:col>
      <xdr:colOff>34636</xdr:colOff>
      <xdr:row>338</xdr:row>
      <xdr:rowOff>86591</xdr:rowOff>
    </xdr:from>
    <xdr:to>
      <xdr:col>9</xdr:col>
      <xdr:colOff>0</xdr:colOff>
      <xdr:row>348</xdr:row>
      <xdr:rowOff>54531</xdr:rowOff>
    </xdr:to>
    <xdr:pic>
      <xdr:nvPicPr>
        <xdr:cNvPr id="52" name="Imagem 51">
          <a:extLst>
            <a:ext uri="{FF2B5EF4-FFF2-40B4-BE49-F238E27FC236}">
              <a16:creationId xmlns:a16="http://schemas.microsoft.com/office/drawing/2014/main" id="{56BEEAA7-4611-459E-91A0-9DA6519478D5}"/>
            </a:ext>
          </a:extLst>
        </xdr:cNvPr>
        <xdr:cNvPicPr>
          <a:picLocks noChangeAspect="1"/>
        </xdr:cNvPicPr>
      </xdr:nvPicPr>
      <xdr:blipFill>
        <a:blip xmlns:r="http://schemas.openxmlformats.org/officeDocument/2006/relationships" r:embed="rId51"/>
        <a:stretch>
          <a:fillRect/>
        </a:stretch>
      </xdr:blipFill>
      <xdr:spPr>
        <a:xfrm>
          <a:off x="129886" y="65818616"/>
          <a:ext cx="4842164" cy="1872940"/>
        </a:xfrm>
        <a:prstGeom prst="rect">
          <a:avLst/>
        </a:prstGeom>
      </xdr:spPr>
    </xdr:pic>
    <xdr:clientData/>
  </xdr:twoCellAnchor>
  <xdr:twoCellAnchor editAs="oneCell">
    <xdr:from>
      <xdr:col>1</xdr:col>
      <xdr:colOff>60615</xdr:colOff>
      <xdr:row>361</xdr:row>
      <xdr:rowOff>69272</xdr:rowOff>
    </xdr:from>
    <xdr:to>
      <xdr:col>9</xdr:col>
      <xdr:colOff>8660</xdr:colOff>
      <xdr:row>375</xdr:row>
      <xdr:rowOff>174339</xdr:rowOff>
    </xdr:to>
    <xdr:pic>
      <xdr:nvPicPr>
        <xdr:cNvPr id="53" name="Imagem 52">
          <a:extLst>
            <a:ext uri="{FF2B5EF4-FFF2-40B4-BE49-F238E27FC236}">
              <a16:creationId xmlns:a16="http://schemas.microsoft.com/office/drawing/2014/main" id="{E4E951B6-469A-4231-81AE-E1259A29DADA}"/>
            </a:ext>
          </a:extLst>
        </xdr:cNvPr>
        <xdr:cNvPicPr>
          <a:picLocks noChangeAspect="1"/>
        </xdr:cNvPicPr>
      </xdr:nvPicPr>
      <xdr:blipFill>
        <a:blip xmlns:r="http://schemas.openxmlformats.org/officeDocument/2006/relationships" r:embed="rId52"/>
        <a:stretch>
          <a:fillRect/>
        </a:stretch>
      </xdr:blipFill>
      <xdr:spPr>
        <a:xfrm>
          <a:off x="155865" y="70239947"/>
          <a:ext cx="4824845" cy="2772067"/>
        </a:xfrm>
        <a:prstGeom prst="rect">
          <a:avLst/>
        </a:prstGeom>
      </xdr:spPr>
    </xdr:pic>
    <xdr:clientData/>
  </xdr:twoCellAnchor>
  <xdr:twoCellAnchor editAs="oneCell">
    <xdr:from>
      <xdr:col>9</xdr:col>
      <xdr:colOff>51954</xdr:colOff>
      <xdr:row>361</xdr:row>
      <xdr:rowOff>77932</xdr:rowOff>
    </xdr:from>
    <xdr:to>
      <xdr:col>17</xdr:col>
      <xdr:colOff>337704</xdr:colOff>
      <xdr:row>382</xdr:row>
      <xdr:rowOff>33070</xdr:rowOff>
    </xdr:to>
    <xdr:pic>
      <xdr:nvPicPr>
        <xdr:cNvPr id="54" name="Imagem 53">
          <a:extLst>
            <a:ext uri="{FF2B5EF4-FFF2-40B4-BE49-F238E27FC236}">
              <a16:creationId xmlns:a16="http://schemas.microsoft.com/office/drawing/2014/main" id="{F1ED21C2-61FB-47F8-B74F-9B62C652D92B}"/>
            </a:ext>
          </a:extLst>
        </xdr:cNvPr>
        <xdr:cNvPicPr>
          <a:picLocks noChangeAspect="1"/>
        </xdr:cNvPicPr>
      </xdr:nvPicPr>
      <xdr:blipFill>
        <a:blip xmlns:r="http://schemas.openxmlformats.org/officeDocument/2006/relationships" r:embed="rId53"/>
        <a:stretch>
          <a:fillRect/>
        </a:stretch>
      </xdr:blipFill>
      <xdr:spPr>
        <a:xfrm>
          <a:off x="5024004" y="70248607"/>
          <a:ext cx="5162550" cy="3955638"/>
        </a:xfrm>
        <a:prstGeom prst="rect">
          <a:avLst/>
        </a:prstGeom>
      </xdr:spPr>
    </xdr:pic>
    <xdr:clientData/>
  </xdr:twoCellAnchor>
  <xdr:twoCellAnchor editAs="oneCell">
    <xdr:from>
      <xdr:col>17</xdr:col>
      <xdr:colOff>402665</xdr:colOff>
      <xdr:row>361</xdr:row>
      <xdr:rowOff>69273</xdr:rowOff>
    </xdr:from>
    <xdr:to>
      <xdr:col>25</xdr:col>
      <xdr:colOff>534497</xdr:colOff>
      <xdr:row>379</xdr:row>
      <xdr:rowOff>155864</xdr:rowOff>
    </xdr:to>
    <xdr:pic>
      <xdr:nvPicPr>
        <xdr:cNvPr id="55" name="Imagem 54">
          <a:extLst>
            <a:ext uri="{FF2B5EF4-FFF2-40B4-BE49-F238E27FC236}">
              <a16:creationId xmlns:a16="http://schemas.microsoft.com/office/drawing/2014/main" id="{A6AABA6F-2D2B-4485-B4EE-729DE553F03F}"/>
            </a:ext>
          </a:extLst>
        </xdr:cNvPr>
        <xdr:cNvPicPr>
          <a:picLocks noChangeAspect="1"/>
        </xdr:cNvPicPr>
      </xdr:nvPicPr>
      <xdr:blipFill>
        <a:blip xmlns:r="http://schemas.openxmlformats.org/officeDocument/2006/relationships" r:embed="rId54"/>
        <a:stretch>
          <a:fillRect/>
        </a:stretch>
      </xdr:blipFill>
      <xdr:spPr>
        <a:xfrm>
          <a:off x="10251515" y="70239948"/>
          <a:ext cx="5008632" cy="3515591"/>
        </a:xfrm>
        <a:prstGeom prst="rect">
          <a:avLst/>
        </a:prstGeom>
      </xdr:spPr>
    </xdr:pic>
    <xdr:clientData/>
  </xdr:twoCellAnchor>
  <xdr:twoCellAnchor editAs="oneCell">
    <xdr:from>
      <xdr:col>1</xdr:col>
      <xdr:colOff>51954</xdr:colOff>
      <xdr:row>384</xdr:row>
      <xdr:rowOff>69274</xdr:rowOff>
    </xdr:from>
    <xdr:to>
      <xdr:col>8</xdr:col>
      <xdr:colOff>580158</xdr:colOff>
      <xdr:row>404</xdr:row>
      <xdr:rowOff>46092</xdr:rowOff>
    </xdr:to>
    <xdr:pic>
      <xdr:nvPicPr>
        <xdr:cNvPr id="56" name="Imagem 55">
          <a:extLst>
            <a:ext uri="{FF2B5EF4-FFF2-40B4-BE49-F238E27FC236}">
              <a16:creationId xmlns:a16="http://schemas.microsoft.com/office/drawing/2014/main" id="{3882D033-82E0-4B63-87B6-A2111C5AF747}"/>
            </a:ext>
          </a:extLst>
        </xdr:cNvPr>
        <xdr:cNvPicPr>
          <a:picLocks noChangeAspect="1"/>
        </xdr:cNvPicPr>
      </xdr:nvPicPr>
      <xdr:blipFill>
        <a:blip xmlns:r="http://schemas.openxmlformats.org/officeDocument/2006/relationships" r:embed="rId55"/>
        <a:stretch>
          <a:fillRect/>
        </a:stretch>
      </xdr:blipFill>
      <xdr:spPr>
        <a:xfrm>
          <a:off x="147204" y="74678599"/>
          <a:ext cx="4795404" cy="3786818"/>
        </a:xfrm>
        <a:prstGeom prst="rect">
          <a:avLst/>
        </a:prstGeom>
      </xdr:spPr>
    </xdr:pic>
    <xdr:clientData/>
  </xdr:twoCellAnchor>
  <xdr:twoCellAnchor editAs="oneCell">
    <xdr:from>
      <xdr:col>17</xdr:col>
      <xdr:colOff>381000</xdr:colOff>
      <xdr:row>384</xdr:row>
      <xdr:rowOff>60614</xdr:rowOff>
    </xdr:from>
    <xdr:to>
      <xdr:col>25</xdr:col>
      <xdr:colOff>557873</xdr:colOff>
      <xdr:row>399</xdr:row>
      <xdr:rowOff>103883</xdr:rowOff>
    </xdr:to>
    <xdr:pic>
      <xdr:nvPicPr>
        <xdr:cNvPr id="57" name="Imagem 56">
          <a:extLst>
            <a:ext uri="{FF2B5EF4-FFF2-40B4-BE49-F238E27FC236}">
              <a16:creationId xmlns:a16="http://schemas.microsoft.com/office/drawing/2014/main" id="{DCDEB5D7-E06F-43A8-A202-EEACC7D79800}"/>
            </a:ext>
          </a:extLst>
        </xdr:cNvPr>
        <xdr:cNvPicPr>
          <a:picLocks noChangeAspect="1"/>
        </xdr:cNvPicPr>
      </xdr:nvPicPr>
      <xdr:blipFill>
        <a:blip xmlns:r="http://schemas.openxmlformats.org/officeDocument/2006/relationships" r:embed="rId56"/>
        <a:stretch>
          <a:fillRect/>
        </a:stretch>
      </xdr:blipFill>
      <xdr:spPr>
        <a:xfrm>
          <a:off x="10229850" y="74669939"/>
          <a:ext cx="5053673" cy="2900769"/>
        </a:xfrm>
        <a:prstGeom prst="rect">
          <a:avLst/>
        </a:prstGeom>
      </xdr:spPr>
    </xdr:pic>
    <xdr:clientData/>
  </xdr:twoCellAnchor>
  <xdr:twoCellAnchor editAs="oneCell">
    <xdr:from>
      <xdr:col>9</xdr:col>
      <xdr:colOff>43295</xdr:colOff>
      <xdr:row>384</xdr:row>
      <xdr:rowOff>60613</xdr:rowOff>
    </xdr:from>
    <xdr:to>
      <xdr:col>17</xdr:col>
      <xdr:colOff>311727</xdr:colOff>
      <xdr:row>401</xdr:row>
      <xdr:rowOff>136378</xdr:rowOff>
    </xdr:to>
    <xdr:pic>
      <xdr:nvPicPr>
        <xdr:cNvPr id="58" name="Imagem 57">
          <a:extLst>
            <a:ext uri="{FF2B5EF4-FFF2-40B4-BE49-F238E27FC236}">
              <a16:creationId xmlns:a16="http://schemas.microsoft.com/office/drawing/2014/main" id="{E2F215F3-AB29-4277-86FF-17C2C4F427A2}"/>
            </a:ext>
          </a:extLst>
        </xdr:cNvPr>
        <xdr:cNvPicPr>
          <a:picLocks noChangeAspect="1"/>
        </xdr:cNvPicPr>
      </xdr:nvPicPr>
      <xdr:blipFill>
        <a:blip xmlns:r="http://schemas.openxmlformats.org/officeDocument/2006/relationships" r:embed="rId57"/>
        <a:stretch>
          <a:fillRect/>
        </a:stretch>
      </xdr:blipFill>
      <xdr:spPr>
        <a:xfrm>
          <a:off x="5015345" y="74669938"/>
          <a:ext cx="5145232" cy="3314265"/>
        </a:xfrm>
        <a:prstGeom prst="rect">
          <a:avLst/>
        </a:prstGeom>
      </xdr:spPr>
    </xdr:pic>
    <xdr:clientData/>
  </xdr:twoCellAnchor>
  <xdr:twoCellAnchor editAs="oneCell">
    <xdr:from>
      <xdr:col>1</xdr:col>
      <xdr:colOff>25977</xdr:colOff>
      <xdr:row>406</xdr:row>
      <xdr:rowOff>69274</xdr:rowOff>
    </xdr:from>
    <xdr:to>
      <xdr:col>8</xdr:col>
      <xdr:colOff>588818</xdr:colOff>
      <xdr:row>418</xdr:row>
      <xdr:rowOff>31052</xdr:rowOff>
    </xdr:to>
    <xdr:pic>
      <xdr:nvPicPr>
        <xdr:cNvPr id="59" name="Imagem 58">
          <a:extLst>
            <a:ext uri="{FF2B5EF4-FFF2-40B4-BE49-F238E27FC236}">
              <a16:creationId xmlns:a16="http://schemas.microsoft.com/office/drawing/2014/main" id="{6A281926-822F-4DDC-819C-9B1DE01C51D8}"/>
            </a:ext>
          </a:extLst>
        </xdr:cNvPr>
        <xdr:cNvPicPr>
          <a:picLocks noChangeAspect="1"/>
        </xdr:cNvPicPr>
      </xdr:nvPicPr>
      <xdr:blipFill>
        <a:blip xmlns:r="http://schemas.openxmlformats.org/officeDocument/2006/relationships" r:embed="rId58"/>
        <a:stretch>
          <a:fillRect/>
        </a:stretch>
      </xdr:blipFill>
      <xdr:spPr>
        <a:xfrm>
          <a:off x="121227" y="78926749"/>
          <a:ext cx="4830041" cy="2247778"/>
        </a:xfrm>
        <a:prstGeom prst="rect">
          <a:avLst/>
        </a:prstGeom>
      </xdr:spPr>
    </xdr:pic>
    <xdr:clientData/>
  </xdr:twoCellAnchor>
  <xdr:twoCellAnchor editAs="oneCell">
    <xdr:from>
      <xdr:col>9</xdr:col>
      <xdr:colOff>25977</xdr:colOff>
      <xdr:row>406</xdr:row>
      <xdr:rowOff>69273</xdr:rowOff>
    </xdr:from>
    <xdr:to>
      <xdr:col>17</xdr:col>
      <xdr:colOff>372341</xdr:colOff>
      <xdr:row>420</xdr:row>
      <xdr:rowOff>59973</xdr:rowOff>
    </xdr:to>
    <xdr:pic>
      <xdr:nvPicPr>
        <xdr:cNvPr id="60" name="Imagem 59">
          <a:extLst>
            <a:ext uri="{FF2B5EF4-FFF2-40B4-BE49-F238E27FC236}">
              <a16:creationId xmlns:a16="http://schemas.microsoft.com/office/drawing/2014/main" id="{E3DAA1F8-8185-4452-95C4-AE74C72E6716}"/>
            </a:ext>
          </a:extLst>
        </xdr:cNvPr>
        <xdr:cNvPicPr>
          <a:picLocks noChangeAspect="1"/>
        </xdr:cNvPicPr>
      </xdr:nvPicPr>
      <xdr:blipFill>
        <a:blip xmlns:r="http://schemas.openxmlformats.org/officeDocument/2006/relationships" r:embed="rId59"/>
        <a:stretch>
          <a:fillRect/>
        </a:stretch>
      </xdr:blipFill>
      <xdr:spPr>
        <a:xfrm>
          <a:off x="4998027" y="78926748"/>
          <a:ext cx="5223164" cy="2657700"/>
        </a:xfrm>
        <a:prstGeom prst="rect">
          <a:avLst/>
        </a:prstGeom>
      </xdr:spPr>
    </xdr:pic>
    <xdr:clientData/>
  </xdr:twoCellAnchor>
  <xdr:twoCellAnchor editAs="oneCell">
    <xdr:from>
      <xdr:col>17</xdr:col>
      <xdr:colOff>432954</xdr:colOff>
      <xdr:row>406</xdr:row>
      <xdr:rowOff>69273</xdr:rowOff>
    </xdr:from>
    <xdr:to>
      <xdr:col>25</xdr:col>
      <xdr:colOff>570870</xdr:colOff>
      <xdr:row>416</xdr:row>
      <xdr:rowOff>103665</xdr:rowOff>
    </xdr:to>
    <xdr:pic>
      <xdr:nvPicPr>
        <xdr:cNvPr id="61" name="Imagem 60">
          <a:extLst>
            <a:ext uri="{FF2B5EF4-FFF2-40B4-BE49-F238E27FC236}">
              <a16:creationId xmlns:a16="http://schemas.microsoft.com/office/drawing/2014/main" id="{1E30373D-D293-4274-8985-F398959A23A4}"/>
            </a:ext>
          </a:extLst>
        </xdr:cNvPr>
        <xdr:cNvPicPr>
          <a:picLocks noChangeAspect="1"/>
        </xdr:cNvPicPr>
      </xdr:nvPicPr>
      <xdr:blipFill>
        <a:blip xmlns:r="http://schemas.openxmlformats.org/officeDocument/2006/relationships" r:embed="rId60"/>
        <a:stretch>
          <a:fillRect/>
        </a:stretch>
      </xdr:blipFill>
      <xdr:spPr>
        <a:xfrm>
          <a:off x="10281804" y="78926748"/>
          <a:ext cx="5014716" cy="1939392"/>
        </a:xfrm>
        <a:prstGeom prst="rect">
          <a:avLst/>
        </a:prstGeom>
      </xdr:spPr>
    </xdr:pic>
    <xdr:clientData/>
  </xdr:twoCellAnchor>
  <xdr:twoCellAnchor editAs="oneCell">
    <xdr:from>
      <xdr:col>17</xdr:col>
      <xdr:colOff>458931</xdr:colOff>
      <xdr:row>422</xdr:row>
      <xdr:rowOff>69273</xdr:rowOff>
    </xdr:from>
    <xdr:to>
      <xdr:col>25</xdr:col>
      <xdr:colOff>571735</xdr:colOff>
      <xdr:row>440</xdr:row>
      <xdr:rowOff>87862</xdr:rowOff>
    </xdr:to>
    <xdr:pic>
      <xdr:nvPicPr>
        <xdr:cNvPr id="62" name="Imagem 61">
          <a:extLst>
            <a:ext uri="{FF2B5EF4-FFF2-40B4-BE49-F238E27FC236}">
              <a16:creationId xmlns:a16="http://schemas.microsoft.com/office/drawing/2014/main" id="{E1FEE695-79BB-432C-824A-7CE39BF52ACE}"/>
            </a:ext>
          </a:extLst>
        </xdr:cNvPr>
        <xdr:cNvPicPr>
          <a:picLocks noChangeAspect="1"/>
        </xdr:cNvPicPr>
      </xdr:nvPicPr>
      <xdr:blipFill>
        <a:blip xmlns:r="http://schemas.openxmlformats.org/officeDocument/2006/relationships" r:embed="rId61"/>
        <a:stretch>
          <a:fillRect/>
        </a:stretch>
      </xdr:blipFill>
      <xdr:spPr>
        <a:xfrm>
          <a:off x="10307781" y="82031898"/>
          <a:ext cx="4989604" cy="3447589"/>
        </a:xfrm>
        <a:prstGeom prst="rect">
          <a:avLst/>
        </a:prstGeom>
      </xdr:spPr>
    </xdr:pic>
    <xdr:clientData/>
  </xdr:twoCellAnchor>
  <xdr:twoCellAnchor editAs="oneCell">
    <xdr:from>
      <xdr:col>1</xdr:col>
      <xdr:colOff>34637</xdr:colOff>
      <xdr:row>422</xdr:row>
      <xdr:rowOff>43295</xdr:rowOff>
    </xdr:from>
    <xdr:to>
      <xdr:col>9</xdr:col>
      <xdr:colOff>0</xdr:colOff>
      <xdr:row>435</xdr:row>
      <xdr:rowOff>38606</xdr:rowOff>
    </xdr:to>
    <xdr:pic>
      <xdr:nvPicPr>
        <xdr:cNvPr id="63" name="Imagem 62">
          <a:extLst>
            <a:ext uri="{FF2B5EF4-FFF2-40B4-BE49-F238E27FC236}">
              <a16:creationId xmlns:a16="http://schemas.microsoft.com/office/drawing/2014/main" id="{B99D5CA1-F73E-45C5-9A70-69BB59CDE1B1}"/>
            </a:ext>
          </a:extLst>
        </xdr:cNvPr>
        <xdr:cNvPicPr>
          <a:picLocks noChangeAspect="1"/>
        </xdr:cNvPicPr>
      </xdr:nvPicPr>
      <xdr:blipFill>
        <a:blip xmlns:r="http://schemas.openxmlformats.org/officeDocument/2006/relationships" r:embed="rId62"/>
        <a:stretch>
          <a:fillRect/>
        </a:stretch>
      </xdr:blipFill>
      <xdr:spPr>
        <a:xfrm>
          <a:off x="129887" y="82005920"/>
          <a:ext cx="4842163" cy="2471811"/>
        </a:xfrm>
        <a:prstGeom prst="rect">
          <a:avLst/>
        </a:prstGeom>
      </xdr:spPr>
    </xdr:pic>
    <xdr:clientData/>
  </xdr:twoCellAnchor>
  <xdr:twoCellAnchor editAs="oneCell">
    <xdr:from>
      <xdr:col>9</xdr:col>
      <xdr:colOff>43295</xdr:colOff>
      <xdr:row>422</xdr:row>
      <xdr:rowOff>43297</xdr:rowOff>
    </xdr:from>
    <xdr:to>
      <xdr:col>17</xdr:col>
      <xdr:colOff>406977</xdr:colOff>
      <xdr:row>443</xdr:row>
      <xdr:rowOff>61903</xdr:rowOff>
    </xdr:to>
    <xdr:pic>
      <xdr:nvPicPr>
        <xdr:cNvPr id="64" name="Imagem 63">
          <a:extLst>
            <a:ext uri="{FF2B5EF4-FFF2-40B4-BE49-F238E27FC236}">
              <a16:creationId xmlns:a16="http://schemas.microsoft.com/office/drawing/2014/main" id="{8D21160C-4C9A-48C4-9F56-C07BEF3281AF}"/>
            </a:ext>
          </a:extLst>
        </xdr:cNvPr>
        <xdr:cNvPicPr>
          <a:picLocks noChangeAspect="1"/>
        </xdr:cNvPicPr>
      </xdr:nvPicPr>
      <xdr:blipFill>
        <a:blip xmlns:r="http://schemas.openxmlformats.org/officeDocument/2006/relationships" r:embed="rId63"/>
        <a:stretch>
          <a:fillRect/>
        </a:stretch>
      </xdr:blipFill>
      <xdr:spPr>
        <a:xfrm>
          <a:off x="5015345" y="82005922"/>
          <a:ext cx="5240482" cy="4019106"/>
        </a:xfrm>
        <a:prstGeom prst="rect">
          <a:avLst/>
        </a:prstGeom>
      </xdr:spPr>
    </xdr:pic>
    <xdr:clientData/>
  </xdr:twoCellAnchor>
  <xdr:twoCellAnchor editAs="oneCell">
    <xdr:from>
      <xdr:col>4</xdr:col>
      <xdr:colOff>530738</xdr:colOff>
      <xdr:row>448</xdr:row>
      <xdr:rowOff>86593</xdr:rowOff>
    </xdr:from>
    <xdr:to>
      <xdr:col>13</xdr:col>
      <xdr:colOff>259773</xdr:colOff>
      <xdr:row>466</xdr:row>
      <xdr:rowOff>155865</xdr:rowOff>
    </xdr:to>
    <xdr:pic>
      <xdr:nvPicPr>
        <xdr:cNvPr id="65" name="Imagem 64">
          <a:extLst>
            <a:ext uri="{FF2B5EF4-FFF2-40B4-BE49-F238E27FC236}">
              <a16:creationId xmlns:a16="http://schemas.microsoft.com/office/drawing/2014/main" id="{CD811E3C-4E9C-41C5-A89C-CDE8B8F20573}"/>
            </a:ext>
          </a:extLst>
        </xdr:cNvPr>
        <xdr:cNvPicPr>
          <a:picLocks noChangeAspect="1"/>
        </xdr:cNvPicPr>
      </xdr:nvPicPr>
      <xdr:blipFill>
        <a:blip xmlns:r="http://schemas.openxmlformats.org/officeDocument/2006/relationships" r:embed="rId64"/>
        <a:stretch>
          <a:fillRect/>
        </a:stretch>
      </xdr:blipFill>
      <xdr:spPr>
        <a:xfrm>
          <a:off x="2454788" y="87183193"/>
          <a:ext cx="5215435" cy="3498272"/>
        </a:xfrm>
        <a:prstGeom prst="rect">
          <a:avLst/>
        </a:prstGeom>
      </xdr:spPr>
    </xdr:pic>
    <xdr:clientData/>
  </xdr:twoCellAnchor>
  <xdr:twoCellAnchor editAs="oneCell">
    <xdr:from>
      <xdr:col>13</xdr:col>
      <xdr:colOff>329046</xdr:colOff>
      <xdr:row>448</xdr:row>
      <xdr:rowOff>77931</xdr:rowOff>
    </xdr:from>
    <xdr:to>
      <xdr:col>22</xdr:col>
      <xdr:colOff>483166</xdr:colOff>
      <xdr:row>459</xdr:row>
      <xdr:rowOff>147204</xdr:rowOff>
    </xdr:to>
    <xdr:pic>
      <xdr:nvPicPr>
        <xdr:cNvPr id="66" name="Imagem 65">
          <a:extLst>
            <a:ext uri="{FF2B5EF4-FFF2-40B4-BE49-F238E27FC236}">
              <a16:creationId xmlns:a16="http://schemas.microsoft.com/office/drawing/2014/main" id="{C00D483B-681C-4F26-9C26-B161A6AE10B9}"/>
            </a:ext>
          </a:extLst>
        </xdr:cNvPr>
        <xdr:cNvPicPr>
          <a:picLocks noChangeAspect="1"/>
        </xdr:cNvPicPr>
      </xdr:nvPicPr>
      <xdr:blipFill>
        <a:blip xmlns:r="http://schemas.openxmlformats.org/officeDocument/2006/relationships" r:embed="rId65"/>
        <a:stretch>
          <a:fillRect/>
        </a:stretch>
      </xdr:blipFill>
      <xdr:spPr>
        <a:xfrm>
          <a:off x="7739496" y="87174531"/>
          <a:ext cx="5640520" cy="2164773"/>
        </a:xfrm>
        <a:prstGeom prst="rect">
          <a:avLst/>
        </a:prstGeom>
      </xdr:spPr>
    </xdr:pic>
    <xdr:clientData/>
  </xdr:twoCellAnchor>
  <xdr:twoCellAnchor editAs="oneCell">
    <xdr:from>
      <xdr:col>9</xdr:col>
      <xdr:colOff>207817</xdr:colOff>
      <xdr:row>469</xdr:row>
      <xdr:rowOff>86590</xdr:rowOff>
    </xdr:from>
    <xdr:to>
      <xdr:col>18</xdr:col>
      <xdr:colOff>26261</xdr:colOff>
      <xdr:row>488</xdr:row>
      <xdr:rowOff>0</xdr:rowOff>
    </xdr:to>
    <xdr:pic>
      <xdr:nvPicPr>
        <xdr:cNvPr id="67" name="Imagem 66">
          <a:extLst>
            <a:ext uri="{FF2B5EF4-FFF2-40B4-BE49-F238E27FC236}">
              <a16:creationId xmlns:a16="http://schemas.microsoft.com/office/drawing/2014/main" id="{798108B3-F68B-4876-8C3F-716F5DD161A0}"/>
            </a:ext>
          </a:extLst>
        </xdr:cNvPr>
        <xdr:cNvPicPr>
          <a:picLocks noChangeAspect="1"/>
        </xdr:cNvPicPr>
      </xdr:nvPicPr>
      <xdr:blipFill>
        <a:blip xmlns:r="http://schemas.openxmlformats.org/officeDocument/2006/relationships" r:embed="rId66"/>
        <a:stretch>
          <a:fillRect/>
        </a:stretch>
      </xdr:blipFill>
      <xdr:spPr>
        <a:xfrm>
          <a:off x="5179867" y="91240840"/>
          <a:ext cx="5304844" cy="3532910"/>
        </a:xfrm>
        <a:prstGeom prst="rect">
          <a:avLst/>
        </a:prstGeom>
      </xdr:spPr>
    </xdr:pic>
    <xdr:clientData/>
  </xdr:twoCellAnchor>
  <xdr:twoCellAnchor editAs="oneCell">
    <xdr:from>
      <xdr:col>18</xdr:col>
      <xdr:colOff>77932</xdr:colOff>
      <xdr:row>469</xdr:row>
      <xdr:rowOff>86592</xdr:rowOff>
    </xdr:from>
    <xdr:to>
      <xdr:col>25</xdr:col>
      <xdr:colOff>518900</xdr:colOff>
      <xdr:row>485</xdr:row>
      <xdr:rowOff>44778</xdr:rowOff>
    </xdr:to>
    <xdr:pic>
      <xdr:nvPicPr>
        <xdr:cNvPr id="68" name="Imagem 67">
          <a:extLst>
            <a:ext uri="{FF2B5EF4-FFF2-40B4-BE49-F238E27FC236}">
              <a16:creationId xmlns:a16="http://schemas.microsoft.com/office/drawing/2014/main" id="{173B3327-A267-44F3-8E52-4EEB07534467}"/>
            </a:ext>
          </a:extLst>
        </xdr:cNvPr>
        <xdr:cNvPicPr>
          <a:picLocks noChangeAspect="1"/>
        </xdr:cNvPicPr>
      </xdr:nvPicPr>
      <xdr:blipFill>
        <a:blip xmlns:r="http://schemas.openxmlformats.org/officeDocument/2006/relationships" r:embed="rId67"/>
        <a:stretch>
          <a:fillRect/>
        </a:stretch>
      </xdr:blipFill>
      <xdr:spPr>
        <a:xfrm>
          <a:off x="10536382" y="91240842"/>
          <a:ext cx="4708168" cy="3006186"/>
        </a:xfrm>
        <a:prstGeom prst="rect">
          <a:avLst/>
        </a:prstGeom>
      </xdr:spPr>
    </xdr:pic>
    <xdr:clientData/>
  </xdr:twoCellAnchor>
  <xdr:twoCellAnchor editAs="oneCell">
    <xdr:from>
      <xdr:col>1</xdr:col>
      <xdr:colOff>51954</xdr:colOff>
      <xdr:row>469</xdr:row>
      <xdr:rowOff>86591</xdr:rowOff>
    </xdr:from>
    <xdr:to>
      <xdr:col>9</xdr:col>
      <xdr:colOff>147204</xdr:colOff>
      <xdr:row>487</xdr:row>
      <xdr:rowOff>134930</xdr:rowOff>
    </xdr:to>
    <xdr:pic>
      <xdr:nvPicPr>
        <xdr:cNvPr id="69" name="Imagem 68">
          <a:extLst>
            <a:ext uri="{FF2B5EF4-FFF2-40B4-BE49-F238E27FC236}">
              <a16:creationId xmlns:a16="http://schemas.microsoft.com/office/drawing/2014/main" id="{F48ADE37-B607-4F20-8A7A-BCF9CF9BEF7D}"/>
            </a:ext>
          </a:extLst>
        </xdr:cNvPr>
        <xdr:cNvPicPr>
          <a:picLocks noChangeAspect="1"/>
        </xdr:cNvPicPr>
      </xdr:nvPicPr>
      <xdr:blipFill>
        <a:blip xmlns:r="http://schemas.openxmlformats.org/officeDocument/2006/relationships" r:embed="rId68"/>
        <a:stretch>
          <a:fillRect/>
        </a:stretch>
      </xdr:blipFill>
      <xdr:spPr>
        <a:xfrm>
          <a:off x="147204" y="91240841"/>
          <a:ext cx="4972050" cy="3477339"/>
        </a:xfrm>
        <a:prstGeom prst="rect">
          <a:avLst/>
        </a:prstGeom>
      </xdr:spPr>
    </xdr:pic>
    <xdr:clientData/>
  </xdr:twoCellAnchor>
  <xdr:twoCellAnchor editAs="oneCell">
    <xdr:from>
      <xdr:col>18</xdr:col>
      <xdr:colOff>51955</xdr:colOff>
      <xdr:row>490</xdr:row>
      <xdr:rowOff>69273</xdr:rowOff>
    </xdr:from>
    <xdr:to>
      <xdr:col>25</xdr:col>
      <xdr:colOff>550081</xdr:colOff>
      <xdr:row>501</xdr:row>
      <xdr:rowOff>183209</xdr:rowOff>
    </xdr:to>
    <xdr:pic>
      <xdr:nvPicPr>
        <xdr:cNvPr id="70" name="Imagem 69">
          <a:extLst>
            <a:ext uri="{FF2B5EF4-FFF2-40B4-BE49-F238E27FC236}">
              <a16:creationId xmlns:a16="http://schemas.microsoft.com/office/drawing/2014/main" id="{34BE1A0D-E707-48A0-A38A-33653CBD17B9}"/>
            </a:ext>
          </a:extLst>
        </xdr:cNvPr>
        <xdr:cNvPicPr>
          <a:picLocks noChangeAspect="1"/>
        </xdr:cNvPicPr>
      </xdr:nvPicPr>
      <xdr:blipFill>
        <a:blip xmlns:r="http://schemas.openxmlformats.org/officeDocument/2006/relationships" r:embed="rId69"/>
        <a:stretch>
          <a:fillRect/>
        </a:stretch>
      </xdr:blipFill>
      <xdr:spPr>
        <a:xfrm>
          <a:off x="10510405" y="95281173"/>
          <a:ext cx="4765326" cy="2209436"/>
        </a:xfrm>
        <a:prstGeom prst="rect">
          <a:avLst/>
        </a:prstGeom>
      </xdr:spPr>
    </xdr:pic>
    <xdr:clientData/>
  </xdr:twoCellAnchor>
  <xdr:twoCellAnchor editAs="oneCell">
    <xdr:from>
      <xdr:col>9</xdr:col>
      <xdr:colOff>173182</xdr:colOff>
      <xdr:row>490</xdr:row>
      <xdr:rowOff>60614</xdr:rowOff>
    </xdr:from>
    <xdr:to>
      <xdr:col>18</xdr:col>
      <xdr:colOff>3693</xdr:colOff>
      <xdr:row>503</xdr:row>
      <xdr:rowOff>5406</xdr:rowOff>
    </xdr:to>
    <xdr:pic>
      <xdr:nvPicPr>
        <xdr:cNvPr id="71" name="Imagem 70">
          <a:extLst>
            <a:ext uri="{FF2B5EF4-FFF2-40B4-BE49-F238E27FC236}">
              <a16:creationId xmlns:a16="http://schemas.microsoft.com/office/drawing/2014/main" id="{B245D35D-EAEA-4AFD-9427-9D545B444BC4}"/>
            </a:ext>
          </a:extLst>
        </xdr:cNvPr>
        <xdr:cNvPicPr>
          <a:picLocks noChangeAspect="1"/>
        </xdr:cNvPicPr>
      </xdr:nvPicPr>
      <xdr:blipFill>
        <a:blip xmlns:r="http://schemas.openxmlformats.org/officeDocument/2006/relationships" r:embed="rId70"/>
        <a:stretch>
          <a:fillRect/>
        </a:stretch>
      </xdr:blipFill>
      <xdr:spPr>
        <a:xfrm>
          <a:off x="5145232" y="95272514"/>
          <a:ext cx="5316911" cy="2421292"/>
        </a:xfrm>
        <a:prstGeom prst="rect">
          <a:avLst/>
        </a:prstGeom>
      </xdr:spPr>
    </xdr:pic>
    <xdr:clientData/>
  </xdr:twoCellAnchor>
  <xdr:twoCellAnchor editAs="oneCell">
    <xdr:from>
      <xdr:col>1</xdr:col>
      <xdr:colOff>34636</xdr:colOff>
      <xdr:row>490</xdr:row>
      <xdr:rowOff>69273</xdr:rowOff>
    </xdr:from>
    <xdr:to>
      <xdr:col>9</xdr:col>
      <xdr:colOff>129886</xdr:colOff>
      <xdr:row>502</xdr:row>
      <xdr:rowOff>16980</xdr:rowOff>
    </xdr:to>
    <xdr:pic>
      <xdr:nvPicPr>
        <xdr:cNvPr id="72" name="Imagem 71">
          <a:extLst>
            <a:ext uri="{FF2B5EF4-FFF2-40B4-BE49-F238E27FC236}">
              <a16:creationId xmlns:a16="http://schemas.microsoft.com/office/drawing/2014/main" id="{309DDB43-4AAF-41FE-B82F-01F846D50E32}"/>
            </a:ext>
          </a:extLst>
        </xdr:cNvPr>
        <xdr:cNvPicPr>
          <a:picLocks noChangeAspect="1"/>
        </xdr:cNvPicPr>
      </xdr:nvPicPr>
      <xdr:blipFill>
        <a:blip xmlns:r="http://schemas.openxmlformats.org/officeDocument/2006/relationships" r:embed="rId71"/>
        <a:stretch>
          <a:fillRect/>
        </a:stretch>
      </xdr:blipFill>
      <xdr:spPr>
        <a:xfrm>
          <a:off x="129886" y="95281173"/>
          <a:ext cx="4972050" cy="2233707"/>
        </a:xfrm>
        <a:prstGeom prst="rect">
          <a:avLst/>
        </a:prstGeom>
      </xdr:spPr>
    </xdr:pic>
    <xdr:clientData/>
  </xdr:twoCellAnchor>
  <xdr:twoCellAnchor editAs="oneCell">
    <xdr:from>
      <xdr:col>9</xdr:col>
      <xdr:colOff>155864</xdr:colOff>
      <xdr:row>505</xdr:row>
      <xdr:rowOff>60612</xdr:rowOff>
    </xdr:from>
    <xdr:to>
      <xdr:col>18</xdr:col>
      <xdr:colOff>25162</xdr:colOff>
      <xdr:row>521</xdr:row>
      <xdr:rowOff>164523</xdr:rowOff>
    </xdr:to>
    <xdr:pic>
      <xdr:nvPicPr>
        <xdr:cNvPr id="73" name="Imagem 72">
          <a:extLst>
            <a:ext uri="{FF2B5EF4-FFF2-40B4-BE49-F238E27FC236}">
              <a16:creationId xmlns:a16="http://schemas.microsoft.com/office/drawing/2014/main" id="{339F5B2D-6A8C-4137-814C-4CA0A1024ADF}"/>
            </a:ext>
          </a:extLst>
        </xdr:cNvPr>
        <xdr:cNvPicPr>
          <a:picLocks noChangeAspect="1"/>
        </xdr:cNvPicPr>
      </xdr:nvPicPr>
      <xdr:blipFill>
        <a:blip xmlns:r="http://schemas.openxmlformats.org/officeDocument/2006/relationships" r:embed="rId72"/>
        <a:stretch>
          <a:fillRect/>
        </a:stretch>
      </xdr:blipFill>
      <xdr:spPr>
        <a:xfrm>
          <a:off x="5127914" y="98187162"/>
          <a:ext cx="5355698" cy="3151911"/>
        </a:xfrm>
        <a:prstGeom prst="rect">
          <a:avLst/>
        </a:prstGeom>
      </xdr:spPr>
    </xdr:pic>
    <xdr:clientData/>
  </xdr:twoCellAnchor>
  <xdr:twoCellAnchor editAs="oneCell">
    <xdr:from>
      <xdr:col>18</xdr:col>
      <xdr:colOff>67306</xdr:colOff>
      <xdr:row>505</xdr:row>
      <xdr:rowOff>69274</xdr:rowOff>
    </xdr:from>
    <xdr:to>
      <xdr:col>25</xdr:col>
      <xdr:colOff>539688</xdr:colOff>
      <xdr:row>519</xdr:row>
      <xdr:rowOff>138546</xdr:rowOff>
    </xdr:to>
    <xdr:pic>
      <xdr:nvPicPr>
        <xdr:cNvPr id="74" name="Imagem 73">
          <a:extLst>
            <a:ext uri="{FF2B5EF4-FFF2-40B4-BE49-F238E27FC236}">
              <a16:creationId xmlns:a16="http://schemas.microsoft.com/office/drawing/2014/main" id="{1C2FBD0F-69D3-4B60-BE93-693EC388D1F3}"/>
            </a:ext>
          </a:extLst>
        </xdr:cNvPr>
        <xdr:cNvPicPr>
          <a:picLocks noChangeAspect="1"/>
        </xdr:cNvPicPr>
      </xdr:nvPicPr>
      <xdr:blipFill>
        <a:blip xmlns:r="http://schemas.openxmlformats.org/officeDocument/2006/relationships" r:embed="rId73"/>
        <a:stretch>
          <a:fillRect/>
        </a:stretch>
      </xdr:blipFill>
      <xdr:spPr>
        <a:xfrm>
          <a:off x="10525756" y="98195824"/>
          <a:ext cx="4739582" cy="2736272"/>
        </a:xfrm>
        <a:prstGeom prst="rect">
          <a:avLst/>
        </a:prstGeom>
      </xdr:spPr>
    </xdr:pic>
    <xdr:clientData/>
  </xdr:twoCellAnchor>
  <xdr:twoCellAnchor editAs="oneCell">
    <xdr:from>
      <xdr:col>1</xdr:col>
      <xdr:colOff>34636</xdr:colOff>
      <xdr:row>505</xdr:row>
      <xdr:rowOff>60613</xdr:rowOff>
    </xdr:from>
    <xdr:to>
      <xdr:col>9</xdr:col>
      <xdr:colOff>68246</xdr:colOff>
      <xdr:row>520</xdr:row>
      <xdr:rowOff>0</xdr:rowOff>
    </xdr:to>
    <xdr:pic>
      <xdr:nvPicPr>
        <xdr:cNvPr id="75" name="Imagem 74">
          <a:extLst>
            <a:ext uri="{FF2B5EF4-FFF2-40B4-BE49-F238E27FC236}">
              <a16:creationId xmlns:a16="http://schemas.microsoft.com/office/drawing/2014/main" id="{64E4B61F-9CD5-4416-BB78-24267F5BCCD8}"/>
            </a:ext>
          </a:extLst>
        </xdr:cNvPr>
        <xdr:cNvPicPr>
          <a:picLocks noChangeAspect="1"/>
        </xdr:cNvPicPr>
      </xdr:nvPicPr>
      <xdr:blipFill>
        <a:blip xmlns:r="http://schemas.openxmlformats.org/officeDocument/2006/relationships" r:embed="rId74"/>
        <a:stretch>
          <a:fillRect/>
        </a:stretch>
      </xdr:blipFill>
      <xdr:spPr>
        <a:xfrm>
          <a:off x="129886" y="98187163"/>
          <a:ext cx="4910410" cy="2796887"/>
        </a:xfrm>
        <a:prstGeom prst="rect">
          <a:avLst/>
        </a:prstGeom>
      </xdr:spPr>
    </xdr:pic>
    <xdr:clientData/>
  </xdr:twoCellAnchor>
  <xdr:twoCellAnchor editAs="oneCell">
    <xdr:from>
      <xdr:col>9</xdr:col>
      <xdr:colOff>103909</xdr:colOff>
      <xdr:row>524</xdr:row>
      <xdr:rowOff>69272</xdr:rowOff>
    </xdr:from>
    <xdr:to>
      <xdr:col>18</xdr:col>
      <xdr:colOff>35726</xdr:colOff>
      <xdr:row>537</xdr:row>
      <xdr:rowOff>23511</xdr:rowOff>
    </xdr:to>
    <xdr:pic>
      <xdr:nvPicPr>
        <xdr:cNvPr id="76" name="Imagem 75">
          <a:extLst>
            <a:ext uri="{FF2B5EF4-FFF2-40B4-BE49-F238E27FC236}">
              <a16:creationId xmlns:a16="http://schemas.microsoft.com/office/drawing/2014/main" id="{F54F1922-7576-45A6-9652-3BDDF04E8960}"/>
            </a:ext>
          </a:extLst>
        </xdr:cNvPr>
        <xdr:cNvPicPr>
          <a:picLocks noChangeAspect="1"/>
        </xdr:cNvPicPr>
      </xdr:nvPicPr>
      <xdr:blipFill>
        <a:blip xmlns:r="http://schemas.openxmlformats.org/officeDocument/2006/relationships" r:embed="rId75"/>
        <a:stretch>
          <a:fillRect/>
        </a:stretch>
      </xdr:blipFill>
      <xdr:spPr>
        <a:xfrm>
          <a:off x="5075959" y="101872472"/>
          <a:ext cx="5418217" cy="2430739"/>
        </a:xfrm>
        <a:prstGeom prst="rect">
          <a:avLst/>
        </a:prstGeom>
      </xdr:spPr>
    </xdr:pic>
    <xdr:clientData/>
  </xdr:twoCellAnchor>
  <xdr:twoCellAnchor editAs="oneCell">
    <xdr:from>
      <xdr:col>18</xdr:col>
      <xdr:colOff>86591</xdr:colOff>
      <xdr:row>524</xdr:row>
      <xdr:rowOff>77931</xdr:rowOff>
    </xdr:from>
    <xdr:to>
      <xdr:col>25</xdr:col>
      <xdr:colOff>523237</xdr:colOff>
      <xdr:row>533</xdr:row>
      <xdr:rowOff>188646</xdr:rowOff>
    </xdr:to>
    <xdr:pic>
      <xdr:nvPicPr>
        <xdr:cNvPr id="77" name="Imagem 76">
          <a:extLst>
            <a:ext uri="{FF2B5EF4-FFF2-40B4-BE49-F238E27FC236}">
              <a16:creationId xmlns:a16="http://schemas.microsoft.com/office/drawing/2014/main" id="{4C822E76-48C6-4194-93F9-085C918E5316}"/>
            </a:ext>
          </a:extLst>
        </xdr:cNvPr>
        <xdr:cNvPicPr>
          <a:picLocks noChangeAspect="1"/>
        </xdr:cNvPicPr>
      </xdr:nvPicPr>
      <xdr:blipFill>
        <a:blip xmlns:r="http://schemas.openxmlformats.org/officeDocument/2006/relationships" r:embed="rId76"/>
        <a:stretch>
          <a:fillRect/>
        </a:stretch>
      </xdr:blipFill>
      <xdr:spPr>
        <a:xfrm>
          <a:off x="10545041" y="101881131"/>
          <a:ext cx="4703846" cy="1825215"/>
        </a:xfrm>
        <a:prstGeom prst="rect">
          <a:avLst/>
        </a:prstGeom>
      </xdr:spPr>
    </xdr:pic>
    <xdr:clientData/>
  </xdr:twoCellAnchor>
  <xdr:twoCellAnchor editAs="oneCell">
    <xdr:from>
      <xdr:col>1</xdr:col>
      <xdr:colOff>60614</xdr:colOff>
      <xdr:row>524</xdr:row>
      <xdr:rowOff>69274</xdr:rowOff>
    </xdr:from>
    <xdr:to>
      <xdr:col>9</xdr:col>
      <xdr:colOff>34636</xdr:colOff>
      <xdr:row>535</xdr:row>
      <xdr:rowOff>157052</xdr:rowOff>
    </xdr:to>
    <xdr:pic>
      <xdr:nvPicPr>
        <xdr:cNvPr id="78" name="Imagem 77">
          <a:extLst>
            <a:ext uri="{FF2B5EF4-FFF2-40B4-BE49-F238E27FC236}">
              <a16:creationId xmlns:a16="http://schemas.microsoft.com/office/drawing/2014/main" id="{D7520674-80F2-4D7F-A914-4525ACF36B27}"/>
            </a:ext>
          </a:extLst>
        </xdr:cNvPr>
        <xdr:cNvPicPr>
          <a:picLocks noChangeAspect="1"/>
        </xdr:cNvPicPr>
      </xdr:nvPicPr>
      <xdr:blipFill>
        <a:blip xmlns:r="http://schemas.openxmlformats.org/officeDocument/2006/relationships" r:embed="rId77"/>
        <a:stretch>
          <a:fillRect/>
        </a:stretch>
      </xdr:blipFill>
      <xdr:spPr>
        <a:xfrm>
          <a:off x="155864" y="101872474"/>
          <a:ext cx="4850822" cy="2183278"/>
        </a:xfrm>
        <a:prstGeom prst="rect">
          <a:avLst/>
        </a:prstGeom>
      </xdr:spPr>
    </xdr:pic>
    <xdr:clientData/>
  </xdr:twoCellAnchor>
  <xdr:twoCellAnchor editAs="oneCell">
    <xdr:from>
      <xdr:col>18</xdr:col>
      <xdr:colOff>146926</xdr:colOff>
      <xdr:row>539</xdr:row>
      <xdr:rowOff>86591</xdr:rowOff>
    </xdr:from>
    <xdr:to>
      <xdr:col>25</xdr:col>
      <xdr:colOff>537953</xdr:colOff>
      <xdr:row>550</xdr:row>
      <xdr:rowOff>138546</xdr:rowOff>
    </xdr:to>
    <xdr:pic>
      <xdr:nvPicPr>
        <xdr:cNvPr id="79" name="Imagem 78">
          <a:extLst>
            <a:ext uri="{FF2B5EF4-FFF2-40B4-BE49-F238E27FC236}">
              <a16:creationId xmlns:a16="http://schemas.microsoft.com/office/drawing/2014/main" id="{27D61629-3406-4806-A1BA-00223DFC84C1}"/>
            </a:ext>
          </a:extLst>
        </xdr:cNvPr>
        <xdr:cNvPicPr>
          <a:picLocks noChangeAspect="1"/>
        </xdr:cNvPicPr>
      </xdr:nvPicPr>
      <xdr:blipFill>
        <a:blip xmlns:r="http://schemas.openxmlformats.org/officeDocument/2006/relationships" r:embed="rId78"/>
        <a:stretch>
          <a:fillRect/>
        </a:stretch>
      </xdr:blipFill>
      <xdr:spPr>
        <a:xfrm>
          <a:off x="10605376" y="104804441"/>
          <a:ext cx="4658227" cy="2147455"/>
        </a:xfrm>
        <a:prstGeom prst="rect">
          <a:avLst/>
        </a:prstGeom>
      </xdr:spPr>
    </xdr:pic>
    <xdr:clientData/>
  </xdr:twoCellAnchor>
  <xdr:twoCellAnchor editAs="oneCell">
    <xdr:from>
      <xdr:col>9</xdr:col>
      <xdr:colOff>82447</xdr:colOff>
      <xdr:row>539</xdr:row>
      <xdr:rowOff>95250</xdr:rowOff>
    </xdr:from>
    <xdr:to>
      <xdr:col>18</xdr:col>
      <xdr:colOff>107602</xdr:colOff>
      <xdr:row>552</xdr:row>
      <xdr:rowOff>69273</xdr:rowOff>
    </xdr:to>
    <xdr:pic>
      <xdr:nvPicPr>
        <xdr:cNvPr id="80" name="Imagem 79">
          <a:extLst>
            <a:ext uri="{FF2B5EF4-FFF2-40B4-BE49-F238E27FC236}">
              <a16:creationId xmlns:a16="http://schemas.microsoft.com/office/drawing/2014/main" id="{F9352955-5D7E-435D-92F3-2FD08D4F000F}"/>
            </a:ext>
          </a:extLst>
        </xdr:cNvPr>
        <xdr:cNvPicPr>
          <a:picLocks noChangeAspect="1"/>
        </xdr:cNvPicPr>
      </xdr:nvPicPr>
      <xdr:blipFill>
        <a:blip xmlns:r="http://schemas.openxmlformats.org/officeDocument/2006/relationships" r:embed="rId79"/>
        <a:stretch>
          <a:fillRect/>
        </a:stretch>
      </xdr:blipFill>
      <xdr:spPr>
        <a:xfrm>
          <a:off x="5054497" y="104813100"/>
          <a:ext cx="5511555" cy="2450523"/>
        </a:xfrm>
        <a:prstGeom prst="rect">
          <a:avLst/>
        </a:prstGeom>
      </xdr:spPr>
    </xdr:pic>
    <xdr:clientData/>
  </xdr:twoCellAnchor>
  <xdr:twoCellAnchor editAs="oneCell">
    <xdr:from>
      <xdr:col>1</xdr:col>
      <xdr:colOff>25977</xdr:colOff>
      <xdr:row>539</xdr:row>
      <xdr:rowOff>95251</xdr:rowOff>
    </xdr:from>
    <xdr:to>
      <xdr:col>9</xdr:col>
      <xdr:colOff>25977</xdr:colOff>
      <xdr:row>557</xdr:row>
      <xdr:rowOff>75309</xdr:rowOff>
    </xdr:to>
    <xdr:pic>
      <xdr:nvPicPr>
        <xdr:cNvPr id="81" name="Imagem 80">
          <a:extLst>
            <a:ext uri="{FF2B5EF4-FFF2-40B4-BE49-F238E27FC236}">
              <a16:creationId xmlns:a16="http://schemas.microsoft.com/office/drawing/2014/main" id="{63D770AE-539F-47BB-BD17-8ED4D606A9C7}"/>
            </a:ext>
          </a:extLst>
        </xdr:cNvPr>
        <xdr:cNvPicPr>
          <a:picLocks noChangeAspect="1"/>
        </xdr:cNvPicPr>
      </xdr:nvPicPr>
      <xdr:blipFill>
        <a:blip xmlns:r="http://schemas.openxmlformats.org/officeDocument/2006/relationships" r:embed="rId80"/>
        <a:stretch>
          <a:fillRect/>
        </a:stretch>
      </xdr:blipFill>
      <xdr:spPr>
        <a:xfrm>
          <a:off x="121227" y="104813101"/>
          <a:ext cx="4876800" cy="34090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727504</xdr:colOff>
      <xdr:row>1</xdr:row>
      <xdr:rowOff>598714</xdr:rowOff>
    </xdr:to>
    <xdr:pic>
      <xdr:nvPicPr>
        <xdr:cNvPr id="2" name="Imagem 1">
          <a:extLst>
            <a:ext uri="{FF2B5EF4-FFF2-40B4-BE49-F238E27FC236}">
              <a16:creationId xmlns:a16="http://schemas.microsoft.com/office/drawing/2014/main" id="{E2BAB7A1-4DAC-431E-A743-A51EEA0E9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333375" y="190500"/>
          <a:ext cx="2807129" cy="598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368729</xdr:colOff>
      <xdr:row>1</xdr:row>
      <xdr:rowOff>598714</xdr:rowOff>
    </xdr:to>
    <xdr:pic>
      <xdr:nvPicPr>
        <xdr:cNvPr id="2" name="Imagem 1">
          <a:extLst>
            <a:ext uri="{FF2B5EF4-FFF2-40B4-BE49-F238E27FC236}">
              <a16:creationId xmlns:a16="http://schemas.microsoft.com/office/drawing/2014/main" id="{4D3A9F35-C7A3-443B-801E-D80B0F89EE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219075" y="190500"/>
          <a:ext cx="2807129" cy="598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336979</xdr:colOff>
      <xdr:row>4</xdr:row>
      <xdr:rowOff>149679</xdr:rowOff>
    </xdr:to>
    <xdr:pic>
      <xdr:nvPicPr>
        <xdr:cNvPr id="2" name="Imagem 1">
          <a:extLst>
            <a:ext uri="{FF2B5EF4-FFF2-40B4-BE49-F238E27FC236}">
              <a16:creationId xmlns:a16="http://schemas.microsoft.com/office/drawing/2014/main" id="{BA06DCE7-CB77-48E1-B8C5-EA913A49C2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883E3772-5C73-492E-B399-B754FA2476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D55E15E1-6300-4882-A62D-29901EB0A6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57895D7C-C4BA-471D-A554-EF2EAA9FEE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F03B35-10E6-4089-A2D3-ECCD99CDDCB4}" name="Cronograma" displayName="Cronograma" ref="B3:AK7" totalsRowShown="0" headerRowDxfId="122" dataDxfId="121" tableBorderDxfId="120" headerRowCellStyle="Normal 2">
  <autoFilter ref="B3:AK7" xr:uid="{994487ED-17AC-48DF-885A-0D41F206BB77}"/>
  <tableColumns count="36">
    <tableColumn id="1" xr3:uid="{2C99F148-070C-4C95-A91B-995411F32833}" name="Item" dataDxfId="119">
      <calculatedColumnFormula>'Alocação MO'!B4</calculatedColumnFormula>
    </tableColumn>
    <tableColumn id="2" xr3:uid="{CF13D955-14B7-4BCD-89E4-336CB1DA9B62}" name="Descrição dos Produtos" dataDxfId="118">
      <calculatedColumnFormula>'Alocação MO'!C4</calculatedColumnFormula>
    </tableColumn>
    <tableColumn id="45" xr3:uid="{7F53ECA9-4785-4C01-986C-E101AC22B125}" name="Duração_x000a_(meses)" dataDxfId="117">
      <calculatedColumnFormula>COUNTA(Cronograma[[#This Row],[1]:[26]])</calculatedColumnFormula>
    </tableColumn>
    <tableColumn id="3" xr3:uid="{DC891A2A-A408-479B-87B8-0A86A21DF783}" name="1" dataDxfId="116"/>
    <tableColumn id="4" xr3:uid="{53A7F949-D0BE-4FB4-8A8B-6A8771B96E4B}" name="2" dataDxfId="115"/>
    <tableColumn id="5" xr3:uid="{CA931D97-FF41-4527-B688-A438318CDADF}" name="3" dataDxfId="114"/>
    <tableColumn id="6" xr3:uid="{166A1AFE-05C0-4A74-ACEE-06F6DDA005FF}" name="4" dataDxfId="113"/>
    <tableColumn id="7" xr3:uid="{D6FDEB95-ECDA-4E1A-A307-CAF228406C21}" name="5" dataDxfId="112"/>
    <tableColumn id="8" xr3:uid="{D427DBDA-873A-441C-83FB-6548C997261D}" name="6" dataDxfId="111"/>
    <tableColumn id="9" xr3:uid="{2433DF34-A02C-405C-8A10-305F363755E2}" name="7" dataDxfId="110"/>
    <tableColumn id="10" xr3:uid="{00566EBF-A437-4EC6-929D-477CFF2A917E}" name="8" dataDxfId="109"/>
    <tableColumn id="11" xr3:uid="{5DFC9ED3-0A6A-4B1E-911F-298660016837}" name="9" dataDxfId="108"/>
    <tableColumn id="12" xr3:uid="{FE802E71-A222-4F42-B9C0-CDFE7715DDBA}" name="10" dataDxfId="107"/>
    <tableColumn id="13" xr3:uid="{18973EF0-0714-498C-BF7B-83DA7FE5072B}" name="11" dataDxfId="106"/>
    <tableColumn id="15" xr3:uid="{AC5E3451-9957-44BD-BE39-1FF341651A5A}" name="12" dataDxfId="105"/>
    <tableColumn id="16" xr3:uid="{4834B81E-ACF4-4BFB-AEA7-CAAFCB9A135F}" name="13" dataDxfId="104"/>
    <tableColumn id="51" xr3:uid="{CBD116E4-BF13-4358-B084-EB18CBD777F5}" name="14" dataDxfId="103"/>
    <tableColumn id="50" xr3:uid="{056B1B28-C62C-432C-A970-B8E48CAAAEA4}" name="15" dataDxfId="102"/>
    <tableColumn id="49" xr3:uid="{E26BEAF3-6A9D-40EF-A0E5-0D8852FB6F50}" name="16" dataDxfId="101"/>
    <tableColumn id="48" xr3:uid="{AB67ACA1-EF00-407F-B1BB-8861DE775B31}" name="17" dataDxfId="100"/>
    <tableColumn id="47" xr3:uid="{FF10DDE8-B374-49FE-AF55-E7C8D9E74B63}" name="18" dataDxfId="99"/>
    <tableColumn id="46" xr3:uid="{D2092B8C-51E4-4CEC-ABD7-B58D534319F5}" name="19" dataDxfId="98"/>
    <tableColumn id="43" xr3:uid="{18C6B9E4-3A22-43C1-981D-2E03CB9225FC}" name="20" dataDxfId="97"/>
    <tableColumn id="42" xr3:uid="{B26CA707-F57D-4DE4-89FD-37DD0ADE484F}" name="21" dataDxfId="96"/>
    <tableColumn id="41" xr3:uid="{24269F3B-47D9-48BD-A6A3-DB9DEA62760E}" name="22" dataDxfId="95"/>
    <tableColumn id="40" xr3:uid="{131E43AC-FA2D-46D2-85DD-1CFC8D4B5C74}" name="23" dataDxfId="94"/>
    <tableColumn id="39" xr3:uid="{E4EDC78F-6699-48CA-BB6D-ADE6683E8B22}" name="24" dataDxfId="93"/>
    <tableColumn id="38" xr3:uid="{97ED1A7D-0A8C-456B-BECA-9CF1314E0B65}" name="25" dataDxfId="92"/>
    <tableColumn id="37" xr3:uid="{5C178C26-2849-4DD8-A003-74C7A287CDF1}" name="26" dataDxfId="91"/>
    <tableColumn id="14" xr3:uid="{5D83C76D-3D33-4E5A-A391-8FE212B68C09}" name="27" dataDxfId="90"/>
    <tableColumn id="17" xr3:uid="{FB89AE60-DCC6-4B95-948E-46F5FFC6BEAF}" name="28" dataDxfId="89"/>
    <tableColumn id="18" xr3:uid="{33A8E4A6-F343-40CB-BF45-0EC898D22378}" name="29" dataDxfId="88"/>
    <tableColumn id="19" xr3:uid="{2D027B54-FFDC-45D4-BF3B-E79A627A5640}" name="30" dataDxfId="87"/>
    <tableColumn id="20" xr3:uid="{003F8B9A-EE05-4091-A411-4881589C6CEF}" name="31" dataDxfId="86"/>
    <tableColumn id="21" xr3:uid="{3521B9D6-30AE-40DA-B14F-F0E26791AE7B}" name="32" dataDxfId="85"/>
    <tableColumn id="22" xr3:uid="{E509B961-67D8-4DAA-958B-16AB1292EC17}" name="33" dataDxfId="84"/>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4487ED-17AC-48DF-885A-0D41F206BB77}" name="MO" displayName="MO" ref="B3:BW14" totalsRowShown="0" headerRowDxfId="83" dataDxfId="82" tableBorderDxfId="81" headerRowCellStyle="Normal 2">
  <autoFilter ref="B3:BW14" xr:uid="{994487ED-17AC-48DF-885A-0D41F206BB77}"/>
  <tableColumns count="74">
    <tableColumn id="1" xr3:uid="{483BC868-490C-4304-89A8-A31F7390205C}" name="Item" dataDxfId="80"/>
    <tableColumn id="2" xr3:uid="{21AD8AAE-F12B-492C-A477-E84DDD645622}" name="Descrição dos Produtos" dataDxfId="79"/>
    <tableColumn id="3" xr3:uid="{C1A64140-9502-417C-97A3-967EAD997BC1}" name="Duração_x000a_(meses)" dataDxfId="78"/>
    <tableColumn id="4" xr3:uid="{4582624E-9735-413C-8B8A-457EAAEFD3D9}" name="Advogado júnior" dataDxfId="77"/>
    <tableColumn id="5" xr3:uid="{745F6DC3-344A-4CE0-B2CA-7184045983A9}" name="Advogado pleno" dataDxfId="76"/>
    <tableColumn id="6" xr3:uid="{70944E5F-5694-4F03-814C-EB6DCA4AE17E}" name="Advogado sênior" dataDxfId="75"/>
    <tableColumn id="7" xr3:uid="{E08F9ABD-D69A-4463-8E5E-9C8A170ACD8B}" name="Analista de desenvolvimento de sistemas júnior" dataDxfId="74"/>
    <tableColumn id="8" xr3:uid="{DCCB374E-CCE0-4EC9-B08B-4934F075060F}" name="Analista de desenvolvimento de sistemas pleno" dataDxfId="73"/>
    <tableColumn id="9" xr3:uid="{8FD710E0-E0E7-4B22-8558-D25F8D836954}" name="Analista de desenvolvimento de sistemas sênior" dataDxfId="72"/>
    <tableColumn id="10" xr3:uid="{AA11B7AF-6E33-4F8E-BD31-EC49A6278837}" name="Arquiteto júnior" dataDxfId="71"/>
    <tableColumn id="11" xr3:uid="{9309FCF8-DAF9-4612-8AEC-9D21E7823926}" name="Arquiteto pleno" dataDxfId="70"/>
    <tableColumn id="12" xr3:uid="{0B0EA88D-F134-479F-8D8E-7374B2C393C5}" name="Arquiteto sênior" dataDxfId="69"/>
    <tableColumn id="13" xr3:uid="{B2123748-9B99-426E-BF22-86CA72A90FCA}" name="Assistente social júnior" dataDxfId="68"/>
    <tableColumn id="14" xr3:uid="{5DFC4977-F375-4B0D-899A-E710296C7EBC}" name="Assistente social pleno" dataDxfId="67"/>
    <tableColumn id="15" xr3:uid="{3D20C7EF-9230-490B-98AC-D247EABD3F53}" name="Assistente social sênior" dataDxfId="66"/>
    <tableColumn id="16" xr3:uid="{D8C88344-BFFD-4771-A2E1-00EB4876607E}" name="Auxiliar" dataDxfId="65"/>
    <tableColumn id="17" xr3:uid="{FFB474F4-0501-4B1B-ADAB-1135D8014AE2}" name="Auxiliar administrativo" dataDxfId="64"/>
    <tableColumn id="18" xr3:uid="{F6316915-9EF0-428D-8317-92907C72AE68}" name="Auxiliar de laboratório" dataDxfId="63"/>
    <tableColumn id="19" xr3:uid="{4A444C98-D9C2-48F7-9433-121BA39BCC1D}" name="Auxiliar de topografia" dataDxfId="62"/>
    <tableColumn id="20" xr3:uid="{50D3FB8A-1B80-4E53-8735-28BAE1DCBFFA}" name="Biólogo júnior" dataDxfId="61"/>
    <tableColumn id="21" xr3:uid="{F076C1CB-104D-496A-87C8-A54521F2FDD5}" name="Biólogo pleno" dataDxfId="60"/>
    <tableColumn id="22" xr3:uid="{5D36D724-9211-46A9-8969-D4CFB802CACA}" name="Biólogo sênior" dataDxfId="59"/>
    <tableColumn id="23" xr3:uid="{566C693B-2E9A-4C2B-A53C-3A53A924D488}" name="Chefe de escritório" dataDxfId="58"/>
    <tableColumn id="24" xr3:uid="{F7C313E3-07A6-4166-88EA-C5E9F0945259}" name="Contador júnior" dataDxfId="57"/>
    <tableColumn id="25" xr3:uid="{4FE94646-429B-4421-ACB6-C39541FAA4C2}" name="Contador pleno" dataDxfId="56"/>
    <tableColumn id="26" xr3:uid="{7012B9E0-6963-443A-9C20-C574AF774361}" name="Contador sênior" dataDxfId="55"/>
    <tableColumn id="27" xr3:uid="{F79DBA56-93FD-4980-A1A8-D2C7B09D4552}" name="Coordenador ambiental " dataDxfId="54"/>
    <tableColumn id="28" xr3:uid="{467D2D7E-2F5A-490C-AFF7-BFE82E03897D}" name="Economista júnior" dataDxfId="53"/>
    <tableColumn id="29" xr3:uid="{02E14B20-020A-4BFE-BC16-DDD0D2717263}" name="Economista pleno" dataDxfId="52"/>
    <tableColumn id="30" xr3:uid="{AFAEE5EC-8813-42AC-8066-1BE4B0E08248}" name="Economista sênior" dataDxfId="51"/>
    <tableColumn id="31" xr3:uid="{DDF28A8C-EA5B-44BC-9157-F5F0113D8F9C}" name="Engenheiro agrônomo júnior" dataDxfId="50"/>
    <tableColumn id="32" xr3:uid="{B2C6A696-0D08-4FFD-B8DF-5F62E31C4AB6}" name="Engenheiro agrônomo pleno" dataDxfId="49"/>
    <tableColumn id="33" xr3:uid="{0036C9A0-0E9B-431F-B401-A2D7F168633A}" name="Engenheiro agrônomo sênior" dataDxfId="48"/>
    <tableColumn id="34" xr3:uid="{4CEE16C3-7559-4FD9-8089-8A302DC64319}" name="Engenheiro ambiental júnior" dataDxfId="47"/>
    <tableColumn id="35" xr3:uid="{B1781A0E-816E-47A3-BBF2-C2E9B859D7DF}" name="Engenheiro ambiental pleno" dataDxfId="46"/>
    <tableColumn id="36" xr3:uid="{3DB8ABF0-97A5-4B92-A3B8-6D737BF08C7D}" name="Engenheiro ambiental sênior" dataDxfId="45"/>
    <tableColumn id="37" xr3:uid="{3F202E7A-B912-4232-AEEC-F5CD25BFAEA7}" name="Engenheiro consultor especial" dataDxfId="44"/>
    <tableColumn id="38" xr3:uid="{9A417571-ABAC-4CC4-B00A-0565BB8645BD}" name="Engenheiro coordenador" dataDxfId="43"/>
    <tableColumn id="39" xr3:uid="{1CB1DEF8-9868-4545-A703-B15691C17774}" name="Engenheiro de pesca júnior" dataDxfId="42"/>
    <tableColumn id="40" xr3:uid="{2671EEB0-497F-411C-BE62-2D3CE69D476E}" name="Engenheiro de pesca pleno" dataDxfId="41"/>
    <tableColumn id="41" xr3:uid="{DD362DE0-A999-4581-BBDE-6C50198E4A7E}" name="Engenheiro de pesca sênior" dataDxfId="40"/>
    <tableColumn id="42" xr3:uid="{B64E3956-2D7A-40DB-AFCD-9E00105AE7B9}" name="Engenheiro de projetos júnior" dataDxfId="39"/>
    <tableColumn id="43" xr3:uid="{5F89A563-2578-4532-9DB4-0D2AE53E958A}" name="Engenheiro de projetos pleno" dataDxfId="38"/>
    <tableColumn id="44" xr3:uid="{FE85B1DC-E574-40FA-B140-D62A84AB1FF0}" name="Engenheiro de projetos sênior" dataDxfId="37"/>
    <tableColumn id="45" xr3:uid="{A325DA9E-9783-43F6-A209-353328C8DDEE}" name="Engenheiro florestal júnior" dataDxfId="36"/>
    <tableColumn id="46" xr3:uid="{8E6D1FC9-CE57-439C-9E20-F95A793F9D82}" name="Engenheiro florestal pleno" dataDxfId="35"/>
    <tableColumn id="47" xr3:uid="{A679D3A5-9EC2-4F26-B8D4-92B88929DBD1}" name="Engenheiro florestal sênior" dataDxfId="34"/>
    <tableColumn id="48" xr3:uid="{696F6912-6891-4557-8065-85E9EC4BC0A0}" name="Geólogo júnior" dataDxfId="33"/>
    <tableColumn id="49" xr3:uid="{7C55A264-D7A0-4C3E-BE87-F93132BA71A1}" name="Geólogo pleno" dataDxfId="32"/>
    <tableColumn id="50" xr3:uid="{F5141C19-0E25-4579-A899-C8FA49001168}" name="Geólogo sênior" dataDxfId="31"/>
    <tableColumn id="51" xr3:uid="{3C56D9E0-8954-4766-9EC8-71597E3D2BC5}" name="Jornalista júnior" dataDxfId="30"/>
    <tableColumn id="52" xr3:uid="{0F2C75AD-0E64-449C-9AAB-44BD4CC0DC8B}" name="Jornalista pleno" dataDxfId="29"/>
    <tableColumn id="53" xr3:uid="{E13EFD0F-6915-4709-9E70-2CF9F5ED8C2D}" name="Jornalista sênior" dataDxfId="28"/>
    <tableColumn id="54" xr3:uid="{5CFD940F-DF97-471E-9694-6D38D560EBA7}" name="Laboratorista" dataDxfId="27"/>
    <tableColumn id="55" xr3:uid="{EB656827-457D-4824-A243-22CAF8158A91}" name="Médico veterinário" dataDxfId="26"/>
    <tableColumn id="56" xr3:uid="{30617163-9303-4BFB-A78A-9EC0DA7D535B}" name="Meteorologista júnior" dataDxfId="25"/>
    <tableColumn id="57" xr3:uid="{D78201F6-C659-42E4-984F-4C6CBD3552A3}" name="Meteorologista pleno" dataDxfId="24"/>
    <tableColumn id="58" xr3:uid="{B438D6D5-69DD-4111-9420-3FF64BB6693E}" name="Meteorologista sênior" dataDxfId="23"/>
    <tableColumn id="59" xr3:uid="{EFD633C1-4078-49D5-B687-9B09EED28D81}" name="Motorista de caminhão" dataDxfId="22"/>
    <tableColumn id="60" xr3:uid="{83D28316-C2B0-4680-821B-74407E971E26}" name="Motorista de veículo leve" dataDxfId="21"/>
    <tableColumn id="61" xr3:uid="{5CD23EB1-76AF-4797-87AD-E5BF8BD9CABB}" name="Oceanógrafo júnior" dataDxfId="20"/>
    <tableColumn id="62" xr3:uid="{762275D1-DFEA-412D-8536-F085F0E1D0ED}" name="Oceanógrafo pleno" dataDxfId="19"/>
    <tableColumn id="63" xr3:uid="{B1666FA2-D451-485F-B8C1-F22CC3D6F5F5}" name="Oceanógrafo sênior" dataDxfId="18"/>
    <tableColumn id="64" xr3:uid="{6C2FA79C-76E3-4D9F-8169-DC8D90404F76}" name="Pedagogo júnior" dataDxfId="17"/>
    <tableColumn id="65" xr3:uid="{2FE52673-7AD6-4259-BFE2-B0C007BCC285}" name="Pedagogo pleno" dataDxfId="16"/>
    <tableColumn id="66" xr3:uid="{541BD63E-9ABD-410B-8D09-ACA3523D1A6A}" name="Pedagogo sênior" dataDxfId="15"/>
    <tableColumn id="67" xr3:uid="{445D7653-5A88-4F56-8197-C1225E667B03}" name="Secretária" dataDxfId="14"/>
    <tableColumn id="68" xr3:uid="{00E90108-E4B1-41FB-8462-C82C58616642}" name="Sondador" dataDxfId="13"/>
    <tableColumn id="69" xr3:uid="{A69FD0EF-95A6-4E4A-A3BE-C15E6675E85E}" name="Técnico ambiental" dataDxfId="12"/>
    <tableColumn id="70" xr3:uid="{020CA6AC-17ED-4F8C-B976-C2807D69752E}" name="Técnico de obras" dataDxfId="11"/>
    <tableColumn id="71" xr3:uid="{5CBA0605-741B-4EC8-8D9D-835F53D2547B}" name="Técnico de segurança do trabalho" dataDxfId="10"/>
    <tableColumn id="72" xr3:uid="{8A2AD533-17D9-4D02-8DD3-DBD356396AB3}" name="Técnico em geoprocessamento" dataDxfId="9"/>
    <tableColumn id="73" xr3:uid="{9A2F8892-70C2-45DA-942C-CE985749E8D0}" name="Técnico em informática - programador" dataDxfId="8"/>
    <tableColumn id="74" xr3:uid="{C8C74A35-0F2D-475A-8760-4ECEE32ABBE5}" name="Topógrafo" dataDxfId="7"/>
  </tableColumns>
  <tableStyleInfo name="TableStyleLight11"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2.xml"/></Relationships>
</file>

<file path=xl/worksheets/_rels/sheet45.xml.rels><?xml version="1.0" encoding="UTF-8" standalone="yes"?>
<Relationships xmlns="http://schemas.openxmlformats.org/package/2006/relationships"><Relationship Id="rId2" Type="http://schemas.openxmlformats.org/officeDocument/2006/relationships/hyperlink" Target="https://www.planalto.gov.br/ccivil_03/_Ato2023-2026/2023/Decreto/D11872.htm" TargetMode="External"/><Relationship Id="rId1" Type="http://schemas.openxmlformats.org/officeDocument/2006/relationships/hyperlink" Target="http://legislacao.planalto.gov.br/legisla/legislacao.nsf/Viw_Identificacao/DEC%2011.872-2023?OpenDocument"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int-store.esri.com/pt-br/store/products/buy/arcgis-pro" TargetMode="External"/><Relationship Id="rId1" Type="http://schemas.openxmlformats.org/officeDocument/2006/relationships/hyperlink" Target="https://www.autodesk.com.br/product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EF14-3659-4EAF-AE70-E4AF533477A5}">
  <sheetPr>
    <tabColor theme="1"/>
    <pageSetUpPr fitToPage="1"/>
  </sheetPr>
  <dimension ref="B2:I32"/>
  <sheetViews>
    <sheetView showGridLines="0" workbookViewId="0">
      <selection activeCell="H12" sqref="H12"/>
    </sheetView>
  </sheetViews>
  <sheetFormatPr defaultRowHeight="15"/>
  <cols>
    <col min="1" max="1" width="1.7109375" style="120" customWidth="1"/>
    <col min="2" max="2" width="30" style="120" customWidth="1"/>
    <col min="3" max="3" width="14.5703125" style="120" customWidth="1"/>
    <col min="4" max="4" width="19.28515625" style="120" customWidth="1"/>
    <col min="5" max="5" width="52.5703125" style="120" customWidth="1"/>
    <col min="6" max="6" width="2.28515625" style="120" customWidth="1"/>
    <col min="7" max="7" width="27.140625" style="120" customWidth="1"/>
    <col min="8" max="10" width="11.140625" style="120" customWidth="1"/>
    <col min="11" max="16384" width="9.140625" style="120"/>
  </cols>
  <sheetData>
    <row r="2" spans="2:7" ht="54" customHeight="1"/>
    <row r="3" spans="2:7" ht="8.25" customHeight="1"/>
    <row r="4" spans="2:7" ht="22.5" customHeight="1">
      <c r="B4" s="208" t="s">
        <v>774</v>
      </c>
      <c r="C4" s="130"/>
      <c r="D4" s="130"/>
      <c r="E4" s="130"/>
    </row>
    <row r="5" spans="2:7" ht="33" customHeight="1">
      <c r="B5" s="203" t="s">
        <v>492</v>
      </c>
      <c r="C5" s="429" t="s">
        <v>735</v>
      </c>
      <c r="D5" s="203"/>
      <c r="E5" s="203"/>
    </row>
    <row r="6" spans="2:7" ht="48.75" customHeight="1">
      <c r="B6" s="203" t="s">
        <v>522</v>
      </c>
      <c r="C6" s="639" t="str">
        <f>"Contratação de serviços técnicos e especializados para a elaboração de Estudo de Viabilidade Técnica, Econômica e Ambiental (EVTEA) para transporte de passageiros da "&amp;C5&amp;"."</f>
        <v>Contratação de serviços técnicos e especializados para a elaboração de Estudo de Viabilidade Técnica, Econômica e Ambiental (EVTEA) para transporte de passageiros da Ferrovia Centro Atlântica (FCA) / Ferrovia Rumo Malha Sul (RMS).</v>
      </c>
      <c r="D6" s="639"/>
      <c r="E6" s="639"/>
    </row>
    <row r="7" spans="2:7" ht="23.25" customHeight="1">
      <c r="B7" s="203" t="s">
        <v>717</v>
      </c>
      <c r="C7" s="443">
        <v>62</v>
      </c>
      <c r="D7" s="207" t="str">
        <f>Lotes!D2</f>
        <v>FCA</v>
      </c>
      <c r="E7" s="203" t="str">
        <f>Lotes!A2</f>
        <v>Brasília (DF) - Luziânia (GO)</v>
      </c>
    </row>
    <row r="8" spans="2:7" ht="23.25" customHeight="1">
      <c r="B8" s="203" t="s">
        <v>718</v>
      </c>
      <c r="C8" s="443">
        <v>64</v>
      </c>
      <c r="D8" s="207" t="str">
        <f>Lotes!D3</f>
        <v>RMS</v>
      </c>
      <c r="E8" s="203" t="str">
        <f>Lotes!A3</f>
        <v>Rio Grande (RS) - Pelotas (RS)</v>
      </c>
    </row>
    <row r="9" spans="2:7" ht="23.25" customHeight="1">
      <c r="B9" s="203" t="s">
        <v>719</v>
      </c>
      <c r="C9" s="443">
        <v>133</v>
      </c>
      <c r="D9" s="207" t="str">
        <f>Lotes!D4</f>
        <v>RMS</v>
      </c>
      <c r="E9" s="203" t="str">
        <f>Lotes!A4</f>
        <v>Londrina (PR) - Maringá (PR)</v>
      </c>
    </row>
    <row r="10" spans="2:7" ht="33" customHeight="1">
      <c r="B10" s="203" t="s">
        <v>493</v>
      </c>
      <c r="C10" s="492">
        <f>SUM(C7:C9)</f>
        <v>259</v>
      </c>
      <c r="D10" s="203" t="s">
        <v>321</v>
      </c>
      <c r="E10" s="203"/>
    </row>
    <row r="11" spans="2:7" ht="33" customHeight="1">
      <c r="B11" s="203" t="s">
        <v>523</v>
      </c>
      <c r="C11" s="346" t="s">
        <v>742</v>
      </c>
      <c r="D11" s="203"/>
      <c r="E11" s="203"/>
    </row>
    <row r="12" spans="2:7" ht="44.25" customHeight="1">
      <c r="B12" s="206" t="s">
        <v>685</v>
      </c>
      <c r="C12" s="640" t="s">
        <v>743</v>
      </c>
      <c r="D12" s="640"/>
      <c r="E12" s="640"/>
    </row>
    <row r="13" spans="2:7" ht="37.5" customHeight="1">
      <c r="B13" s="203" t="s">
        <v>612</v>
      </c>
      <c r="C13" s="640" t="s">
        <v>744</v>
      </c>
      <c r="D13" s="640"/>
      <c r="E13" s="640"/>
    </row>
    <row r="14" spans="2:7" ht="56.25" customHeight="1">
      <c r="B14" s="206" t="s">
        <v>671</v>
      </c>
      <c r="C14" s="404">
        <f>COUNTA(B7:B9)*6</f>
        <v>18</v>
      </c>
      <c r="D14" s="203" t="s">
        <v>594</v>
      </c>
      <c r="E14" s="496" t="s">
        <v>687</v>
      </c>
      <c r="G14" s="513">
        <v>6</v>
      </c>
    </row>
    <row r="15" spans="2:7" ht="48" customHeight="1">
      <c r="B15" s="206" t="s">
        <v>686</v>
      </c>
      <c r="C15" s="404">
        <v>3</v>
      </c>
      <c r="D15" s="203" t="s">
        <v>594</v>
      </c>
      <c r="E15" s="496" t="str">
        <f>"previsão de inspeção pontual em campo, para verificação de adequações ao transporte de passageiros, com cerca de "&amp;ROUND((C10/4)/C15/G15,2)&amp;" km por dia."</f>
        <v>previsão de inspeção pontual em campo, para verificação de adequações ao transporte de passageiros, com cerca de 4,32 km por dia.</v>
      </c>
      <c r="G15" s="486">
        <v>5</v>
      </c>
    </row>
    <row r="16" spans="2:7" ht="33" customHeight="1">
      <c r="B16" s="203" t="s">
        <v>303</v>
      </c>
      <c r="C16" s="204">
        <f>'TC-CustosGerais'!$B$1</f>
        <v>45200</v>
      </c>
      <c r="D16" s="203"/>
      <c r="E16" s="203"/>
    </row>
    <row r="17" spans="2:9" ht="33" customHeight="1">
      <c r="B17" s="203" t="s">
        <v>302</v>
      </c>
      <c r="C17" s="205">
        <f ca="1">BDI!E23</f>
        <v>0.44600000000000001</v>
      </c>
      <c r="D17" s="203"/>
      <c r="E17" s="203"/>
    </row>
    <row r="18" spans="2:9" ht="33" customHeight="1">
      <c r="B18" s="206" t="s">
        <v>452</v>
      </c>
      <c r="C18" s="207">
        <v>182.49</v>
      </c>
      <c r="D18" s="203" t="s">
        <v>491</v>
      </c>
      <c r="E18" s="203"/>
    </row>
    <row r="19" spans="2:9" ht="12" customHeight="1"/>
    <row r="20" spans="2:9" ht="21" customHeight="1" thickBot="1">
      <c r="G20" s="520"/>
      <c r="H20" s="520"/>
      <c r="I20" s="520"/>
    </row>
    <row r="21" spans="2:9" ht="21" customHeight="1">
      <c r="B21" s="473" t="s">
        <v>611</v>
      </c>
      <c r="C21" s="474"/>
      <c r="D21" s="475"/>
      <c r="G21" s="520"/>
      <c r="H21" s="520"/>
      <c r="I21" s="520"/>
    </row>
    <row r="22" spans="2:9" ht="21" customHeight="1">
      <c r="B22" s="476" t="s">
        <v>605</v>
      </c>
      <c r="C22" s="527">
        <f>SUM('1.PdT'!I18:I25,'2.1.1.EMD.Campo'!I18:I25,'2.1.2.EMD'!I18:I25,'2.2.EEN'!I18:I25,'2.3.EOP'!I18:I25,'2.4.EMA'!I18:I25,'2.5.MEF'!I18:I25,'2.6.AP'!I18:I25,'2.7.TCU'!I18:I25,'2.8.Edital'!I18:I25,'2.9.ADJR'!I18:I25,'3.1.1.EMD.Campo'!I18:I25,'3.1.2.EMD'!I18:I25,'3.2.EEN'!I18:I25,'3.3.EOP'!I18:I25,'3.4.EMA'!I18:I25,'3.5.MEF'!I18:I25,'3.6.AP'!I18:I25,'3.7.TCU'!I18:I25,'3.8.Edital'!I18:I25,'3.9.ADJR'!I18:I25,'4.1.1.EMD.Campo'!I18:I25,'4.1.2.EMD'!I18:I25,'4.2.EEN'!I18:I25,'4.3.EOP'!I18:I25,'4.4.EMA'!I18:I25,'4.5.MEF'!I18:I25,'4.6.AP'!I18:I25,'4.7.TCU'!I18:I25,'4.8.Edital'!I18:I25,'4.9.ADJR'!I18:I25)</f>
        <v>54902.116500000047</v>
      </c>
      <c r="D22" s="477"/>
      <c r="E22" s="598"/>
      <c r="G22" s="520"/>
      <c r="H22" s="520"/>
      <c r="I22" s="520"/>
    </row>
    <row r="23" spans="2:9" ht="21" customHeight="1">
      <c r="B23" s="476" t="s">
        <v>654</v>
      </c>
      <c r="C23" s="527">
        <f ca="1">'1.PdT'!K51+'2.1.1.EMD.Campo'!K51+'2.1.2.EMD'!K51+'2.2.EEN'!K51+'2.3.EOP'!K51+'2.4.EMA'!K51+'2.5.MEF'!K51+'2.6.AP'!K51+'2.7.TCU'!K51+'2.8.Edital'!K51+'2.9.ADJR'!K51+'3.1.1.EMD.Campo'!K51+'3.1.2.EMD'!K51+'3.2.EEN'!K51+'3.3.EOP'!K51+'3.4.EMA'!K51+'3.5.MEF'!K51+'3.6.AP'!K51+'3.7.TCU'!K51+'3.8.Edital'!K51+'3.9.ADJR'!K51+'4.1.1.EMD.Campo'!K51+'4.1.2.EMD'!K51+'4.2.EEN'!K51+'4.3.EOP'!K51+'4.4.EMA'!K51+'4.5.MEF'!K51+'4.6.AP'!K51+'4.7.TCU'!K51+'4.8.Edital'!K51+'4.9.ADJR'!K51+'Inspeção-Veículo'!O20+'Diárias e Passagens'!Q69</f>
        <v>6281283.1700000009</v>
      </c>
      <c r="D23" s="477"/>
      <c r="G23" s="520"/>
      <c r="H23" s="520"/>
      <c r="I23" s="520"/>
    </row>
    <row r="24" spans="2:9" ht="21" customHeight="1">
      <c r="B24" s="476" t="s">
        <v>607</v>
      </c>
      <c r="C24" s="527">
        <f ca="1">Resumo!K15</f>
        <v>6281283.1699999999</v>
      </c>
      <c r="D24" s="477" t="b">
        <f ca="1">ROUND(C24,0)=ROUND(C23,0)</f>
        <v>1</v>
      </c>
    </row>
    <row r="25" spans="2:9" ht="21" customHeight="1">
      <c r="B25" s="476" t="s">
        <v>608</v>
      </c>
      <c r="C25" s="527">
        <f ca="1">Produtos!G42</f>
        <v>6281283.1699999999</v>
      </c>
      <c r="D25" s="477" t="b">
        <f ca="1">ROUND(C25,0)=ROUND(C24,0)</f>
        <v>1</v>
      </c>
    </row>
    <row r="26" spans="2:9" ht="21" customHeight="1">
      <c r="B26" s="476" t="s">
        <v>609</v>
      </c>
      <c r="C26" s="527">
        <f ca="1">Recursos!J4</f>
        <v>6281283.1699999999</v>
      </c>
      <c r="D26" s="477" t="b">
        <f t="shared" ref="D26:D27" ca="1" si="0">ROUND(C26,0)=ROUND(C25,0)</f>
        <v>1</v>
      </c>
    </row>
    <row r="27" spans="2:9" ht="21" customHeight="1" thickBot="1">
      <c r="B27" s="478" t="s">
        <v>610</v>
      </c>
      <c r="C27" s="479">
        <f ca="1">'Resumo-NT'!P9</f>
        <v>6281283.170931601</v>
      </c>
      <c r="D27" s="480" t="b">
        <f t="shared" ca="1" si="0"/>
        <v>1</v>
      </c>
    </row>
    <row r="28" spans="2:9" ht="21" customHeight="1">
      <c r="B28" s="528" t="s">
        <v>717</v>
      </c>
      <c r="C28" s="529">
        <f ca="1">Lotes!H2</f>
        <v>1928269.7499999998</v>
      </c>
      <c r="D28" s="530"/>
    </row>
    <row r="29" spans="2:9" ht="21" customHeight="1">
      <c r="B29" s="476" t="s">
        <v>718</v>
      </c>
      <c r="C29" s="527">
        <f ca="1">Lotes!H3</f>
        <v>1929933.19</v>
      </c>
      <c r="D29" s="477"/>
    </row>
    <row r="30" spans="2:9" ht="21" customHeight="1">
      <c r="B30" s="476" t="s">
        <v>719</v>
      </c>
      <c r="C30" s="527">
        <f ca="1">Lotes!H4</f>
        <v>2171183.62</v>
      </c>
      <c r="D30" s="477"/>
    </row>
    <row r="31" spans="2:9" ht="21" customHeight="1">
      <c r="B31" s="476" t="s">
        <v>720</v>
      </c>
      <c r="C31" s="527">
        <f ca="1">Lotes!H5</f>
        <v>251896.57</v>
      </c>
      <c r="D31" s="477"/>
    </row>
    <row r="32" spans="2:9" ht="15.75" thickBot="1">
      <c r="B32" s="478" t="s">
        <v>683</v>
      </c>
      <c r="C32" s="479">
        <f ca="1">Lotes!H6</f>
        <v>6281283.1299999999</v>
      </c>
      <c r="D32" s="480" t="b">
        <f ca="1">ROUND(C32,0)=ROUND(C27,0)</f>
        <v>1</v>
      </c>
    </row>
  </sheetData>
  <mergeCells count="3">
    <mergeCell ref="C6:E6"/>
    <mergeCell ref="C13:E13"/>
    <mergeCell ref="C12:E12"/>
  </mergeCells>
  <phoneticPr fontId="19" type="noConversion"/>
  <conditionalFormatting sqref="D24:D32">
    <cfRule type="containsText" dxfId="6" priority="3" operator="containsText" text="FALSO">
      <formula>NOT(ISERROR(SEARCH("FALSO",D24)))</formula>
    </cfRule>
    <cfRule type="containsText" dxfId="5" priority="4" operator="containsText" text="VERDADEIRO">
      <formula>NOT(ISERROR(SEARCH("VERDADEIRO",D24)))</formula>
    </cfRule>
  </conditionalFormatting>
  <pageMargins left="0.51181102362204722" right="0.51181102362204722" top="0.78740157480314965" bottom="0.78740157480314965" header="0.31496062992125984" footer="0.31496062992125984"/>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3F27-17C6-42EF-BF1E-68968CFDF292}">
  <sheetPr>
    <tabColor rgb="FF008080"/>
    <pageSetUpPr fitToPage="1"/>
  </sheetPr>
  <dimension ref="A1:K35"/>
  <sheetViews>
    <sheetView workbookViewId="0"/>
  </sheetViews>
  <sheetFormatPr defaultRowHeight="15"/>
  <cols>
    <col min="1" max="1" width="1.42578125" style="142" customWidth="1"/>
    <col min="2" max="2" width="38.140625" style="142" customWidth="1"/>
    <col min="3" max="3" width="25.7109375" style="143" bestFit="1" customWidth="1"/>
    <col min="4" max="5" width="17.42578125" style="143" customWidth="1"/>
    <col min="6" max="6" width="2.7109375" style="143" customWidth="1"/>
    <col min="7" max="7" width="24.140625" style="144" customWidth="1"/>
    <col min="8" max="8" width="51.5703125" style="144" customWidth="1"/>
    <col min="9" max="9" width="12.7109375" style="144" customWidth="1"/>
    <col min="10" max="10" width="1.7109375" style="144" customWidth="1"/>
    <col min="11" max="12" width="13.7109375" style="144" customWidth="1"/>
    <col min="13" max="256" width="9.140625" style="144"/>
    <col min="257" max="257" width="32.28515625" style="144" customWidth="1"/>
    <col min="258" max="258" width="27.5703125" style="144" bestFit="1" customWidth="1"/>
    <col min="259" max="260" width="12.85546875" style="144" bestFit="1" customWidth="1"/>
    <col min="261" max="512" width="9.140625" style="144"/>
    <col min="513" max="513" width="32.28515625" style="144" customWidth="1"/>
    <col min="514" max="514" width="27.5703125" style="144" bestFit="1" customWidth="1"/>
    <col min="515" max="516" width="12.85546875" style="144" bestFit="1" customWidth="1"/>
    <col min="517" max="768" width="9.140625" style="144"/>
    <col min="769" max="769" width="32.28515625" style="144" customWidth="1"/>
    <col min="770" max="770" width="27.5703125" style="144" bestFit="1" customWidth="1"/>
    <col min="771" max="772" width="12.85546875" style="144" bestFit="1" customWidth="1"/>
    <col min="773" max="1024" width="9.140625" style="144"/>
    <col min="1025" max="1025" width="32.28515625" style="144" customWidth="1"/>
    <col min="1026" max="1026" width="27.5703125" style="144" bestFit="1" customWidth="1"/>
    <col min="1027" max="1028" width="12.85546875" style="144" bestFit="1" customWidth="1"/>
    <col min="1029" max="1280" width="9.140625" style="144"/>
    <col min="1281" max="1281" width="32.28515625" style="144" customWidth="1"/>
    <col min="1282" max="1282" width="27.5703125" style="144" bestFit="1" customWidth="1"/>
    <col min="1283" max="1284" width="12.85546875" style="144" bestFit="1" customWidth="1"/>
    <col min="1285" max="1536" width="9.140625" style="144"/>
    <col min="1537" max="1537" width="32.28515625" style="144" customWidth="1"/>
    <col min="1538" max="1538" width="27.5703125" style="144" bestFit="1" customWidth="1"/>
    <col min="1539" max="1540" width="12.85546875" style="144" bestFit="1" customWidth="1"/>
    <col min="1541" max="1792" width="9.140625" style="144"/>
    <col min="1793" max="1793" width="32.28515625" style="144" customWidth="1"/>
    <col min="1794" max="1794" width="27.5703125" style="144" bestFit="1" customWidth="1"/>
    <col min="1795" max="1796" width="12.85546875" style="144" bestFit="1" customWidth="1"/>
    <col min="1797" max="2048" width="9.140625" style="144"/>
    <col min="2049" max="2049" width="32.28515625" style="144" customWidth="1"/>
    <col min="2050" max="2050" width="27.5703125" style="144" bestFit="1" customWidth="1"/>
    <col min="2051" max="2052" width="12.85546875" style="144" bestFit="1" customWidth="1"/>
    <col min="2053" max="2304" width="9.140625" style="144"/>
    <col min="2305" max="2305" width="32.28515625" style="144" customWidth="1"/>
    <col min="2306" max="2306" width="27.5703125" style="144" bestFit="1" customWidth="1"/>
    <col min="2307" max="2308" width="12.85546875" style="144" bestFit="1" customWidth="1"/>
    <col min="2309" max="2560" width="9.140625" style="144"/>
    <col min="2561" max="2561" width="32.28515625" style="144" customWidth="1"/>
    <col min="2562" max="2562" width="27.5703125" style="144" bestFit="1" customWidth="1"/>
    <col min="2563" max="2564" width="12.85546875" style="144" bestFit="1" customWidth="1"/>
    <col min="2565" max="2816" width="9.140625" style="144"/>
    <col min="2817" max="2817" width="32.28515625" style="144" customWidth="1"/>
    <col min="2818" max="2818" width="27.5703125" style="144" bestFit="1" customWidth="1"/>
    <col min="2819" max="2820" width="12.85546875" style="144" bestFit="1" customWidth="1"/>
    <col min="2821" max="3072" width="9.140625" style="144"/>
    <col min="3073" max="3073" width="32.28515625" style="144" customWidth="1"/>
    <col min="3074" max="3074" width="27.5703125" style="144" bestFit="1" customWidth="1"/>
    <col min="3075" max="3076" width="12.85546875" style="144" bestFit="1" customWidth="1"/>
    <col min="3077" max="3328" width="9.140625" style="144"/>
    <col min="3329" max="3329" width="32.28515625" style="144" customWidth="1"/>
    <col min="3330" max="3330" width="27.5703125" style="144" bestFit="1" customWidth="1"/>
    <col min="3331" max="3332" width="12.85546875" style="144" bestFit="1" customWidth="1"/>
    <col min="3333" max="3584" width="9.140625" style="144"/>
    <col min="3585" max="3585" width="32.28515625" style="144" customWidth="1"/>
    <col min="3586" max="3586" width="27.5703125" style="144" bestFit="1" customWidth="1"/>
    <col min="3587" max="3588" width="12.85546875" style="144" bestFit="1" customWidth="1"/>
    <col min="3589" max="3840" width="9.140625" style="144"/>
    <col min="3841" max="3841" width="32.28515625" style="144" customWidth="1"/>
    <col min="3842" max="3842" width="27.5703125" style="144" bestFit="1" customWidth="1"/>
    <col min="3843" max="3844" width="12.85546875" style="144" bestFit="1" customWidth="1"/>
    <col min="3845" max="4096" width="9.140625" style="144"/>
    <col min="4097" max="4097" width="32.28515625" style="144" customWidth="1"/>
    <col min="4098" max="4098" width="27.5703125" style="144" bestFit="1" customWidth="1"/>
    <col min="4099" max="4100" width="12.85546875" style="144" bestFit="1" customWidth="1"/>
    <col min="4101" max="4352" width="9.140625" style="144"/>
    <col min="4353" max="4353" width="32.28515625" style="144" customWidth="1"/>
    <col min="4354" max="4354" width="27.5703125" style="144" bestFit="1" customWidth="1"/>
    <col min="4355" max="4356" width="12.85546875" style="144" bestFit="1" customWidth="1"/>
    <col min="4357" max="4608" width="9.140625" style="144"/>
    <col min="4609" max="4609" width="32.28515625" style="144" customWidth="1"/>
    <col min="4610" max="4610" width="27.5703125" style="144" bestFit="1" customWidth="1"/>
    <col min="4611" max="4612" width="12.85546875" style="144" bestFit="1" customWidth="1"/>
    <col min="4613" max="4864" width="9.140625" style="144"/>
    <col min="4865" max="4865" width="32.28515625" style="144" customWidth="1"/>
    <col min="4866" max="4866" width="27.5703125" style="144" bestFit="1" customWidth="1"/>
    <col min="4867" max="4868" width="12.85546875" style="144" bestFit="1" customWidth="1"/>
    <col min="4869" max="5120" width="9.140625" style="144"/>
    <col min="5121" max="5121" width="32.28515625" style="144" customWidth="1"/>
    <col min="5122" max="5122" width="27.5703125" style="144" bestFit="1" customWidth="1"/>
    <col min="5123" max="5124" width="12.85546875" style="144" bestFit="1" customWidth="1"/>
    <col min="5125" max="5376" width="9.140625" style="144"/>
    <col min="5377" max="5377" width="32.28515625" style="144" customWidth="1"/>
    <col min="5378" max="5378" width="27.5703125" style="144" bestFit="1" customWidth="1"/>
    <col min="5379" max="5380" width="12.85546875" style="144" bestFit="1" customWidth="1"/>
    <col min="5381" max="5632" width="9.140625" style="144"/>
    <col min="5633" max="5633" width="32.28515625" style="144" customWidth="1"/>
    <col min="5634" max="5634" width="27.5703125" style="144" bestFit="1" customWidth="1"/>
    <col min="5635" max="5636" width="12.85546875" style="144" bestFit="1" customWidth="1"/>
    <col min="5637" max="5888" width="9.140625" style="144"/>
    <col min="5889" max="5889" width="32.28515625" style="144" customWidth="1"/>
    <col min="5890" max="5890" width="27.5703125" style="144" bestFit="1" customWidth="1"/>
    <col min="5891" max="5892" width="12.85546875" style="144" bestFit="1" customWidth="1"/>
    <col min="5893" max="6144" width="9.140625" style="144"/>
    <col min="6145" max="6145" width="32.28515625" style="144" customWidth="1"/>
    <col min="6146" max="6146" width="27.5703125" style="144" bestFit="1" customWidth="1"/>
    <col min="6147" max="6148" width="12.85546875" style="144" bestFit="1" customWidth="1"/>
    <col min="6149" max="6400" width="9.140625" style="144"/>
    <col min="6401" max="6401" width="32.28515625" style="144" customWidth="1"/>
    <col min="6402" max="6402" width="27.5703125" style="144" bestFit="1" customWidth="1"/>
    <col min="6403" max="6404" width="12.85546875" style="144" bestFit="1" customWidth="1"/>
    <col min="6405" max="6656" width="9.140625" style="144"/>
    <col min="6657" max="6657" width="32.28515625" style="144" customWidth="1"/>
    <col min="6658" max="6658" width="27.5703125" style="144" bestFit="1" customWidth="1"/>
    <col min="6659" max="6660" width="12.85546875" style="144" bestFit="1" customWidth="1"/>
    <col min="6661" max="6912" width="9.140625" style="144"/>
    <col min="6913" max="6913" width="32.28515625" style="144" customWidth="1"/>
    <col min="6914" max="6914" width="27.5703125" style="144" bestFit="1" customWidth="1"/>
    <col min="6915" max="6916" width="12.85546875" style="144" bestFit="1" customWidth="1"/>
    <col min="6917" max="7168" width="9.140625" style="144"/>
    <col min="7169" max="7169" width="32.28515625" style="144" customWidth="1"/>
    <col min="7170" max="7170" width="27.5703125" style="144" bestFit="1" customWidth="1"/>
    <col min="7171" max="7172" width="12.85546875" style="144" bestFit="1" customWidth="1"/>
    <col min="7173" max="7424" width="9.140625" style="144"/>
    <col min="7425" max="7425" width="32.28515625" style="144" customWidth="1"/>
    <col min="7426" max="7426" width="27.5703125" style="144" bestFit="1" customWidth="1"/>
    <col min="7427" max="7428" width="12.85546875" style="144" bestFit="1" customWidth="1"/>
    <col min="7429" max="7680" width="9.140625" style="144"/>
    <col min="7681" max="7681" width="32.28515625" style="144" customWidth="1"/>
    <col min="7682" max="7682" width="27.5703125" style="144" bestFit="1" customWidth="1"/>
    <col min="7683" max="7684" width="12.85546875" style="144" bestFit="1" customWidth="1"/>
    <col min="7685" max="7936" width="9.140625" style="144"/>
    <col min="7937" max="7937" width="32.28515625" style="144" customWidth="1"/>
    <col min="7938" max="7938" width="27.5703125" style="144" bestFit="1" customWidth="1"/>
    <col min="7939" max="7940" width="12.85546875" style="144" bestFit="1" customWidth="1"/>
    <col min="7941" max="8192" width="9.140625" style="144"/>
    <col min="8193" max="8193" width="32.28515625" style="144" customWidth="1"/>
    <col min="8194" max="8194" width="27.5703125" style="144" bestFit="1" customWidth="1"/>
    <col min="8195" max="8196" width="12.85546875" style="144" bestFit="1" customWidth="1"/>
    <col min="8197" max="8448" width="9.140625" style="144"/>
    <col min="8449" max="8449" width="32.28515625" style="144" customWidth="1"/>
    <col min="8450" max="8450" width="27.5703125" style="144" bestFit="1" customWidth="1"/>
    <col min="8451" max="8452" width="12.85546875" style="144" bestFit="1" customWidth="1"/>
    <col min="8453" max="8704" width="9.140625" style="144"/>
    <col min="8705" max="8705" width="32.28515625" style="144" customWidth="1"/>
    <col min="8706" max="8706" width="27.5703125" style="144" bestFit="1" customWidth="1"/>
    <col min="8707" max="8708" width="12.85546875" style="144" bestFit="1" customWidth="1"/>
    <col min="8709" max="8960" width="9.140625" style="144"/>
    <col min="8961" max="8961" width="32.28515625" style="144" customWidth="1"/>
    <col min="8962" max="8962" width="27.5703125" style="144" bestFit="1" customWidth="1"/>
    <col min="8963" max="8964" width="12.85546875" style="144" bestFit="1" customWidth="1"/>
    <col min="8965" max="9216" width="9.140625" style="144"/>
    <col min="9217" max="9217" width="32.28515625" style="144" customWidth="1"/>
    <col min="9218" max="9218" width="27.5703125" style="144" bestFit="1" customWidth="1"/>
    <col min="9219" max="9220" width="12.85546875" style="144" bestFit="1" customWidth="1"/>
    <col min="9221" max="9472" width="9.140625" style="144"/>
    <col min="9473" max="9473" width="32.28515625" style="144" customWidth="1"/>
    <col min="9474" max="9474" width="27.5703125" style="144" bestFit="1" customWidth="1"/>
    <col min="9475" max="9476" width="12.85546875" style="144" bestFit="1" customWidth="1"/>
    <col min="9477" max="9728" width="9.140625" style="144"/>
    <col min="9729" max="9729" width="32.28515625" style="144" customWidth="1"/>
    <col min="9730" max="9730" width="27.5703125" style="144" bestFit="1" customWidth="1"/>
    <col min="9731" max="9732" width="12.85546875" style="144" bestFit="1" customWidth="1"/>
    <col min="9733" max="9984" width="9.140625" style="144"/>
    <col min="9985" max="9985" width="32.28515625" style="144" customWidth="1"/>
    <col min="9986" max="9986" width="27.5703125" style="144" bestFit="1" customWidth="1"/>
    <col min="9987" max="9988" width="12.85546875" style="144" bestFit="1" customWidth="1"/>
    <col min="9989" max="10240" width="9.140625" style="144"/>
    <col min="10241" max="10241" width="32.28515625" style="144" customWidth="1"/>
    <col min="10242" max="10242" width="27.5703125" style="144" bestFit="1" customWidth="1"/>
    <col min="10243" max="10244" width="12.85546875" style="144" bestFit="1" customWidth="1"/>
    <col min="10245" max="10496" width="9.140625" style="144"/>
    <col min="10497" max="10497" width="32.28515625" style="144" customWidth="1"/>
    <col min="10498" max="10498" width="27.5703125" style="144" bestFit="1" customWidth="1"/>
    <col min="10499" max="10500" width="12.85546875" style="144" bestFit="1" customWidth="1"/>
    <col min="10501" max="10752" width="9.140625" style="144"/>
    <col min="10753" max="10753" width="32.28515625" style="144" customWidth="1"/>
    <col min="10754" max="10754" width="27.5703125" style="144" bestFit="1" customWidth="1"/>
    <col min="10755" max="10756" width="12.85546875" style="144" bestFit="1" customWidth="1"/>
    <col min="10757" max="11008" width="9.140625" style="144"/>
    <col min="11009" max="11009" width="32.28515625" style="144" customWidth="1"/>
    <col min="11010" max="11010" width="27.5703125" style="144" bestFit="1" customWidth="1"/>
    <col min="11011" max="11012" width="12.85546875" style="144" bestFit="1" customWidth="1"/>
    <col min="11013" max="11264" width="9.140625" style="144"/>
    <col min="11265" max="11265" width="32.28515625" style="144" customWidth="1"/>
    <col min="11266" max="11266" width="27.5703125" style="144" bestFit="1" customWidth="1"/>
    <col min="11267" max="11268" width="12.85546875" style="144" bestFit="1" customWidth="1"/>
    <col min="11269" max="11520" width="9.140625" style="144"/>
    <col min="11521" max="11521" width="32.28515625" style="144" customWidth="1"/>
    <col min="11522" max="11522" width="27.5703125" style="144" bestFit="1" customWidth="1"/>
    <col min="11523" max="11524" width="12.85546875" style="144" bestFit="1" customWidth="1"/>
    <col min="11525" max="11776" width="9.140625" style="144"/>
    <col min="11777" max="11777" width="32.28515625" style="144" customWidth="1"/>
    <col min="11778" max="11778" width="27.5703125" style="144" bestFit="1" customWidth="1"/>
    <col min="11779" max="11780" width="12.85546875" style="144" bestFit="1" customWidth="1"/>
    <col min="11781" max="12032" width="9.140625" style="144"/>
    <col min="12033" max="12033" width="32.28515625" style="144" customWidth="1"/>
    <col min="12034" max="12034" width="27.5703125" style="144" bestFit="1" customWidth="1"/>
    <col min="12035" max="12036" width="12.85546875" style="144" bestFit="1" customWidth="1"/>
    <col min="12037" max="12288" width="9.140625" style="144"/>
    <col min="12289" max="12289" width="32.28515625" style="144" customWidth="1"/>
    <col min="12290" max="12290" width="27.5703125" style="144" bestFit="1" customWidth="1"/>
    <col min="12291" max="12292" width="12.85546875" style="144" bestFit="1" customWidth="1"/>
    <col min="12293" max="12544" width="9.140625" style="144"/>
    <col min="12545" max="12545" width="32.28515625" style="144" customWidth="1"/>
    <col min="12546" max="12546" width="27.5703125" style="144" bestFit="1" customWidth="1"/>
    <col min="12547" max="12548" width="12.85546875" style="144" bestFit="1" customWidth="1"/>
    <col min="12549" max="12800" width="9.140625" style="144"/>
    <col min="12801" max="12801" width="32.28515625" style="144" customWidth="1"/>
    <col min="12802" max="12802" width="27.5703125" style="144" bestFit="1" customWidth="1"/>
    <col min="12803" max="12804" width="12.85546875" style="144" bestFit="1" customWidth="1"/>
    <col min="12805" max="13056" width="9.140625" style="144"/>
    <col min="13057" max="13057" width="32.28515625" style="144" customWidth="1"/>
    <col min="13058" max="13058" width="27.5703125" style="144" bestFit="1" customWidth="1"/>
    <col min="13059" max="13060" width="12.85546875" style="144" bestFit="1" customWidth="1"/>
    <col min="13061" max="13312" width="9.140625" style="144"/>
    <col min="13313" max="13313" width="32.28515625" style="144" customWidth="1"/>
    <col min="13314" max="13314" width="27.5703125" style="144" bestFit="1" customWidth="1"/>
    <col min="13315" max="13316" width="12.85546875" style="144" bestFit="1" customWidth="1"/>
    <col min="13317" max="13568" width="9.140625" style="144"/>
    <col min="13569" max="13569" width="32.28515625" style="144" customWidth="1"/>
    <col min="13570" max="13570" width="27.5703125" style="144" bestFit="1" customWidth="1"/>
    <col min="13571" max="13572" width="12.85546875" style="144" bestFit="1" customWidth="1"/>
    <col min="13573" max="13824" width="9.140625" style="144"/>
    <col min="13825" max="13825" width="32.28515625" style="144" customWidth="1"/>
    <col min="13826" max="13826" width="27.5703125" style="144" bestFit="1" customWidth="1"/>
    <col min="13827" max="13828" width="12.85546875" style="144" bestFit="1" customWidth="1"/>
    <col min="13829" max="14080" width="9.140625" style="144"/>
    <col min="14081" max="14081" width="32.28515625" style="144" customWidth="1"/>
    <col min="14082" max="14082" width="27.5703125" style="144" bestFit="1" customWidth="1"/>
    <col min="14083" max="14084" width="12.85546875" style="144" bestFit="1" customWidth="1"/>
    <col min="14085" max="14336" width="9.140625" style="144"/>
    <col min="14337" max="14337" width="32.28515625" style="144" customWidth="1"/>
    <col min="14338" max="14338" width="27.5703125" style="144" bestFit="1" customWidth="1"/>
    <col min="14339" max="14340" width="12.85546875" style="144" bestFit="1" customWidth="1"/>
    <col min="14341" max="14592" width="9.140625" style="144"/>
    <col min="14593" max="14593" width="32.28515625" style="144" customWidth="1"/>
    <col min="14594" max="14594" width="27.5703125" style="144" bestFit="1" customWidth="1"/>
    <col min="14595" max="14596" width="12.85546875" style="144" bestFit="1" customWidth="1"/>
    <col min="14597" max="14848" width="9.140625" style="144"/>
    <col min="14849" max="14849" width="32.28515625" style="144" customWidth="1"/>
    <col min="14850" max="14850" width="27.5703125" style="144" bestFit="1" customWidth="1"/>
    <col min="14851" max="14852" width="12.85546875" style="144" bestFit="1" customWidth="1"/>
    <col min="14853" max="15104" width="9.140625" style="144"/>
    <col min="15105" max="15105" width="32.28515625" style="144" customWidth="1"/>
    <col min="15106" max="15106" width="27.5703125" style="144" bestFit="1" customWidth="1"/>
    <col min="15107" max="15108" width="12.85546875" style="144" bestFit="1" customWidth="1"/>
    <col min="15109" max="15360" width="9.140625" style="144"/>
    <col min="15361" max="15361" width="32.28515625" style="144" customWidth="1"/>
    <col min="15362" max="15362" width="27.5703125" style="144" bestFit="1" customWidth="1"/>
    <col min="15363" max="15364" width="12.85546875" style="144" bestFit="1" customWidth="1"/>
    <col min="15365" max="15616" width="9.140625" style="144"/>
    <col min="15617" max="15617" width="32.28515625" style="144" customWidth="1"/>
    <col min="15618" max="15618" width="27.5703125" style="144" bestFit="1" customWidth="1"/>
    <col min="15619" max="15620" width="12.85546875" style="144" bestFit="1" customWidth="1"/>
    <col min="15621" max="15872" width="9.140625" style="144"/>
    <col min="15873" max="15873" width="32.28515625" style="144" customWidth="1"/>
    <col min="15874" max="15874" width="27.5703125" style="144" bestFit="1" customWidth="1"/>
    <col min="15875" max="15876" width="12.85546875" style="144" bestFit="1" customWidth="1"/>
    <col min="15877" max="16128" width="9.140625" style="144"/>
    <col min="16129" max="16129" width="32.28515625" style="144" customWidth="1"/>
    <col min="16130" max="16130" width="27.5703125" style="144" bestFit="1" customWidth="1"/>
    <col min="16131" max="16132" width="12.85546875" style="144" bestFit="1" customWidth="1"/>
    <col min="16133" max="16384" width="9.140625" style="144"/>
  </cols>
  <sheetData>
    <row r="1" spans="1:11" ht="6.6" customHeight="1"/>
    <row r="2" spans="1:11" ht="19.899999999999999" customHeight="1">
      <c r="B2" s="708" t="s">
        <v>580</v>
      </c>
      <c r="C2" s="709"/>
      <c r="D2" s="709"/>
      <c r="E2" s="710"/>
      <c r="F2" s="142"/>
      <c r="G2" s="145" t="s">
        <v>353</v>
      </c>
    </row>
    <row r="3" spans="1:11" ht="16.149999999999999" customHeight="1">
      <c r="B3" s="711" t="s">
        <v>354</v>
      </c>
      <c r="C3" s="712"/>
      <c r="D3" s="712"/>
      <c r="E3" s="713"/>
      <c r="F3" s="142"/>
      <c r="G3" s="146" t="s">
        <v>355</v>
      </c>
      <c r="H3" s="147" t="s">
        <v>354</v>
      </c>
      <c r="K3" s="148"/>
    </row>
    <row r="4" spans="1:11" ht="16.149999999999999" customHeight="1">
      <c r="B4" s="714" t="s">
        <v>356</v>
      </c>
      <c r="C4" s="714"/>
      <c r="D4" s="149" t="s">
        <v>357</v>
      </c>
      <c r="E4" s="149" t="s">
        <v>358</v>
      </c>
      <c r="F4" s="142"/>
      <c r="G4" s="146" t="s">
        <v>359</v>
      </c>
      <c r="H4" s="150">
        <v>10.75</v>
      </c>
      <c r="K4" s="148"/>
    </row>
    <row r="5" spans="1:11" s="156" customFormat="1" ht="16.149999999999999" customHeight="1">
      <c r="A5" s="151"/>
      <c r="B5" s="377" t="s">
        <v>360</v>
      </c>
      <c r="C5" s="152" t="s">
        <v>361</v>
      </c>
      <c r="D5" s="153">
        <f ca="1">ROUND((E$5*D$23/E$23),4)</f>
        <v>6.9147999999999996</v>
      </c>
      <c r="E5" s="378">
        <v>10</v>
      </c>
      <c r="F5" s="151"/>
      <c r="G5" s="146" t="s">
        <v>362</v>
      </c>
      <c r="H5" s="154">
        <v>5</v>
      </c>
      <c r="I5" s="155"/>
    </row>
    <row r="6" spans="1:11" ht="16.149999999999999" customHeight="1">
      <c r="B6" s="379" t="s">
        <v>363</v>
      </c>
      <c r="C6" s="157">
        <f>ROUND((((((1+($H$4/100))^(1/12))-1)*100)),2)</f>
        <v>0.85</v>
      </c>
      <c r="D6" s="153">
        <f ca="1">ROUND(((1-(D12/100))*$C$6),4)</f>
        <v>0.77949999999999997</v>
      </c>
      <c r="E6" s="165">
        <f ca="1">ROUND(D6*E$23/D$23,4)</f>
        <v>1.1273</v>
      </c>
      <c r="F6" s="142"/>
      <c r="G6" s="146" t="s">
        <v>364</v>
      </c>
      <c r="H6" s="158" t="s">
        <v>365</v>
      </c>
    </row>
    <row r="7" spans="1:11" ht="16.149999999999999" customHeight="1">
      <c r="B7" s="379" t="s">
        <v>366</v>
      </c>
      <c r="C7" s="159">
        <v>0.1</v>
      </c>
      <c r="D7" s="153">
        <f>C7</f>
        <v>0.1</v>
      </c>
      <c r="E7" s="165">
        <f ca="1">ROUND(D7*E$23/D$23,4)</f>
        <v>0.14460000000000001</v>
      </c>
      <c r="F7" s="142"/>
      <c r="G7" s="146" t="s">
        <v>367</v>
      </c>
      <c r="H7" s="158" t="s">
        <v>365</v>
      </c>
    </row>
    <row r="8" spans="1:11" ht="16.149999999999999" customHeight="1">
      <c r="B8" s="379" t="s">
        <v>368</v>
      </c>
      <c r="C8" s="159">
        <v>0.5</v>
      </c>
      <c r="D8" s="153">
        <f>C8</f>
        <v>0.5</v>
      </c>
      <c r="E8" s="165">
        <f ca="1">ROUND(D8*E$23/D$23,4)</f>
        <v>0.72309999999999997</v>
      </c>
      <c r="F8" s="142"/>
      <c r="G8" s="146" t="s">
        <v>369</v>
      </c>
      <c r="H8" s="158" t="s">
        <v>370</v>
      </c>
    </row>
    <row r="9" spans="1:11" ht="16.149999999999999" customHeight="1">
      <c r="B9" s="379"/>
      <c r="C9" s="160"/>
      <c r="D9" s="153"/>
      <c r="E9" s="165"/>
      <c r="F9" s="142"/>
    </row>
    <row r="10" spans="1:11" ht="16.149999999999999" customHeight="1">
      <c r="B10" s="380"/>
      <c r="C10" s="161" t="s">
        <v>371</v>
      </c>
      <c r="D10" s="162">
        <f ca="1">SUM(D$5:D$9)</f>
        <v>8.2942999999999998</v>
      </c>
      <c r="E10" s="381">
        <f ca="1">SUM(E$5:E$9)</f>
        <v>11.995000000000001</v>
      </c>
      <c r="F10" s="142"/>
    </row>
    <row r="11" spans="1:11" s="156" customFormat="1" ht="16.149999999999999" customHeight="1">
      <c r="A11" s="151"/>
      <c r="B11" s="714" t="s">
        <v>372</v>
      </c>
      <c r="C11" s="714"/>
      <c r="D11" s="163" t="s">
        <v>357</v>
      </c>
      <c r="E11" s="163" t="s">
        <v>358</v>
      </c>
      <c r="F11" s="151"/>
    </row>
    <row r="12" spans="1:11" s="156" customFormat="1" ht="16.149999999999999" customHeight="1">
      <c r="A12" s="151"/>
      <c r="B12" s="377" t="s">
        <v>373</v>
      </c>
      <c r="C12" s="152" t="s">
        <v>361</v>
      </c>
      <c r="D12" s="153">
        <f ca="1">ROUNDUP((E$12*D$23/E$23),4)</f>
        <v>8.2978000000000005</v>
      </c>
      <c r="E12" s="378">
        <v>12</v>
      </c>
      <c r="F12" s="151"/>
      <c r="G12" s="144"/>
    </row>
    <row r="13" spans="1:11" ht="16.149999999999999" customHeight="1">
      <c r="B13" s="379"/>
      <c r="C13" s="160"/>
      <c r="D13" s="153"/>
      <c r="E13" s="165"/>
      <c r="F13" s="142"/>
    </row>
    <row r="14" spans="1:11" ht="16.149999999999999" customHeight="1">
      <c r="B14" s="380"/>
      <c r="C14" s="161" t="s">
        <v>374</v>
      </c>
      <c r="D14" s="162">
        <f ca="1">SUM(D12:D13)</f>
        <v>8.2978000000000005</v>
      </c>
      <c r="E14" s="162">
        <f>SUM(E12:E13)</f>
        <v>12</v>
      </c>
      <c r="F14" s="142"/>
    </row>
    <row r="15" spans="1:11" ht="16.149999999999999" customHeight="1">
      <c r="B15" s="714" t="s">
        <v>375</v>
      </c>
      <c r="C15" s="714"/>
      <c r="D15" s="163" t="s">
        <v>357</v>
      </c>
      <c r="E15" s="163" t="s">
        <v>358</v>
      </c>
      <c r="F15" s="142"/>
    </row>
    <row r="16" spans="1:11" ht="16.149999999999999" customHeight="1">
      <c r="B16" s="377" t="s">
        <v>376</v>
      </c>
      <c r="C16" s="164">
        <f>IF(H7="SIM",0,0.0165)</f>
        <v>1.6500000000000001E-2</v>
      </c>
      <c r="D16" s="165">
        <f>IF(C16=0,"REIDI",$C16*100)</f>
        <v>1.6500000000000001</v>
      </c>
      <c r="E16" s="378">
        <f ca="1">IF(C16=0,"REIDI",ROUND(D16*E$23/D$23,4))</f>
        <v>2.3862000000000001</v>
      </c>
      <c r="F16" s="142"/>
    </row>
    <row r="17" spans="2:6" ht="16.149999999999999" customHeight="1">
      <c r="B17" s="379" t="s">
        <v>377</v>
      </c>
      <c r="C17" s="164">
        <f>IF(H7="SIM",0,0.076)</f>
        <v>7.5999999999999998E-2</v>
      </c>
      <c r="D17" s="165">
        <f>IF(C17=0,"REIDI",$C17*100)</f>
        <v>7.6</v>
      </c>
      <c r="E17" s="165">
        <f ca="1">IF(C17=0,"REIDI",ROUND(D17*E$23/D$23,4))</f>
        <v>10.9909</v>
      </c>
      <c r="F17" s="142"/>
    </row>
    <row r="18" spans="2:6" ht="16.149999999999999" customHeight="1">
      <c r="B18" s="379" t="s">
        <v>579</v>
      </c>
      <c r="C18" s="159">
        <f>$H$5</f>
        <v>5</v>
      </c>
      <c r="D18" s="165">
        <f>$H$5</f>
        <v>5</v>
      </c>
      <c r="E18" s="165">
        <f ca="1">ROUND(D18*E$23/D$23,4)</f>
        <v>7.2309000000000001</v>
      </c>
      <c r="F18" s="142"/>
    </row>
    <row r="19" spans="2:6" ht="16.149999999999999" customHeight="1">
      <c r="B19" s="382" t="str">
        <f>IF(H6="SIM","CPRB","")</f>
        <v/>
      </c>
      <c r="C19" s="164" t="str">
        <f>IF(H6="SIM",0.045,"")</f>
        <v/>
      </c>
      <c r="D19" s="165" t="str">
        <f>IF(C19="","",$C19*100)</f>
        <v/>
      </c>
      <c r="E19" s="165" t="str">
        <f>IF(C19="","",$D$19*$E$23/$D$23)</f>
        <v/>
      </c>
      <c r="F19" s="142"/>
    </row>
    <row r="20" spans="2:6" ht="16.149999999999999" customHeight="1">
      <c r="B20" s="382"/>
      <c r="C20" s="160"/>
      <c r="D20" s="165"/>
      <c r="E20" s="165"/>
      <c r="F20" s="142"/>
    </row>
    <row r="21" spans="2:6" ht="16.149999999999999" customHeight="1">
      <c r="B21" s="383"/>
      <c r="C21" s="166" t="s">
        <v>378</v>
      </c>
      <c r="D21" s="167">
        <f>SUM(D$16:D$19)</f>
        <v>14.25</v>
      </c>
      <c r="E21" s="167">
        <f ca="1">ROUND(SUM(E$16:E$19),4)</f>
        <v>20.608000000000001</v>
      </c>
      <c r="F21" s="142"/>
    </row>
    <row r="22" spans="2:6" ht="16.149999999999999" hidden="1" customHeight="1" thickBot="1">
      <c r="B22" s="383"/>
      <c r="C22" s="166" t="s">
        <v>379</v>
      </c>
      <c r="D22" s="168">
        <f ca="1">SUM(D6:D8)+SUM(D16:D19)</f>
        <v>15.6295</v>
      </c>
      <c r="E22" s="168">
        <f>E5+E12</f>
        <v>22</v>
      </c>
      <c r="F22" s="142"/>
    </row>
    <row r="23" spans="2:6" ht="19.899999999999999" customHeight="1">
      <c r="B23" s="384" t="s">
        <v>380</v>
      </c>
      <c r="C23" s="385"/>
      <c r="D23" s="386">
        <f ca="1">ROUND(((D$22/100)+(E$22/100))/(1+(E$22/100)),4)</f>
        <v>0.30840000000000001</v>
      </c>
      <c r="E23" s="387">
        <f ca="1">ROUND(((D$22/100)+(E$22/100))/(1-(D$22/100)),4)</f>
        <v>0.44600000000000001</v>
      </c>
      <c r="F23" s="142"/>
    </row>
    <row r="24" spans="2:6" ht="30.75" customHeight="1">
      <c r="B24" s="707" t="s">
        <v>578</v>
      </c>
      <c r="C24" s="707"/>
      <c r="D24" s="707"/>
      <c r="E24" s="707"/>
      <c r="F24" s="142"/>
    </row>
    <row r="25" spans="2:6" ht="20.100000000000001" customHeight="1">
      <c r="F25" s="142"/>
    </row>
    <row r="26" spans="2:6" ht="20.100000000000001" customHeight="1"/>
    <row r="27" spans="2:6" ht="20.100000000000001" customHeight="1"/>
    <row r="28" spans="2:6" ht="20.100000000000001" customHeight="1"/>
    <row r="29" spans="2:6" ht="20.100000000000001" customHeight="1"/>
    <row r="30" spans="2:6" ht="20.100000000000001" customHeight="1"/>
    <row r="31" spans="2:6" ht="20.100000000000001" customHeight="1"/>
    <row r="32" spans="2:6" ht="20.100000000000001" customHeight="1"/>
    <row r="33" ht="20.100000000000001" customHeight="1"/>
    <row r="34" ht="20.100000000000001" customHeight="1"/>
    <row r="35" ht="20.100000000000001" customHeight="1"/>
  </sheetData>
  <mergeCells count="6">
    <mergeCell ref="B24:E24"/>
    <mergeCell ref="B2:E2"/>
    <mergeCell ref="B3:E3"/>
    <mergeCell ref="B4:C4"/>
    <mergeCell ref="B11:C11"/>
    <mergeCell ref="B15:C15"/>
  </mergeCells>
  <dataValidations count="1">
    <dataValidation type="list" allowBlank="1" showInputMessage="1" showErrorMessage="1" sqref="H6:H7" xr:uid="{0FD650E0-BA89-41AB-95B1-29FE9E8FFA39}">
      <formula1>"NÃO, SIM"</formula1>
    </dataValidation>
  </dataValidations>
  <pageMargins left="0.25" right="0.25" top="0.75" bottom="0.75" header="0.3" footer="0.3"/>
  <pageSetup paperSize="9" scale="9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C983C-4A8F-4394-95C4-8B224B295AC8}">
  <sheetPr>
    <tabColor rgb="FF008080"/>
    <pageSetUpPr fitToPage="1"/>
  </sheetPr>
  <dimension ref="A1:O52"/>
  <sheetViews>
    <sheetView topLeftCell="A26"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'Cronograma'!D4</f>
        <v>1</v>
      </c>
    </row>
    <row r="8" spans="1:11">
      <c r="B8" s="719" t="str">
        <f>CONCATENATE("",'Alocação MO'!C4)</f>
        <v>Plano de Trabalho</v>
      </c>
      <c r="C8" s="720"/>
      <c r="D8" s="720"/>
      <c r="E8" s="720"/>
      <c r="F8" s="720"/>
      <c r="G8" s="720"/>
      <c r="H8" s="720"/>
      <c r="I8" s="18"/>
      <c r="J8" s="18" t="s">
        <v>105</v>
      </c>
      <c r="K8" s="19" t="s">
        <v>106</v>
      </c>
    </row>
    <row r="9" spans="1:11">
      <c r="B9" s="719"/>
      <c r="C9" s="720"/>
      <c r="D9" s="720"/>
      <c r="E9" s="720"/>
      <c r="F9" s="721"/>
      <c r="G9" s="721"/>
      <c r="H9" s="721"/>
      <c r="I9" s="20"/>
      <c r="J9" s="20" t="s">
        <v>107</v>
      </c>
      <c r="K9" s="21">
        <v>1</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Equip.Info!A4</f>
        <v>EQSF002</v>
      </c>
      <c r="C12" s="715" t="str">
        <f>VLOOKUP(B12,Equip.Info!A:I,2,FALSE)</f>
        <v>Laptop completo, processador Intel Core i5, 16GB memória, Resolução 3.840x2.160 (4K), PV GPU de 4GB e Sistema Operacional.</v>
      </c>
      <c r="D12" s="715"/>
      <c r="E12" s="716"/>
      <c r="F12" s="107">
        <f>SUM(I18:I25)</f>
        <v>1140.5625</v>
      </c>
      <c r="G12" s="107">
        <v>1</v>
      </c>
      <c r="H12" s="107">
        <v>0</v>
      </c>
      <c r="I12" s="107">
        <f>IF(B12="","",VLOOKUP($B12,Equip.Info!$A:$I,8,FALSE))</f>
        <v>0.217</v>
      </c>
      <c r="J12" s="107">
        <f>IF(B12="","",VLOOKUP($B12,Equip.Info!$A:$I,9,FALSE))</f>
        <v>0.14369999999999999</v>
      </c>
      <c r="K12" s="118">
        <f>ROUND(F12*(G12*I12+H12*J12),4)</f>
        <v>247.50210000000001</v>
      </c>
    </row>
    <row r="13" spans="1:11" ht="39.75" customHeight="1">
      <c r="B13" s="33"/>
      <c r="C13" s="730"/>
      <c r="D13" s="730"/>
      <c r="E13" s="731"/>
      <c r="F13" s="108"/>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247.50210000000001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P8061</v>
      </c>
      <c r="C18" s="732" t="s">
        <v>35</v>
      </c>
      <c r="D18" s="732"/>
      <c r="E18" s="732"/>
      <c r="F18" s="54">
        <v>0.25</v>
      </c>
      <c r="G18" s="55">
        <f>INDEX(MO[],MATCH($B$8,MO[Descrição dos Produtos],0),MATCH(C18,MO[#Headers],0))</f>
        <v>1</v>
      </c>
      <c r="H18" s="52">
        <f>F18*G18*$K$7</f>
        <v>0.25</v>
      </c>
      <c r="I18" s="56">
        <f>H18*182.49</f>
        <v>45.622500000000002</v>
      </c>
      <c r="J18" s="53">
        <f>IF(ISBLANK(B18),0,VLOOKUP(B18,'TC 10-2023'!B:Z,25,TRUE)/182.49)</f>
        <v>174.03671434051179</v>
      </c>
      <c r="K18" s="35">
        <f>ROUND(J18*I18,4)</f>
        <v>7939.99</v>
      </c>
    </row>
    <row r="19" spans="2:15" ht="15" customHeight="1">
      <c r="B19" s="37" t="str">
        <f>IF(ISBLANK(C19),0,VLOOKUP(C19,Categorias!$A$4:$B$83,2,FALSE))</f>
        <v>P8044</v>
      </c>
      <c r="C19" s="732" t="s">
        <v>24</v>
      </c>
      <c r="D19" s="732"/>
      <c r="E19" s="732"/>
      <c r="F19" s="54">
        <v>1</v>
      </c>
      <c r="G19" s="55">
        <f>INDEX(MO[],MATCH($B$8,MO[Descrição dos Produtos],0),MATCH(C19,MO[#Headers],0))</f>
        <v>1</v>
      </c>
      <c r="H19" s="52">
        <f t="shared" ref="H19:H22" si="0">F19*G19*$K$7</f>
        <v>1</v>
      </c>
      <c r="I19" s="56">
        <f t="shared" ref="I19:I22" si="1">H19*182.49</f>
        <v>182.49</v>
      </c>
      <c r="J19" s="53">
        <f>IF(ISBLANK(B19),0,VLOOKUP(B19,'TC 10-2023'!B:Z,25,TRUE)/182.49)</f>
        <v>172.51148008110033</v>
      </c>
      <c r="K19" s="35">
        <f t="shared" ref="K19:K24" si="2">ROUND(J19*I19,4)</f>
        <v>31481.62</v>
      </c>
    </row>
    <row r="20" spans="2:15" ht="15" customHeight="1">
      <c r="B20" s="37" t="str">
        <f>IF(ISBLANK(C20),0,VLOOKUP(C20,Categorias!$A$4:$B$83,2,FALSE))</f>
        <v>P8060</v>
      </c>
      <c r="C20" s="105" t="s">
        <v>34</v>
      </c>
      <c r="D20" s="105"/>
      <c r="E20" s="105"/>
      <c r="F20" s="54">
        <v>1</v>
      </c>
      <c r="G20" s="55">
        <f>INDEX(MO[],MATCH($B$8,MO[Descrição dos Produtos],0),MATCH(C20,MO[#Headers],0))</f>
        <v>1</v>
      </c>
      <c r="H20" s="52">
        <f t="shared" si="0"/>
        <v>1</v>
      </c>
      <c r="I20" s="56">
        <f t="shared" si="1"/>
        <v>182.49</v>
      </c>
      <c r="J20" s="53">
        <f>IF(ISBLANK(B20),0,VLOOKUP(B20,'TC 10-2023'!B:Z,25,TRUE)/182.49)</f>
        <v>207.71921749136939</v>
      </c>
      <c r="K20" s="35">
        <f t="shared" si="2"/>
        <v>37906.68</v>
      </c>
    </row>
    <row r="21" spans="2:15" ht="15" customHeight="1">
      <c r="B21" s="37" t="str">
        <f>IF(ISBLANK(C21),0,VLOOKUP(C21,Categorias!$A$4:$B$83,2,FALSE))</f>
        <v>P8067</v>
      </c>
      <c r="C21" s="105" t="s">
        <v>41</v>
      </c>
      <c r="D21" s="105"/>
      <c r="E21" s="105"/>
      <c r="F21" s="54">
        <v>1</v>
      </c>
      <c r="G21" s="55">
        <f>INDEX(MO[],MATCH($B$8,MO[Descrição dos Produtos],0),MATCH(C21,MO[#Headers],0))</f>
        <v>1</v>
      </c>
      <c r="H21" s="52">
        <f t="shared" si="0"/>
        <v>1</v>
      </c>
      <c r="I21" s="56">
        <f t="shared" si="1"/>
        <v>182.49</v>
      </c>
      <c r="J21" s="53">
        <f>IF(ISBLANK(B21),0,VLOOKUP(B21,'TC 10-2023'!B:Z,25,TRUE)/182.49)</f>
        <v>151.26779549564358</v>
      </c>
      <c r="K21" s="35">
        <f t="shared" si="2"/>
        <v>27604.86</v>
      </c>
    </row>
    <row r="22" spans="2:15" ht="15" customHeight="1">
      <c r="B22" s="37" t="str">
        <f>IF(ISBLANK(C22),0,VLOOKUP(C22,Categorias!$A$4:$B$83,2,FALSE))</f>
        <v>P8066</v>
      </c>
      <c r="C22" s="105" t="s">
        <v>40</v>
      </c>
      <c r="D22" s="105"/>
      <c r="E22" s="105"/>
      <c r="F22" s="54">
        <v>1</v>
      </c>
      <c r="G22" s="55">
        <f>INDEX(MO[],MATCH($B$8,MO[Descrição dos Produtos],0),MATCH(C22,MO[#Headers],0))</f>
        <v>1</v>
      </c>
      <c r="H22" s="52">
        <f t="shared" si="0"/>
        <v>1</v>
      </c>
      <c r="I22" s="56">
        <f t="shared" si="1"/>
        <v>182.49</v>
      </c>
      <c r="J22" s="53">
        <f>IF(ISBLANK(B22),0,VLOOKUP(B22,'TC 10-2023'!B:Z,25,TRUE)/182.49)</f>
        <v>120.38555537289714</v>
      </c>
      <c r="K22" s="35">
        <f t="shared" si="2"/>
        <v>21969.16</v>
      </c>
    </row>
    <row r="23" spans="2:15" ht="15" customHeight="1">
      <c r="B23" s="37" t="str">
        <f>IF(ISBLANK(C23),0,VLOOKUP(C23,Categorias!$A$4:$B$83,2,FALSE))</f>
        <v>P8047</v>
      </c>
      <c r="C23" s="105" t="s">
        <v>27</v>
      </c>
      <c r="D23" s="105"/>
      <c r="E23" s="105"/>
      <c r="F23" s="54">
        <v>1</v>
      </c>
      <c r="G23" s="55">
        <f>INDEX(MO[],MATCH($B$8,MO[Descrição dos Produtos],0),MATCH(C23,MO[#Headers],0))</f>
        <v>1</v>
      </c>
      <c r="H23" s="52">
        <f t="shared" ref="H23:H24" si="3">F23*G23*$K$7</f>
        <v>1</v>
      </c>
      <c r="I23" s="56">
        <f t="shared" ref="I23:I24" si="4">H23*182.49</f>
        <v>182.49</v>
      </c>
      <c r="J23" s="53">
        <f>IF(ISBLANK(B23),0,VLOOKUP(B23,'TC 10-2023'!B:Z,25,TRUE)/182.49)</f>
        <v>108.82941531042796</v>
      </c>
      <c r="K23" s="35">
        <f t="shared" si="2"/>
        <v>19860.28</v>
      </c>
    </row>
    <row r="24" spans="2:15" ht="15" customHeight="1">
      <c r="B24" s="37" t="str">
        <f>IF(ISBLANK(C24),0,VLOOKUP(C24,Categorias!$A$4:$B$83,2,FALSE))</f>
        <v>P8003</v>
      </c>
      <c r="C24" s="105" t="s">
        <v>3</v>
      </c>
      <c r="D24" s="105"/>
      <c r="E24" s="105"/>
      <c r="F24" s="54">
        <v>1</v>
      </c>
      <c r="G24" s="55">
        <f>INDEX(MO[],MATCH($B$8,MO[Descrição dos Produtos],0),MATCH(C24,MO[#Headers],0))</f>
        <v>1</v>
      </c>
      <c r="H24" s="52">
        <f t="shared" si="3"/>
        <v>1</v>
      </c>
      <c r="I24" s="56">
        <f t="shared" si="4"/>
        <v>182.49</v>
      </c>
      <c r="J24" s="53">
        <f>IF(ISBLANK(B24),0,VLOOKUP(B24,'TC 10-2023'!B:Z,25,TRUE)/182.49)</f>
        <v>105.29289276124719</v>
      </c>
      <c r="K24" s="35">
        <f t="shared" si="2"/>
        <v>19214.900000000001</v>
      </c>
    </row>
    <row r="25" spans="2:15" ht="15" customHeight="1">
      <c r="B25" s="37"/>
      <c r="C25" s="105"/>
      <c r="D25" s="105"/>
      <c r="E25" s="105"/>
      <c r="F25" s="54"/>
      <c r="G25" s="55"/>
      <c r="H25" s="52"/>
      <c r="I25" s="56"/>
      <c r="J25" s="53"/>
      <c r="K25" s="35"/>
    </row>
    <row r="26" spans="2:15">
      <c r="B26" s="44" t="s">
        <v>124</v>
      </c>
      <c r="C26" s="45"/>
      <c r="D26" s="45"/>
      <c r="E26" s="345"/>
      <c r="F26" s="46"/>
      <c r="G26" s="46"/>
      <c r="H26" s="46"/>
      <c r="I26" s="46"/>
      <c r="J26" s="47"/>
      <c r="K26" s="48">
        <f>SUM(K18:K25)</f>
        <v>165977.49000000002</v>
      </c>
    </row>
    <row r="27" spans="2:15">
      <c r="B27" s="44" t="s">
        <v>125</v>
      </c>
      <c r="C27" s="45"/>
      <c r="D27" s="45"/>
      <c r="E27" s="345">
        <v>1</v>
      </c>
      <c r="F27" s="44" t="s">
        <v>126</v>
      </c>
      <c r="G27" s="45"/>
      <c r="H27" s="45"/>
      <c r="I27" s="45"/>
      <c r="J27" s="63"/>
      <c r="K27" s="48">
        <f>K26+K16</f>
        <v>166224.99210000003</v>
      </c>
    </row>
    <row r="28" spans="2:15">
      <c r="B28" s="44" t="s">
        <v>127</v>
      </c>
      <c r="C28" s="45"/>
      <c r="D28" s="45"/>
      <c r="E28" s="62"/>
      <c r="F28" s="44"/>
      <c r="G28" s="45"/>
      <c r="H28" s="45"/>
      <c r="I28" s="45"/>
      <c r="J28" s="63"/>
      <c r="K28" s="48">
        <f>K27/E27</f>
        <v>166224.99210000003</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106">
        <f>SUM(F12:F15)*G31</f>
        <v>1140.5625</v>
      </c>
      <c r="J31" s="106">
        <f>IF(B31="","",VLOOKUP(B31,Mat.Info!$A:$H,8,FALSE))</f>
        <v>0.16250000000000001</v>
      </c>
      <c r="K31" s="34">
        <f>ROUND(IF(B31="","",I31*J31),4)</f>
        <v>185.34139999999999</v>
      </c>
    </row>
    <row r="32" spans="2:15">
      <c r="B32" s="37"/>
      <c r="C32" s="4" t="str">
        <f>IF(B32="","",VLOOKUP(B32,Mat.Info!A2:H5,2,FALSE))</f>
        <v/>
      </c>
      <c r="G32" s="543" t="str">
        <f>IF(B32="","",VLOOKUP(B32,Mat.Info!A3:H5,6,0))</f>
        <v/>
      </c>
      <c r="H32" s="35"/>
      <c r="I32" s="35"/>
      <c r="J32" s="35" t="str">
        <f>IF(B32="","",VLOOKUP(B32,Mat.Info!$A:$H,8,FALSE))</f>
        <v/>
      </c>
      <c r="K32" s="35" t="str">
        <f>IF(B32="","",I32*J32)</f>
        <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7"/>
      <c r="G38" s="8"/>
      <c r="H38" s="35"/>
      <c r="I38" s="35"/>
      <c r="J38" s="35"/>
      <c r="K38" s="35"/>
    </row>
    <row r="39" spans="2:11">
      <c r="B39" s="44" t="s">
        <v>132</v>
      </c>
      <c r="C39" s="45"/>
      <c r="D39" s="45"/>
      <c r="E39" s="45"/>
      <c r="F39" s="45"/>
      <c r="G39" s="45"/>
      <c r="H39" s="46"/>
      <c r="I39" s="46"/>
      <c r="J39" s="47"/>
      <c r="K39" s="48">
        <f>SUM(K31:K38)</f>
        <v>185.34139999999999</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166410.33350000004</v>
      </c>
    </row>
    <row r="50" spans="2:11">
      <c r="B50" s="44" t="s">
        <v>144</v>
      </c>
      <c r="C50" s="74"/>
      <c r="D50" s="74"/>
      <c r="E50" s="74"/>
      <c r="F50" s="74"/>
      <c r="G50" s="74"/>
      <c r="H50" s="74"/>
      <c r="I50" s="74"/>
      <c r="J50" s="76">
        <f ca="1">Dados!$C$17</f>
        <v>0.44600000000000001</v>
      </c>
      <c r="K50" s="75">
        <f ca="1">K49*J50</f>
        <v>74219.008741000012</v>
      </c>
    </row>
    <row r="51" spans="2:11">
      <c r="B51" s="64" t="s">
        <v>145</v>
      </c>
      <c r="C51" s="45"/>
      <c r="D51" s="45"/>
      <c r="E51" s="45"/>
      <c r="F51" s="45"/>
      <c r="G51" s="45"/>
      <c r="H51" s="45"/>
      <c r="I51" s="45"/>
      <c r="J51" s="45"/>
      <c r="K51" s="48">
        <f ca="1">ROUND(K50+K49,2)</f>
        <v>240629.34</v>
      </c>
    </row>
    <row r="52" spans="2:11" ht="7.5" customHeight="1"/>
  </sheetData>
  <mergeCells count="12">
    <mergeCell ref="E44:G44"/>
    <mergeCell ref="H44:J44"/>
    <mergeCell ref="C13:E13"/>
    <mergeCell ref="C18:E18"/>
    <mergeCell ref="C19:E19"/>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1D92DF-E3AB-4477-B0BF-EEE68F4A1862}">
          <x14:formula1>
            <xm:f>Categorias!$A$4:$A$101</xm:f>
          </x14:formula1>
          <xm:sqref>C18:E25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0CD3-7172-4D01-AB7A-2AA2A0C17366}">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'Cronograma'!D11</f>
        <v>2</v>
      </c>
    </row>
    <row r="8" spans="1:11">
      <c r="B8" s="719" t="str">
        <f>CONCATENATE("",'Alocação MO'!C5)</f>
        <v>Dimensão de Mercado e Demanda (EMD) - Pesquisa de Campo</v>
      </c>
      <c r="C8" s="720"/>
      <c r="D8" s="720"/>
      <c r="E8" s="720"/>
      <c r="F8" s="720"/>
      <c r="G8" s="720"/>
      <c r="H8" s="720"/>
      <c r="I8" s="18"/>
      <c r="J8" s="18" t="s">
        <v>105</v>
      </c>
      <c r="K8" s="19" t="s">
        <v>106</v>
      </c>
    </row>
    <row r="9" spans="1:11">
      <c r="B9" s="719"/>
      <c r="C9" s="720"/>
      <c r="D9" s="720"/>
      <c r="E9" s="720"/>
      <c r="F9" s="721"/>
      <c r="G9" s="721"/>
      <c r="H9" s="721"/>
      <c r="I9" s="20"/>
      <c r="J9" s="20" t="s">
        <v>107</v>
      </c>
      <c r="K9" s="21" t="s">
        <v>721</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Equip.Info!A4</f>
        <v>EQSF002</v>
      </c>
      <c r="C12" s="715" t="str">
        <f>VLOOKUP(B12,Equip.Info!A:I,2,FALSE)</f>
        <v>Laptop completo, processador Intel Core i5, 16GB memória, Resolução 3.840x2.160 (4K), PV GPU de 4GB e Sistema Operacional.</v>
      </c>
      <c r="D12" s="715"/>
      <c r="E12" s="716"/>
      <c r="F12" s="403">
        <f>SUM(I18:I25)</f>
        <v>10949.4</v>
      </c>
      <c r="G12" s="107">
        <v>1</v>
      </c>
      <c r="H12" s="107">
        <v>0</v>
      </c>
      <c r="I12" s="107">
        <f>IF(B12="","",VLOOKUP($B12,Equip.Info!$A:$I,8,FALSE))</f>
        <v>0.217</v>
      </c>
      <c r="J12" s="107">
        <f>IF(B12="","",VLOOKUP($B12,Equip.Info!$A:$I,9,FALSE))</f>
        <v>0.14369999999999999</v>
      </c>
      <c r="K12" s="118">
        <f>ROUND(F12*(G12*I12+H12*J12),4)</f>
        <v>2376.0198</v>
      </c>
    </row>
    <row r="13" spans="1:11" ht="39.75" customHeight="1">
      <c r="B13" s="33"/>
      <c r="C13" s="730"/>
      <c r="D13" s="730"/>
      <c r="E13" s="731"/>
      <c r="F13" s="484"/>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2376.0198</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P8025</v>
      </c>
      <c r="C18" s="105" t="s">
        <v>13</v>
      </c>
      <c r="D18" s="105"/>
      <c r="E18" s="105"/>
      <c r="F18" s="54">
        <v>1</v>
      </c>
      <c r="G18" s="55">
        <f>INDEX(MO[],MATCH($B$8,MO[Descrição dos Produtos],0),MATCH(C18,MO[#Headers],0))</f>
        <v>25</v>
      </c>
      <c r="H18" s="52">
        <f t="shared" ref="H18:H20" si="0">F18*G18*$K$7</f>
        <v>50</v>
      </c>
      <c r="I18" s="455">
        <f t="shared" ref="I18:I20" si="1">H18*182.49</f>
        <v>9124.5</v>
      </c>
      <c r="J18" s="53">
        <f>IF(ISBLANK(B18),0,VLOOKUP(B18,'TC 10-2023'!B:Z,25,TRUE)/182.49)</f>
        <v>20.922187517124225</v>
      </c>
      <c r="K18" s="35">
        <f t="shared" ref="K18:K20" si="2">ROUND(J18*I18,4)</f>
        <v>190904.5</v>
      </c>
    </row>
    <row r="19" spans="2:15" ht="15" customHeight="1">
      <c r="B19" s="37" t="str">
        <f>IF(ISBLANK(C19),0,VLOOKUP(C19,Categorias!$A$4:$B$83,2,FALSE))</f>
        <v>P8155</v>
      </c>
      <c r="C19" s="105" t="s">
        <v>69</v>
      </c>
      <c r="D19" s="105"/>
      <c r="E19" s="105"/>
      <c r="F19" s="54">
        <v>1</v>
      </c>
      <c r="G19" s="55">
        <f>INDEX(MO[],MATCH($B$8,MO[Descrição dos Produtos],0),MATCH(C19,MO[#Headers],0))</f>
        <v>4</v>
      </c>
      <c r="H19" s="52">
        <f t="shared" si="0"/>
        <v>8</v>
      </c>
      <c r="I19" s="455">
        <f t="shared" si="1"/>
        <v>1459.92</v>
      </c>
      <c r="J19" s="53">
        <f>IF(ISBLANK(B19),0,VLOOKUP(B19,'TC 10-2023'!B:Z,25,TRUE)/182.49)</f>
        <v>31.497561510219736</v>
      </c>
      <c r="K19" s="35">
        <f t="shared" si="2"/>
        <v>45983.92</v>
      </c>
    </row>
    <row r="20" spans="2:15" ht="15" customHeight="1">
      <c r="B20" s="37" t="s">
        <v>200</v>
      </c>
      <c r="C20" s="105" t="s">
        <v>35</v>
      </c>
      <c r="D20" s="105"/>
      <c r="E20" s="105"/>
      <c r="F20" s="54">
        <v>1</v>
      </c>
      <c r="G20" s="55">
        <f>INDEX(MO[],MATCH($B$8,MO[Descrição dos Produtos],0),MATCH(C20,MO[#Headers],0))</f>
        <v>1</v>
      </c>
      <c r="H20" s="52">
        <f t="shared" si="0"/>
        <v>2</v>
      </c>
      <c r="I20" s="56">
        <f t="shared" si="1"/>
        <v>364.98</v>
      </c>
      <c r="J20" s="53">
        <f>IF(ISBLANK(B20),0,VLOOKUP(B20,'TC 10-2023'!B:Z,25,TRUE)/182.49)</f>
        <v>174.03671434051179</v>
      </c>
      <c r="K20" s="35">
        <f t="shared" si="2"/>
        <v>63519.92</v>
      </c>
    </row>
    <row r="21" spans="2:15" ht="15" customHeight="1">
      <c r="B21" s="37"/>
      <c r="C21" s="732"/>
      <c r="D21" s="732"/>
      <c r="E21" s="732"/>
      <c r="F21" s="54"/>
      <c r="G21" s="55"/>
      <c r="H21" s="52"/>
      <c r="I21" s="56"/>
      <c r="J21" s="53"/>
      <c r="K21" s="35"/>
    </row>
    <row r="22" spans="2:15" ht="15" customHeight="1">
      <c r="B22" s="37"/>
      <c r="C22" s="732"/>
      <c r="D22" s="732"/>
      <c r="E22" s="732"/>
      <c r="F22" s="54"/>
      <c r="G22" s="55"/>
      <c r="H22" s="52"/>
      <c r="I22" s="56"/>
      <c r="J22" s="53"/>
      <c r="K22" s="35"/>
    </row>
    <row r="23" spans="2:15" ht="15" customHeight="1">
      <c r="B23" s="37"/>
      <c r="C23" s="732"/>
      <c r="D23" s="732"/>
      <c r="E23" s="732"/>
      <c r="F23" s="54"/>
      <c r="G23" s="55"/>
      <c r="H23" s="52"/>
      <c r="I23" s="56"/>
      <c r="J23" s="53"/>
      <c r="K23" s="35"/>
    </row>
    <row r="24" spans="2:15" ht="15" customHeight="1">
      <c r="B24" s="37"/>
      <c r="C24" s="732"/>
      <c r="D24" s="732"/>
      <c r="E24" s="732"/>
      <c r="F24" s="54"/>
      <c r="G24" s="55"/>
      <c r="H24" s="52"/>
      <c r="I24" s="56"/>
      <c r="J24" s="53"/>
      <c r="K24" s="35"/>
    </row>
    <row r="25" spans="2:15" ht="15" customHeight="1">
      <c r="B25" s="37"/>
      <c r="C25" s="732"/>
      <c r="D25" s="732"/>
      <c r="E25" s="732"/>
      <c r="F25" s="54"/>
      <c r="G25" s="55"/>
      <c r="H25" s="52"/>
      <c r="I25" s="56"/>
      <c r="J25" s="53"/>
      <c r="K25" s="35"/>
    </row>
    <row r="26" spans="2:15">
      <c r="B26" s="44" t="s">
        <v>124</v>
      </c>
      <c r="C26" s="45"/>
      <c r="D26" s="45"/>
      <c r="E26" s="45"/>
      <c r="F26" s="46"/>
      <c r="G26" s="46"/>
      <c r="H26" s="46"/>
      <c r="I26" s="46"/>
      <c r="J26" s="47"/>
      <c r="K26" s="48">
        <f>SUM(K18:K25)</f>
        <v>300408.33999999997</v>
      </c>
    </row>
    <row r="27" spans="2:15">
      <c r="B27" s="44" t="s">
        <v>125</v>
      </c>
      <c r="C27" s="45"/>
      <c r="D27" s="45"/>
      <c r="E27" s="345">
        <v>1</v>
      </c>
      <c r="F27" s="44" t="s">
        <v>126</v>
      </c>
      <c r="G27" s="45"/>
      <c r="H27" s="45"/>
      <c r="I27" s="45"/>
      <c r="J27" s="63"/>
      <c r="K27" s="48">
        <f>K26+K16</f>
        <v>302784.35979999998</v>
      </c>
    </row>
    <row r="28" spans="2:15">
      <c r="B28" s="44" t="s">
        <v>127</v>
      </c>
      <c r="C28" s="45"/>
      <c r="D28" s="45"/>
      <c r="E28" s="345"/>
      <c r="F28" s="44"/>
      <c r="G28" s="45"/>
      <c r="H28" s="45"/>
      <c r="I28" s="45"/>
      <c r="J28" s="63"/>
      <c r="K28" s="48">
        <f>K27/E27</f>
        <v>302784.35979999998</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402">
        <f>SUM(F12:F15)*G31</f>
        <v>10949.4</v>
      </c>
      <c r="J31" s="106">
        <f>IF(B31="","",VLOOKUP(B31,Mat.Info!$A:$H,8,FALSE))</f>
        <v>0.16250000000000001</v>
      </c>
      <c r="K31" s="34">
        <f>ROUND(IF(B31="","",I31*J31),4)</f>
        <v>1779.2774999999999</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1779.2774999999999</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304563.6373</v>
      </c>
    </row>
    <row r="50" spans="2:11">
      <c r="B50" s="44" t="s">
        <v>144</v>
      </c>
      <c r="C50" s="74"/>
      <c r="D50" s="74"/>
      <c r="E50" s="74"/>
      <c r="F50" s="74"/>
      <c r="G50" s="74"/>
      <c r="H50" s="74"/>
      <c r="I50" s="74"/>
      <c r="J50" s="76">
        <f ca="1">Dados!$C$17</f>
        <v>0.44600000000000001</v>
      </c>
      <c r="K50" s="75">
        <f ca="1">K49*J50</f>
        <v>135835.3822358</v>
      </c>
    </row>
    <row r="51" spans="2:11">
      <c r="B51" s="64" t="s">
        <v>145</v>
      </c>
      <c r="C51" s="45"/>
      <c r="D51" s="45"/>
      <c r="E51" s="45"/>
      <c r="F51" s="45"/>
      <c r="G51" s="45"/>
      <c r="H51" s="45"/>
      <c r="I51" s="45"/>
      <c r="J51" s="45"/>
      <c r="K51" s="48">
        <f ca="1">ROUND(K50+K49,2)</f>
        <v>440399.02</v>
      </c>
    </row>
    <row r="52" spans="2:11" ht="7.5" customHeight="1"/>
    <row r="53" spans="2:11" ht="4.5" customHeight="1"/>
  </sheetData>
  <mergeCells count="15">
    <mergeCell ref="C12:E12"/>
    <mergeCell ref="B6:K6"/>
    <mergeCell ref="B8:H9"/>
    <mergeCell ref="F10:F11"/>
    <mergeCell ref="G10:H10"/>
    <mergeCell ref="I10:J10"/>
    <mergeCell ref="E44:G44"/>
    <mergeCell ref="H44:J44"/>
    <mergeCell ref="C13:E13"/>
    <mergeCell ref="C21:E21"/>
    <mergeCell ref="C22:E22"/>
    <mergeCell ref="C23:E23"/>
    <mergeCell ref="C24:E24"/>
    <mergeCell ref="C25:E25"/>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B620FD-2C72-4C43-A758-522FE5D01F8C}">
          <x14:formula1>
            <xm:f>Categorias!$A$4:$A$101</xm:f>
          </x14:formula1>
          <xm:sqref>C21:E25 C18:E19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BBFDF-848C-475C-988B-EA4F122709C9}">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'Cronograma'!D12</f>
        <v>3</v>
      </c>
    </row>
    <row r="8" spans="1:11">
      <c r="B8" s="719" t="str">
        <f>CONCATENATE("",'Alocação MO'!C6)</f>
        <v>Dimensão de Mercado e Demanda (EMD)</v>
      </c>
      <c r="C8" s="720"/>
      <c r="D8" s="720"/>
      <c r="E8" s="720"/>
      <c r="F8" s="720"/>
      <c r="G8" s="720"/>
      <c r="H8" s="720"/>
      <c r="I8" s="18"/>
      <c r="J8" s="18" t="s">
        <v>105</v>
      </c>
      <c r="K8" s="19" t="s">
        <v>106</v>
      </c>
    </row>
    <row r="9" spans="1:11">
      <c r="B9" s="719"/>
      <c r="C9" s="720"/>
      <c r="D9" s="720"/>
      <c r="E9" s="720"/>
      <c r="F9" s="721"/>
      <c r="G9" s="721"/>
      <c r="H9" s="721"/>
      <c r="I9" s="20"/>
      <c r="J9" s="20" t="s">
        <v>107</v>
      </c>
      <c r="K9" s="21" t="s">
        <v>722</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403">
        <f>SUM(I19:I21)</f>
        <v>1642.41</v>
      </c>
      <c r="G12" s="107">
        <v>1</v>
      </c>
      <c r="H12" s="107">
        <v>0</v>
      </c>
      <c r="I12" s="107">
        <f>IF(B12="","",VLOOKUP($B12,Equip.Info!$A:$I,8,FALSE))</f>
        <v>0.54349999999999998</v>
      </c>
      <c r="J12" s="107">
        <f>IF(B12="","",VLOOKUP($B12,Equip.Info!$A:$I,9,FALSE))</f>
        <v>0.3599</v>
      </c>
      <c r="K12" s="118">
        <f>ROUND(F12*(G12*I12+H12*J12),4)</f>
        <v>892.64980000000003</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484">
        <f>I22+I18</f>
        <v>410.60250000000002</v>
      </c>
      <c r="G13" s="108">
        <v>1</v>
      </c>
      <c r="H13" s="108">
        <v>0</v>
      </c>
      <c r="I13" s="108">
        <f>IF(B13="","",VLOOKUP($B13,Equip.Info!$A:$I,8,FALSE))</f>
        <v>0.217</v>
      </c>
      <c r="J13" s="108">
        <f>IF(B13="","",VLOOKUP($B13,Equip.Info!$A:$I,9,FALSE))</f>
        <v>0.14369999999999999</v>
      </c>
      <c r="K13" s="119">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981.75049999999999</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P8060</v>
      </c>
      <c r="C18" s="732" t="s">
        <v>34</v>
      </c>
      <c r="D18" s="732"/>
      <c r="E18" s="732"/>
      <c r="F18" s="54">
        <v>0.5</v>
      </c>
      <c r="G18" s="55">
        <f>INDEX(MO[],MATCH($B$8,MO[Descrição dos Produtos],0),MATCH(C18,MO[#Headers],0))</f>
        <v>1</v>
      </c>
      <c r="H18" s="52">
        <f>F18*G18*$K$7</f>
        <v>1.5</v>
      </c>
      <c r="I18" s="56">
        <f>H18*182.49</f>
        <v>273.73500000000001</v>
      </c>
      <c r="J18" s="53">
        <f>IF(ISBLANK(B18),0,VLOOKUP(B18,'TC 10-2023'!B:Z,25,TRUE)/182.49)</f>
        <v>207.71921749136939</v>
      </c>
      <c r="K18" s="35">
        <f>ROUND(J18*I18,4)</f>
        <v>56860.02</v>
      </c>
    </row>
    <row r="19" spans="2:15" ht="15" customHeight="1">
      <c r="B19" s="37" t="str">
        <f>IF(ISBLANK(C19),0,VLOOKUP(C19,Categorias!$A$4:$B$83,2,FALSE))</f>
        <v>P8067</v>
      </c>
      <c r="C19" s="732" t="s">
        <v>41</v>
      </c>
      <c r="D19" s="732"/>
      <c r="E19" s="732"/>
      <c r="F19" s="54">
        <v>1</v>
      </c>
      <c r="G19" s="55">
        <f>INDEX(MO[],MATCH($B$8,MO[Descrição dos Produtos],0),MATCH(C19,MO[#Headers],0))</f>
        <v>1</v>
      </c>
      <c r="H19" s="52">
        <f t="shared" ref="H19:H22" si="0">F19*G19*$K$7</f>
        <v>3</v>
      </c>
      <c r="I19" s="56">
        <f t="shared" ref="I19:I22" si="1">H19*182.49</f>
        <v>547.47</v>
      </c>
      <c r="J19" s="53">
        <f>IF(ISBLANK(B19),0,VLOOKUP(B19,'TC 10-2023'!B:Z,25,TRUE)/182.49)</f>
        <v>151.26779549564358</v>
      </c>
      <c r="K19" s="35">
        <f t="shared" ref="K19:K22" si="2">ROUND(J19*I19,4)</f>
        <v>82814.58</v>
      </c>
    </row>
    <row r="20" spans="2:15" ht="15" customHeight="1">
      <c r="B20" s="37" t="str">
        <f>IF(ISBLANK(C20),0,VLOOKUP(C20,Categorias!$A$4:$B$83,2,FALSE))</f>
        <v>P8066</v>
      </c>
      <c r="C20" s="732" t="s">
        <v>40</v>
      </c>
      <c r="D20" s="732"/>
      <c r="E20" s="732"/>
      <c r="F20" s="54">
        <v>1</v>
      </c>
      <c r="G20" s="55">
        <f>INDEX(MO[],MATCH($B$8,MO[Descrição dos Produtos],0),MATCH(C20,MO[#Headers],0))</f>
        <v>1</v>
      </c>
      <c r="H20" s="52">
        <f t="shared" si="0"/>
        <v>3</v>
      </c>
      <c r="I20" s="56">
        <f t="shared" si="1"/>
        <v>547.47</v>
      </c>
      <c r="J20" s="53">
        <f>IF(ISBLANK(B20),0,VLOOKUP(B20,'TC 10-2023'!B:Z,25,TRUE)/182.49)</f>
        <v>120.38555537289714</v>
      </c>
      <c r="K20" s="35">
        <f t="shared" si="2"/>
        <v>65907.48</v>
      </c>
    </row>
    <row r="21" spans="2:15" ht="15" customHeight="1">
      <c r="B21" s="37" t="str">
        <f>IF(ISBLANK(C21),0,VLOOKUP(C21,Categorias!$A$4:$B$83,2,FALSE))</f>
        <v>P8047</v>
      </c>
      <c r="C21" s="105" t="s">
        <v>27</v>
      </c>
      <c r="D21" s="105"/>
      <c r="E21" s="105"/>
      <c r="F21" s="54">
        <v>1</v>
      </c>
      <c r="G21" s="55">
        <f>INDEX(MO[],MATCH($B$8,MO[Descrição dos Produtos],0),MATCH(C21,MO[#Headers],0))</f>
        <v>1</v>
      </c>
      <c r="H21" s="52">
        <f t="shared" si="0"/>
        <v>3</v>
      </c>
      <c r="I21" s="56">
        <f t="shared" si="1"/>
        <v>547.47</v>
      </c>
      <c r="J21" s="53">
        <f>IF(ISBLANK(B21),0,VLOOKUP(B21,'TC 10-2023'!B:Z,25,TRUE)/182.49)</f>
        <v>108.82941531042796</v>
      </c>
      <c r="K21" s="35">
        <f t="shared" si="2"/>
        <v>59580.84</v>
      </c>
    </row>
    <row r="22" spans="2:15" ht="15" customHeight="1">
      <c r="B22" s="37" t="str">
        <f>IF(ISBLANK(C22),0,VLOOKUP(C22,Categorias!$A$4:$B$83,2,FALSE))</f>
        <v>P8061</v>
      </c>
      <c r="C22" s="105" t="s">
        <v>35</v>
      </c>
      <c r="D22" s="105"/>
      <c r="E22" s="105"/>
      <c r="F22" s="54">
        <v>0.25</v>
      </c>
      <c r="G22" s="55">
        <f>INDEX(MO[],MATCH($B$8,MO[Descrição dos Produtos],0),MATCH(C22,MO[#Headers],0))</f>
        <v>1</v>
      </c>
      <c r="H22" s="52">
        <f t="shared" si="0"/>
        <v>0.75</v>
      </c>
      <c r="I22" s="56">
        <f t="shared" si="1"/>
        <v>136.86750000000001</v>
      </c>
      <c r="J22" s="53">
        <f>IF(ISBLANK(B22),0,VLOOKUP(B22,'TC 10-2023'!B:Z,25,TRUE)/182.49)</f>
        <v>174.03671434051179</v>
      </c>
      <c r="K22" s="35">
        <f t="shared" si="2"/>
        <v>23819.97</v>
      </c>
    </row>
    <row r="23" spans="2:15" ht="15" customHeight="1">
      <c r="B23" s="37"/>
      <c r="C23" s="732"/>
      <c r="D23" s="732"/>
      <c r="E23" s="732"/>
      <c r="F23" s="54"/>
      <c r="G23" s="55"/>
      <c r="H23" s="52"/>
      <c r="I23" s="56"/>
      <c r="J23" s="53"/>
      <c r="K23" s="35"/>
    </row>
    <row r="24" spans="2:15" ht="15" customHeight="1">
      <c r="B24" s="37"/>
      <c r="C24" s="732"/>
      <c r="D24" s="732"/>
      <c r="E24" s="732"/>
      <c r="F24" s="54"/>
      <c r="G24" s="55"/>
      <c r="H24" s="52"/>
      <c r="I24" s="56"/>
      <c r="J24" s="53"/>
      <c r="K24" s="35"/>
    </row>
    <row r="25" spans="2:15" ht="15" customHeight="1">
      <c r="B25" s="37"/>
      <c r="C25" s="732"/>
      <c r="D25" s="732"/>
      <c r="E25" s="732"/>
      <c r="F25" s="54"/>
      <c r="G25" s="55"/>
      <c r="H25" s="52"/>
      <c r="I25" s="56"/>
      <c r="J25" s="53"/>
      <c r="K25" s="35"/>
    </row>
    <row r="26" spans="2:15">
      <c r="B26" s="44" t="s">
        <v>124</v>
      </c>
      <c r="C26" s="45"/>
      <c r="D26" s="45"/>
      <c r="E26" s="45"/>
      <c r="F26" s="46"/>
      <c r="G26" s="46"/>
      <c r="H26" s="46"/>
      <c r="I26" s="46"/>
      <c r="J26" s="47"/>
      <c r="K26" s="48">
        <f>SUM(K18:K25)</f>
        <v>288982.89</v>
      </c>
    </row>
    <row r="27" spans="2:15">
      <c r="B27" s="44" t="s">
        <v>125</v>
      </c>
      <c r="C27" s="45"/>
      <c r="D27" s="45"/>
      <c r="E27" s="345">
        <v>1</v>
      </c>
      <c r="F27" s="44" t="s">
        <v>126</v>
      </c>
      <c r="G27" s="45"/>
      <c r="H27" s="45"/>
      <c r="I27" s="45"/>
      <c r="J27" s="63"/>
      <c r="K27" s="48">
        <f>K26+K16</f>
        <v>289964.64050000004</v>
      </c>
    </row>
    <row r="28" spans="2:15">
      <c r="B28" s="44" t="s">
        <v>127</v>
      </c>
      <c r="C28" s="45"/>
      <c r="D28" s="45"/>
      <c r="E28" s="345"/>
      <c r="F28" s="44"/>
      <c r="G28" s="45"/>
      <c r="H28" s="45"/>
      <c r="I28" s="45"/>
      <c r="J28" s="63"/>
      <c r="K28" s="48">
        <f>K27/E27</f>
        <v>289964.64050000004</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402">
        <f>SUM(F12:F15)*G31</f>
        <v>2053.0125000000003</v>
      </c>
      <c r="J31" s="106">
        <f>IF(B31="","",VLOOKUP(B31,Mat.Info!$A:$H,8,FALSE))</f>
        <v>0.16250000000000001</v>
      </c>
      <c r="K31" s="34">
        <f>ROUND(IF(B31="","",I31*J31),4)</f>
        <v>333.61450000000002</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333.61450000000002</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290298.25500000006</v>
      </c>
    </row>
    <row r="50" spans="2:11">
      <c r="B50" s="44" t="s">
        <v>144</v>
      </c>
      <c r="C50" s="74"/>
      <c r="D50" s="74"/>
      <c r="E50" s="74"/>
      <c r="F50" s="74"/>
      <c r="G50" s="74"/>
      <c r="H50" s="74"/>
      <c r="I50" s="74"/>
      <c r="J50" s="76">
        <f ca="1">Dados!$C$17</f>
        <v>0.44600000000000001</v>
      </c>
      <c r="K50" s="75">
        <f ca="1">K49*J50</f>
        <v>129473.02173000004</v>
      </c>
    </row>
    <row r="51" spans="2:11">
      <c r="B51" s="64" t="s">
        <v>145</v>
      </c>
      <c r="C51" s="45"/>
      <c r="D51" s="45"/>
      <c r="E51" s="45"/>
      <c r="F51" s="45"/>
      <c r="G51" s="45"/>
      <c r="H51" s="45"/>
      <c r="I51" s="45"/>
      <c r="J51" s="45"/>
      <c r="K51" s="48">
        <f ca="1">ROUND(K50+K49,2)</f>
        <v>419771.28</v>
      </c>
    </row>
    <row r="52" spans="2:11" ht="7.5" customHeight="1"/>
    <row r="53" spans="2:11" ht="4.5" customHeight="1"/>
  </sheetData>
  <mergeCells count="16">
    <mergeCell ref="H44:J44"/>
    <mergeCell ref="C13:E13"/>
    <mergeCell ref="C18:E18"/>
    <mergeCell ref="C19:E19"/>
    <mergeCell ref="C20:E20"/>
    <mergeCell ref="C24:E24"/>
    <mergeCell ref="C25:E25"/>
    <mergeCell ref="E44:G44"/>
    <mergeCell ref="B30:F30"/>
    <mergeCell ref="C23:E23"/>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8FA2F6-37E6-4045-9807-0E06DD403AF6}">
          <x14:formula1>
            <xm:f>Categorias!$A$4:$A$101</xm:f>
          </x14:formula1>
          <xm:sqref>C18:E25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DB1BF-63D7-4A10-8131-E28E8BD5B141}">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'Cronograma'!D13</f>
        <v>2</v>
      </c>
    </row>
    <row r="8" spans="1:11">
      <c r="B8" s="719" t="str">
        <f>CONCATENATE("",'Alocação MO'!C7)</f>
        <v>Dimensão de Engenharia (EEN)</v>
      </c>
      <c r="C8" s="720"/>
      <c r="D8" s="720"/>
      <c r="E8" s="720"/>
      <c r="F8" s="720"/>
      <c r="G8" s="720"/>
      <c r="H8" s="720"/>
      <c r="I8" s="18"/>
      <c r="J8" s="18" t="s">
        <v>105</v>
      </c>
      <c r="K8" s="19" t="s">
        <v>106</v>
      </c>
    </row>
    <row r="9" spans="1:11">
      <c r="B9" s="719"/>
      <c r="C9" s="720"/>
      <c r="D9" s="720"/>
      <c r="E9" s="720"/>
      <c r="F9" s="721"/>
      <c r="G9" s="721"/>
      <c r="H9" s="721"/>
      <c r="I9" s="20"/>
      <c r="J9" s="20" t="s">
        <v>107</v>
      </c>
      <c r="K9" s="21" t="s">
        <v>551</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107">
        <f>SUM(I19:I20)</f>
        <v>729.96</v>
      </c>
      <c r="G12" s="107">
        <v>1</v>
      </c>
      <c r="H12" s="107">
        <v>0</v>
      </c>
      <c r="I12" s="107">
        <f>IF(B12="","",VLOOKUP($B12,Equip.Info!$A:$I,8,FALSE))</f>
        <v>0.54349999999999998</v>
      </c>
      <c r="J12" s="107">
        <f>IF(B12="","",VLOOKUP($B12,Equip.Info!$A:$I,9,FALSE))</f>
        <v>0.3599</v>
      </c>
      <c r="K12" s="118">
        <f>ROUND(F12*(G12*I12+H12*J12),4)</f>
        <v>396.73329999999999</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108">
        <f>I18+I21</f>
        <v>273.73500000000001</v>
      </c>
      <c r="G13" s="108">
        <v>1</v>
      </c>
      <c r="H13" s="108">
        <v>0</v>
      </c>
      <c r="I13" s="108">
        <f>IF(B13="","",VLOOKUP($B13,Equip.Info!$A:$I,8,FALSE))</f>
        <v>0.217</v>
      </c>
      <c r="J13" s="108">
        <f>IF(B13="","",VLOOKUP($B13,Equip.Info!$A:$I,9,FALSE))</f>
        <v>0.14369999999999999</v>
      </c>
      <c r="K13" s="119">
        <f>ROUND(F13*(G13*I13+H13*J13),4)</f>
        <v>59.400500000000001</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456.13380000000001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P8060</v>
      </c>
      <c r="C18" s="732" t="s">
        <v>34</v>
      </c>
      <c r="D18" s="732"/>
      <c r="E18" s="732"/>
      <c r="F18" s="54">
        <v>0.5</v>
      </c>
      <c r="G18" s="55">
        <f>INDEX(MO[],MATCH($B$8,MO[Descrição dos Produtos],0),MATCH(C18,MO[#Headers],0))</f>
        <v>1</v>
      </c>
      <c r="H18" s="52">
        <f>F18*G18*$K$7</f>
        <v>1</v>
      </c>
      <c r="I18" s="56">
        <f t="shared" ref="I18:I21" si="0">H18*182.49</f>
        <v>182.49</v>
      </c>
      <c r="J18" s="53">
        <f>IF(ISBLANK(B18),0,VLOOKUP(B18,'TC 10-2023'!B:Z,25,TRUE)/182.49)</f>
        <v>207.71921749136939</v>
      </c>
      <c r="K18" s="35">
        <f>ROUND(J18*I18,4)</f>
        <v>37906.68</v>
      </c>
    </row>
    <row r="19" spans="2:15" ht="15" customHeight="1">
      <c r="B19" s="37" t="str">
        <f>IF(ISBLANK(C19),0,VLOOKUP(C19,Categorias!$A$4:$B$83,2,FALSE))</f>
        <v>P8067</v>
      </c>
      <c r="C19" s="732" t="s">
        <v>41</v>
      </c>
      <c r="D19" s="732"/>
      <c r="E19" s="732"/>
      <c r="F19" s="54">
        <v>1</v>
      </c>
      <c r="G19" s="55">
        <f>INDEX(MO[],MATCH($B$8,MO[Descrição dos Produtos],0),MATCH(C19,MO[#Headers],0))</f>
        <v>1</v>
      </c>
      <c r="H19" s="52">
        <f t="shared" ref="H19:H21" si="1">F19*G19*$K$7</f>
        <v>2</v>
      </c>
      <c r="I19" s="56">
        <f t="shared" si="0"/>
        <v>364.98</v>
      </c>
      <c r="J19" s="53">
        <f>IF(ISBLANK(B19),0,VLOOKUP(B19,'TC 10-2023'!B:Z,25,TRUE)/182.49)</f>
        <v>151.26779549564358</v>
      </c>
      <c r="K19" s="35">
        <f t="shared" ref="K19:K21" si="2">ROUND(J19*I19,4)</f>
        <v>55209.72</v>
      </c>
    </row>
    <row r="20" spans="2:15" ht="15" customHeight="1">
      <c r="B20" s="37" t="str">
        <f>IF(ISBLANK(C20),0,VLOOKUP(C20,Categorias!$A$4:$B$83,2,FALSE))</f>
        <v>P8066</v>
      </c>
      <c r="C20" s="732" t="s">
        <v>40</v>
      </c>
      <c r="D20" s="732"/>
      <c r="E20" s="732"/>
      <c r="F20" s="54">
        <v>1</v>
      </c>
      <c r="G20" s="55">
        <f>INDEX(MO[],MATCH($B$8,MO[Descrição dos Produtos],0),MATCH(C20,MO[#Headers],0))</f>
        <v>1</v>
      </c>
      <c r="H20" s="52">
        <f t="shared" si="1"/>
        <v>2</v>
      </c>
      <c r="I20" s="56">
        <f t="shared" si="0"/>
        <v>364.98</v>
      </c>
      <c r="J20" s="53">
        <f>IF(ISBLANK(B20),0,VLOOKUP(B20,'TC 10-2023'!B:Z,25,TRUE)/182.49)</f>
        <v>120.38555537289714</v>
      </c>
      <c r="K20" s="35">
        <f t="shared" si="2"/>
        <v>43938.32</v>
      </c>
    </row>
    <row r="21" spans="2:15" ht="15" customHeight="1">
      <c r="B21" s="37" t="str">
        <f>IF(ISBLANK(C21),0,VLOOKUP(C21,Categorias!$A$4:$B$83,2,FALSE))</f>
        <v>P8061</v>
      </c>
      <c r="C21" s="105" t="s">
        <v>35</v>
      </c>
      <c r="D21" s="105"/>
      <c r="E21" s="105"/>
      <c r="F21" s="54">
        <v>0.25</v>
      </c>
      <c r="G21" s="55">
        <f>INDEX(MO[],MATCH($B$8,MO[Descrição dos Produtos],0),MATCH(C21,MO[#Headers],0))</f>
        <v>1</v>
      </c>
      <c r="H21" s="52">
        <f t="shared" si="1"/>
        <v>0.5</v>
      </c>
      <c r="I21" s="56">
        <f t="shared" si="0"/>
        <v>91.245000000000005</v>
      </c>
      <c r="J21" s="53">
        <f>IF(ISBLANK(B21),0,VLOOKUP(B21,'TC 10-2023'!B:Z,25,TRUE)/182.49)</f>
        <v>174.03671434051179</v>
      </c>
      <c r="K21" s="35">
        <f t="shared" si="2"/>
        <v>15879.98</v>
      </c>
    </row>
    <row r="22" spans="2:15" ht="15" customHeight="1">
      <c r="B22" s="37"/>
      <c r="F22" s="58"/>
      <c r="H22" s="97"/>
      <c r="I22" s="59"/>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152934.70000000001</v>
      </c>
    </row>
    <row r="27" spans="2:15">
      <c r="B27" s="44" t="s">
        <v>125</v>
      </c>
      <c r="C27" s="45"/>
      <c r="D27" s="45"/>
      <c r="E27" s="345">
        <v>1</v>
      </c>
      <c r="F27" s="44" t="s">
        <v>126</v>
      </c>
      <c r="G27" s="45"/>
      <c r="H27" s="45"/>
      <c r="I27" s="45"/>
      <c r="J27" s="63"/>
      <c r="K27" s="48">
        <f>K26+K16</f>
        <v>153390.83380000002</v>
      </c>
    </row>
    <row r="28" spans="2:15">
      <c r="B28" s="44" t="s">
        <v>127</v>
      </c>
      <c r="C28" s="45"/>
      <c r="D28" s="45"/>
      <c r="E28" s="345"/>
      <c r="F28" s="44"/>
      <c r="G28" s="45"/>
      <c r="H28" s="45"/>
      <c r="I28" s="45"/>
      <c r="J28" s="63"/>
      <c r="K28" s="48">
        <f>K27/E27</f>
        <v>153390.83380000002</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VLOOKUP(B31,Mat.Info!$A:$H,2,FALSE)</f>
        <v>Pacote Microsoft 365 Business Basic</v>
      </c>
      <c r="G31" s="543">
        <f>IF(B31="","",VLOOKUP(B31,Mat.Info!A2:H4,6,0))</f>
        <v>1</v>
      </c>
      <c r="H31" s="106" t="s">
        <v>299</v>
      </c>
      <c r="I31" s="106">
        <f>SUM(F12:F15)*G31</f>
        <v>1003.6950000000001</v>
      </c>
      <c r="J31" s="106">
        <f>IF(B31="","",VLOOKUP(B31,Mat.Info!$A:$H,8,FALSE))</f>
        <v>0.16250000000000001</v>
      </c>
      <c r="K31" s="34">
        <f>ROUND(IF(B31="","",I31*J31),4)</f>
        <v>163.10040000000001</v>
      </c>
    </row>
    <row r="32" spans="2:15">
      <c r="B32" s="37" t="str">
        <f>Mat.Info!A3</f>
        <v>MTSF002</v>
      </c>
      <c r="C32" s="4" t="str">
        <f>IF(B32="","",VLOOKUP(B32,Mat.Info!A2:H5,2,FALSE))</f>
        <v>Software CAD para MAC/Windows 64bits</v>
      </c>
      <c r="G32" s="543">
        <f>IF(B32="","",VLOOKUP(B32,Mat.Info!A3:H5,6,0))</f>
        <v>0.5</v>
      </c>
      <c r="H32" s="59" t="s">
        <v>299</v>
      </c>
      <c r="I32" s="59">
        <f>SUM($I$19:$I$20)*G32</f>
        <v>364.98</v>
      </c>
      <c r="J32" s="59">
        <f>IF(B32="","",VLOOKUP(B32,Mat.Info!$A:$H,8,FALSE))</f>
        <v>3.3740000000000001</v>
      </c>
      <c r="K32" s="35">
        <f>ROUND(IF(B32="","",I32*J32),4)</f>
        <v>1231.4425000000001</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1394.5429000000001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154785.37670000002</v>
      </c>
    </row>
    <row r="50" spans="2:11">
      <c r="B50" s="44" t="s">
        <v>144</v>
      </c>
      <c r="C50" s="74"/>
      <c r="D50" s="74"/>
      <c r="E50" s="74"/>
      <c r="F50" s="74"/>
      <c r="G50" s="74"/>
      <c r="H50" s="74"/>
      <c r="I50" s="74"/>
      <c r="J50" s="76">
        <f ca="1">Dados!$C$17</f>
        <v>0.44600000000000001</v>
      </c>
      <c r="K50" s="75">
        <f ca="1">K49*J50</f>
        <v>69034.27800820001</v>
      </c>
    </row>
    <row r="51" spans="2:11">
      <c r="B51" s="64" t="s">
        <v>145</v>
      </c>
      <c r="C51" s="45"/>
      <c r="D51" s="45"/>
      <c r="E51" s="45"/>
      <c r="F51" s="45"/>
      <c r="G51" s="45"/>
      <c r="H51" s="45"/>
      <c r="I51" s="45"/>
      <c r="J51" s="45"/>
      <c r="K51" s="48">
        <f ca="1">ROUND(K50+K49,2)</f>
        <v>223819.65</v>
      </c>
    </row>
    <row r="52" spans="2:11" ht="7.5" customHeight="1"/>
    <row r="53" spans="2:11" ht="4.5" customHeight="1"/>
  </sheetData>
  <mergeCells count="13">
    <mergeCell ref="C12:E12"/>
    <mergeCell ref="B6:K6"/>
    <mergeCell ref="B8:H9"/>
    <mergeCell ref="F10:F11"/>
    <mergeCell ref="G10:H10"/>
    <mergeCell ref="I10:J10"/>
    <mergeCell ref="E44:G44"/>
    <mergeCell ref="H44:J44"/>
    <mergeCell ref="C13:E13"/>
    <mergeCell ref="C18:E18"/>
    <mergeCell ref="C19:E19"/>
    <mergeCell ref="C20:E20"/>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BC1E1F1-1953-4286-AD8E-51012ADE10C5}">
          <x14:formula1>
            <xm:f>Categorias!$A$4:$A$101</xm:f>
          </x14:formula1>
          <xm:sqref>C18:E21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637-6422-40D5-ACC2-F450694F788F}">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'Cronograma'!D14</f>
        <v>2</v>
      </c>
    </row>
    <row r="8" spans="1:11">
      <c r="B8" s="719" t="str">
        <f>CONCATENATE("",'Alocação MO'!C8)</f>
        <v>Dimensão Operacional (EOP)</v>
      </c>
      <c r="C8" s="720"/>
      <c r="D8" s="720"/>
      <c r="E8" s="720"/>
      <c r="F8" s="720"/>
      <c r="G8" s="720"/>
      <c r="H8" s="720"/>
      <c r="I8" s="18"/>
      <c r="J8" s="18" t="s">
        <v>105</v>
      </c>
      <c r="K8" s="19" t="s">
        <v>106</v>
      </c>
    </row>
    <row r="9" spans="1:11">
      <c r="B9" s="719"/>
      <c r="C9" s="720"/>
      <c r="D9" s="720"/>
      <c r="E9" s="720"/>
      <c r="F9" s="721"/>
      <c r="G9" s="721"/>
      <c r="H9" s="721"/>
      <c r="I9" s="20"/>
      <c r="J9" s="20" t="s">
        <v>107</v>
      </c>
      <c r="K9" s="21" t="s">
        <v>747</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403">
        <f>SUM(I19:I20)</f>
        <v>729.96</v>
      </c>
      <c r="G12" s="107">
        <v>1</v>
      </c>
      <c r="H12" s="107">
        <v>0</v>
      </c>
      <c r="I12" s="107">
        <f>IF(B12="","",VLOOKUP($B12,Equip.Info!$A:$I,8,FALSE))</f>
        <v>0.54349999999999998</v>
      </c>
      <c r="J12" s="107">
        <f>IF(B12="","",VLOOKUP($B12,Equip.Info!$A:$I,9,FALSE))</f>
        <v>0.3599</v>
      </c>
      <c r="K12" s="118">
        <f>ROUND(F12*(G12*I12+H12*J12),4)</f>
        <v>396.73329999999999</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484">
        <f>I18+I21</f>
        <v>273.73500000000001</v>
      </c>
      <c r="G13" s="108">
        <v>1</v>
      </c>
      <c r="H13" s="108">
        <v>0</v>
      </c>
      <c r="I13" s="108">
        <f>IF(B13="","",VLOOKUP($B13,Equip.Info!$A:$I,8,FALSE))</f>
        <v>0.217</v>
      </c>
      <c r="J13" s="108">
        <f>IF(B13="","",VLOOKUP($B13,Equip.Info!$A:$I,9,FALSE))</f>
        <v>0.14369999999999999</v>
      </c>
      <c r="K13" s="119">
        <f>ROUND(F13*(G13*I13+H13*J13),4)</f>
        <v>59.400500000000001</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456.13380000000001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P8060</v>
      </c>
      <c r="C18" s="732" t="s">
        <v>34</v>
      </c>
      <c r="D18" s="732"/>
      <c r="E18" s="732"/>
      <c r="F18" s="54">
        <v>0.5</v>
      </c>
      <c r="G18" s="55">
        <f>INDEX(MO[],MATCH($B$8,MO[Descrição dos Produtos],0),MATCH(C18,MO[#Headers],0))</f>
        <v>1</v>
      </c>
      <c r="H18" s="52">
        <f>F18*G18*$K$7</f>
        <v>1</v>
      </c>
      <c r="I18" s="56">
        <f t="shared" ref="I18:I21" si="0">H18*182.49</f>
        <v>182.49</v>
      </c>
      <c r="J18" s="53">
        <f>IF(ISBLANK(B18),0,VLOOKUP(B18,'TC 10-2023'!B:Z,25,TRUE)/182.49)</f>
        <v>207.71921749136939</v>
      </c>
      <c r="K18" s="35">
        <f>ROUND(J18*I18,4)</f>
        <v>37906.68</v>
      </c>
    </row>
    <row r="19" spans="2:15" ht="15" customHeight="1">
      <c r="B19" s="37" t="str">
        <f>IF(ISBLANK(C19),0,VLOOKUP(C19,Categorias!$A$4:$B$83,2,FALSE))</f>
        <v>P8067</v>
      </c>
      <c r="C19" s="732" t="s">
        <v>41</v>
      </c>
      <c r="D19" s="732"/>
      <c r="E19" s="732"/>
      <c r="F19" s="54">
        <v>1</v>
      </c>
      <c r="G19" s="55">
        <f>INDEX(MO[],MATCH($B$8,MO[Descrição dos Produtos],0),MATCH(C19,MO[#Headers],0))</f>
        <v>1</v>
      </c>
      <c r="H19" s="52">
        <f t="shared" ref="H19:H21" si="1">F19*G19*$K$7</f>
        <v>2</v>
      </c>
      <c r="I19" s="56">
        <f t="shared" si="0"/>
        <v>364.98</v>
      </c>
      <c r="J19" s="53">
        <f>IF(ISBLANK(B19),0,VLOOKUP(B19,'TC 10-2023'!B:Z,25,TRUE)/182.49)</f>
        <v>151.26779549564358</v>
      </c>
      <c r="K19" s="35">
        <f t="shared" ref="K19:K21" si="2">ROUND(J19*I19,4)</f>
        <v>55209.72</v>
      </c>
    </row>
    <row r="20" spans="2:15" ht="15" customHeight="1">
      <c r="B20" s="37" t="str">
        <f>IF(ISBLANK(C20),0,VLOOKUP(C20,Categorias!$A$4:$B$83,2,FALSE))</f>
        <v>P8066</v>
      </c>
      <c r="C20" s="732" t="s">
        <v>40</v>
      </c>
      <c r="D20" s="732"/>
      <c r="E20" s="732"/>
      <c r="F20" s="54">
        <v>1</v>
      </c>
      <c r="G20" s="55">
        <f>INDEX(MO[],MATCH($B$8,MO[Descrição dos Produtos],0),MATCH(C20,MO[#Headers],0))</f>
        <v>1</v>
      </c>
      <c r="H20" s="52">
        <f t="shared" si="1"/>
        <v>2</v>
      </c>
      <c r="I20" s="56">
        <f t="shared" si="0"/>
        <v>364.98</v>
      </c>
      <c r="J20" s="53">
        <f>IF(ISBLANK(B20),0,VLOOKUP(B20,'TC 10-2023'!B:Z,25,TRUE)/182.49)</f>
        <v>120.38555537289714</v>
      </c>
      <c r="K20" s="35">
        <f t="shared" si="2"/>
        <v>43938.32</v>
      </c>
    </row>
    <row r="21" spans="2:15" ht="15" customHeight="1">
      <c r="B21" s="37" t="str">
        <f>IF(ISBLANK(C21),0,VLOOKUP(C21,Categorias!$A$4:$B$83,2,FALSE))</f>
        <v>P8061</v>
      </c>
      <c r="C21" s="105" t="s">
        <v>35</v>
      </c>
      <c r="D21" s="105"/>
      <c r="E21" s="105"/>
      <c r="F21" s="54">
        <v>0.25</v>
      </c>
      <c r="G21" s="55">
        <f>INDEX(MO[],MATCH($B$8,MO[Descrição dos Produtos],0),MATCH(C21,MO[#Headers],0))</f>
        <v>1</v>
      </c>
      <c r="H21" s="52">
        <f t="shared" si="1"/>
        <v>0.5</v>
      </c>
      <c r="I21" s="56">
        <f t="shared" si="0"/>
        <v>91.245000000000005</v>
      </c>
      <c r="J21" s="53">
        <f>IF(ISBLANK(B21),0,VLOOKUP(B21,'TC 10-2023'!B:Z,25,TRUE)/182.49)</f>
        <v>174.03671434051179</v>
      </c>
      <c r="K21" s="35">
        <f t="shared" si="2"/>
        <v>15879.98</v>
      </c>
    </row>
    <row r="22" spans="2:15" ht="15" customHeight="1">
      <c r="B22" s="37"/>
      <c r="F22" s="58"/>
      <c r="H22" s="97"/>
      <c r="I22" s="59"/>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152934.70000000001</v>
      </c>
    </row>
    <row r="27" spans="2:15">
      <c r="B27" s="44" t="s">
        <v>125</v>
      </c>
      <c r="C27" s="45"/>
      <c r="D27" s="45"/>
      <c r="E27" s="345">
        <v>1</v>
      </c>
      <c r="F27" s="44" t="s">
        <v>126</v>
      </c>
      <c r="G27" s="45"/>
      <c r="H27" s="45"/>
      <c r="I27" s="45"/>
      <c r="J27" s="63"/>
      <c r="K27" s="48">
        <f>K26+K16</f>
        <v>153390.83380000002</v>
      </c>
    </row>
    <row r="28" spans="2:15">
      <c r="B28" s="44" t="s">
        <v>127</v>
      </c>
      <c r="C28" s="45"/>
      <c r="D28" s="45"/>
      <c r="E28" s="345"/>
      <c r="F28" s="44"/>
      <c r="G28" s="45"/>
      <c r="H28" s="45"/>
      <c r="I28" s="45"/>
      <c r="J28" s="63"/>
      <c r="K28" s="48">
        <f>K27/E27</f>
        <v>153390.83380000002</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402">
        <f>SUM(F12:F15)*G31</f>
        <v>1003.6950000000001</v>
      </c>
      <c r="J31" s="106">
        <f>IF(B31="","",VLOOKUP(B31,Mat.Info!$A:$H,8,FALSE))</f>
        <v>0.16250000000000001</v>
      </c>
      <c r="K31" s="34">
        <f>ROUND(IF(B31="","",I31*J31),4)</f>
        <v>163.10040000000001</v>
      </c>
    </row>
    <row r="32" spans="2:15">
      <c r="B32" s="37"/>
      <c r="C32" s="4" t="str">
        <f>IF(B32="","",VLOOKUP(B32,Mat.Info!A2:H5,2,FALSE))</f>
        <v/>
      </c>
      <c r="G32" s="543" t="str">
        <f>IF(B32="","",VLOOKUP(B32,Mat.Info!A3:H5,6,0))</f>
        <v/>
      </c>
      <c r="H32" s="59"/>
      <c r="I32" s="59"/>
      <c r="J32" s="59"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163.10040000000001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153553.93420000002</v>
      </c>
    </row>
    <row r="50" spans="2:11">
      <c r="B50" s="44" t="s">
        <v>144</v>
      </c>
      <c r="C50" s="74"/>
      <c r="D50" s="74"/>
      <c r="E50" s="74"/>
      <c r="F50" s="74"/>
      <c r="G50" s="74"/>
      <c r="H50" s="74"/>
      <c r="I50" s="74"/>
      <c r="J50" s="76">
        <f ca="1">Dados!$C$17</f>
        <v>0.44600000000000001</v>
      </c>
      <c r="K50" s="75">
        <f ca="1">K49*J50</f>
        <v>68485.054653200015</v>
      </c>
    </row>
    <row r="51" spans="2:11">
      <c r="B51" s="64" t="s">
        <v>145</v>
      </c>
      <c r="C51" s="45"/>
      <c r="D51" s="45"/>
      <c r="E51" s="45"/>
      <c r="F51" s="45"/>
      <c r="G51" s="45"/>
      <c r="H51" s="45"/>
      <c r="I51" s="45"/>
      <c r="J51" s="45"/>
      <c r="K51" s="48">
        <f ca="1">ROUND(K50+K49,2)</f>
        <v>222038.99</v>
      </c>
    </row>
    <row r="52" spans="2:11" ht="7.5" customHeight="1"/>
    <row r="53" spans="2:11" ht="4.5" customHeight="1"/>
  </sheetData>
  <mergeCells count="13">
    <mergeCell ref="C12:E12"/>
    <mergeCell ref="B6:K6"/>
    <mergeCell ref="B8:H9"/>
    <mergeCell ref="F10:F11"/>
    <mergeCell ref="G10:H10"/>
    <mergeCell ref="I10:J10"/>
    <mergeCell ref="E44:G44"/>
    <mergeCell ref="H44:J44"/>
    <mergeCell ref="C13:E13"/>
    <mergeCell ref="C18:E18"/>
    <mergeCell ref="C19:E19"/>
    <mergeCell ref="C20:E20"/>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AFC5CC9-4F0D-4E00-A6F1-53C1521BE104}">
          <x14:formula1>
            <xm:f>Categorias!$A$4:$A$101</xm:f>
          </x14:formula1>
          <xm:sqref>C18:E21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0F51-9592-4EC8-A514-EC39E781F551}">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'Cronograma'!D15</f>
        <v>2</v>
      </c>
    </row>
    <row r="8" spans="1:11">
      <c r="B8" s="719" t="str">
        <f>CONCATENATE("",'Alocação MO'!C9)</f>
        <v>Dimensão Socioambiental (EMA)</v>
      </c>
      <c r="C8" s="720"/>
      <c r="D8" s="720"/>
      <c r="E8" s="720"/>
      <c r="F8" s="720"/>
      <c r="G8" s="720"/>
      <c r="H8" s="720"/>
      <c r="I8" s="18"/>
      <c r="J8" s="18" t="s">
        <v>105</v>
      </c>
      <c r="K8" s="19" t="s">
        <v>106</v>
      </c>
    </row>
    <row r="9" spans="1:11">
      <c r="B9" s="719"/>
      <c r="C9" s="720"/>
      <c r="D9" s="720"/>
      <c r="E9" s="720"/>
      <c r="F9" s="721"/>
      <c r="G9" s="721"/>
      <c r="H9" s="721"/>
      <c r="I9" s="20"/>
      <c r="J9" s="20" t="s">
        <v>107</v>
      </c>
      <c r="K9" s="21" t="s">
        <v>748</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107">
        <f>SUM(I19:I22)</f>
        <v>638.71500000000003</v>
      </c>
      <c r="G12" s="107">
        <v>1</v>
      </c>
      <c r="H12" s="107">
        <v>0</v>
      </c>
      <c r="I12" s="107">
        <f>IF(B12="","",VLOOKUP($B12,Equip.Info!$A:$I,8,FALSE))</f>
        <v>0.54349999999999998</v>
      </c>
      <c r="J12" s="107">
        <f>IF(B12="","",VLOOKUP($B12,Equip.Info!$A:$I,9,FALSE))</f>
        <v>0.3599</v>
      </c>
      <c r="K12" s="118">
        <f>ROUND(F12*(G12*I12+H12*J12),4)</f>
        <v>347.14159999999998</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108">
        <f>I18</f>
        <v>182.49</v>
      </c>
      <c r="G13" s="108">
        <v>1</v>
      </c>
      <c r="H13" s="108">
        <v>0</v>
      </c>
      <c r="I13" s="108">
        <f>IF(B13="","",VLOOKUP($B13,Equip.Info!$A:$I,8,FALSE))</f>
        <v>0.217</v>
      </c>
      <c r="J13" s="108">
        <f>IF(B13="","",VLOOKUP($B13,Equip.Info!$A:$I,9,FALSE))</f>
        <v>0.14369999999999999</v>
      </c>
      <c r="K13" s="119">
        <f>ROUND(F13*(G13*I13+H13*J13),4)</f>
        <v>39.600299999999997</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386.74189999999999</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0.5</v>
      </c>
      <c r="G18" s="55">
        <f>INDEX(MO[],MATCH($B$8,MO[Descrição dos Produtos],0),MATCH(C18,MO[#Headers],0))</f>
        <v>1</v>
      </c>
      <c r="H18" s="52">
        <f>F18*G18*$K$7</f>
        <v>1</v>
      </c>
      <c r="I18" s="56">
        <f t="shared" ref="I18:I20" si="0">H18*182.49</f>
        <v>182.49</v>
      </c>
      <c r="J18" s="53">
        <f>IF(ISBLANK(B18),0,VLOOKUP(B18,'TC 10-2023'!B:Z,25,TRUE)/182.49)</f>
        <v>172.51148008110033</v>
      </c>
      <c r="K18" s="35">
        <f>ROUND(J18*I18,4)</f>
        <v>31481.62</v>
      </c>
    </row>
    <row r="19" spans="2:15" ht="15" customHeight="1">
      <c r="B19" s="37" t="str">
        <f>IF(ISBLANK(C19),0,VLOOKUP(C19,Categorias!$A$4:$B$83,2,FALSE))</f>
        <v>P8059</v>
      </c>
      <c r="C19" s="732" t="s">
        <v>33</v>
      </c>
      <c r="D19" s="732"/>
      <c r="E19" s="732"/>
      <c r="F19" s="54">
        <v>0.75</v>
      </c>
      <c r="G19" s="55">
        <f>INDEX(MO[],MATCH($B$8,MO[Descrição dos Produtos],0),MATCH(C19,MO[#Headers],0))</f>
        <v>1</v>
      </c>
      <c r="H19" s="52">
        <f t="shared" ref="H19:H20" si="1">F19*G19*$K$7</f>
        <v>1.5</v>
      </c>
      <c r="I19" s="56">
        <f t="shared" si="0"/>
        <v>273.73500000000001</v>
      </c>
      <c r="J19" s="53">
        <f>IF(ISBLANK(B19),0,VLOOKUP(B19,'TC 10-2023'!B:Z,25,TRUE)/182.49)</f>
        <v>139.25875390432353</v>
      </c>
      <c r="K19" s="35">
        <f t="shared" ref="K19:K20" si="2">ROUND(J19*I19,4)</f>
        <v>38119.995000000003</v>
      </c>
    </row>
    <row r="20" spans="2:15" ht="15" customHeight="1">
      <c r="B20" s="37" t="str">
        <f>IF(ISBLANK(C20),0,VLOOKUP(C20,Categorias!$A$4:$B$83,2,FALSE))</f>
        <v>P8058</v>
      </c>
      <c r="C20" s="105" t="s">
        <v>32</v>
      </c>
      <c r="D20" s="105"/>
      <c r="E20" s="105"/>
      <c r="F20" s="54">
        <v>1</v>
      </c>
      <c r="G20" s="55">
        <f>INDEX(MO[],MATCH($B$8,MO[Descrição dos Produtos],0),MATCH(C20,MO[#Headers],0))</f>
        <v>1</v>
      </c>
      <c r="H20" s="52">
        <f t="shared" si="1"/>
        <v>2</v>
      </c>
      <c r="I20" s="56">
        <f t="shared" si="0"/>
        <v>364.98</v>
      </c>
      <c r="J20" s="53">
        <f>IF(ISBLANK(B20),0,VLOOKUP(B20,'TC 10-2023'!B:Z,25,TRUE)/182.49)</f>
        <v>116.50780864704915</v>
      </c>
      <c r="K20" s="35">
        <f t="shared" si="2"/>
        <v>42523.02</v>
      </c>
    </row>
    <row r="21" spans="2:15" ht="15" customHeight="1">
      <c r="B21" s="37"/>
      <c r="C21" s="105"/>
      <c r="D21" s="105"/>
      <c r="E21" s="105"/>
      <c r="F21" s="54"/>
      <c r="G21" s="55"/>
      <c r="H21" s="52"/>
      <c r="I21" s="56"/>
      <c r="J21" s="53"/>
      <c r="K21" s="35"/>
    </row>
    <row r="22" spans="2:15" ht="15" customHeight="1">
      <c r="B22" s="37"/>
      <c r="C22" s="105"/>
      <c r="D22" s="105"/>
      <c r="E22" s="105"/>
      <c r="F22" s="54"/>
      <c r="G22" s="55"/>
      <c r="H22" s="52"/>
      <c r="I22" s="56"/>
      <c r="J22" s="53"/>
      <c r="K22" s="35"/>
    </row>
    <row r="23" spans="2:15" ht="15" customHeight="1">
      <c r="B23" s="37"/>
      <c r="C23" s="105"/>
      <c r="D23" s="105"/>
      <c r="E23" s="105"/>
      <c r="F23" s="54"/>
      <c r="G23" s="55"/>
      <c r="H23" s="52"/>
      <c r="I23" s="56"/>
      <c r="J23" s="53"/>
      <c r="K23" s="35"/>
    </row>
    <row r="24" spans="2:15" ht="15" customHeight="1">
      <c r="B24" s="37"/>
      <c r="C24" s="105"/>
      <c r="D24" s="105"/>
      <c r="E24" s="105"/>
      <c r="F24" s="54"/>
      <c r="G24" s="55"/>
      <c r="H24" s="52"/>
      <c r="I24" s="56"/>
      <c r="J24" s="53"/>
      <c r="K24" s="35"/>
    </row>
    <row r="25" spans="2:15" ht="15" customHeight="1">
      <c r="B25" s="37"/>
      <c r="C25" s="105"/>
      <c r="D25" s="105"/>
      <c r="E25" s="105"/>
      <c r="F25" s="54"/>
      <c r="G25" s="55"/>
      <c r="H25" s="52"/>
      <c r="I25" s="56"/>
      <c r="J25" s="53"/>
      <c r="K25" s="35"/>
    </row>
    <row r="26" spans="2:15">
      <c r="B26" s="44" t="s">
        <v>124</v>
      </c>
      <c r="C26" s="45"/>
      <c r="D26" s="45"/>
      <c r="E26" s="45"/>
      <c r="F26" s="46"/>
      <c r="G26" s="46"/>
      <c r="H26" s="46"/>
      <c r="I26" s="46"/>
      <c r="J26" s="47"/>
      <c r="K26" s="48">
        <f>SUM(K18:K25)</f>
        <v>112124.63500000001</v>
      </c>
    </row>
    <row r="27" spans="2:15">
      <c r="B27" s="44" t="s">
        <v>125</v>
      </c>
      <c r="C27" s="45"/>
      <c r="D27" s="45"/>
      <c r="E27" s="345">
        <v>1</v>
      </c>
      <c r="F27" s="44" t="s">
        <v>126</v>
      </c>
      <c r="G27" s="45"/>
      <c r="H27" s="45"/>
      <c r="I27" s="45"/>
      <c r="J27" s="63"/>
      <c r="K27" s="48">
        <f>K26+K16</f>
        <v>112511.3769</v>
      </c>
    </row>
    <row r="28" spans="2:15">
      <c r="B28" s="44" t="s">
        <v>127</v>
      </c>
      <c r="C28" s="45"/>
      <c r="D28" s="45"/>
      <c r="E28" s="345"/>
      <c r="F28" s="44"/>
      <c r="G28" s="45"/>
      <c r="H28" s="45"/>
      <c r="I28" s="45"/>
      <c r="J28" s="63"/>
      <c r="K28" s="48">
        <f>K27/E27</f>
        <v>112511.3769</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106">
        <f>SUM(F12:F15)*G31</f>
        <v>821.20500000000004</v>
      </c>
      <c r="J31" s="106">
        <f>IF(B31="","",VLOOKUP(B31,Mat.Info!$A:$H,8,FALSE))</f>
        <v>0.16250000000000001</v>
      </c>
      <c r="K31" s="34">
        <f>ROUND(IF(B31="","",I31*J31),4)</f>
        <v>133.44579999999999</v>
      </c>
    </row>
    <row r="32" spans="2:15">
      <c r="B32" s="37" t="s">
        <v>666</v>
      </c>
      <c r="C32" s="4" t="str">
        <f>IF(B32="","",VLOOKUP(B32,Mat.Info!A2:H5,2,FALSE))</f>
        <v>Software SIG para MAC/Windows 64bits</v>
      </c>
      <c r="G32" s="543">
        <f>IF(B32="","",VLOOKUP(B32,Mat.Info!A3:H5,6,0))</f>
        <v>0.5</v>
      </c>
      <c r="H32" s="59" t="s">
        <v>299</v>
      </c>
      <c r="I32" s="59">
        <f>SUM($I$19:$I$20)*G32</f>
        <v>319.35750000000002</v>
      </c>
      <c r="J32" s="59">
        <f>IF(B32="","",VLOOKUP(B32,Mat.Info!$A:$H,8,FALSE))</f>
        <v>4.4630000000000001</v>
      </c>
      <c r="K32" s="35">
        <f>ROUND(IF(B32="","",I32*J32),4)</f>
        <v>1425.2925</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1558.7383</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114070.1152</v>
      </c>
    </row>
    <row r="50" spans="2:11">
      <c r="B50" s="44" t="s">
        <v>144</v>
      </c>
      <c r="C50" s="74"/>
      <c r="D50" s="74"/>
      <c r="E50" s="74"/>
      <c r="F50" s="74"/>
      <c r="G50" s="74"/>
      <c r="H50" s="74"/>
      <c r="I50" s="74"/>
      <c r="J50" s="76">
        <f ca="1">Dados!$C$17</f>
        <v>0.44600000000000001</v>
      </c>
      <c r="K50" s="75">
        <f ca="1">K49*J50</f>
        <v>50875.2713792</v>
      </c>
    </row>
    <row r="51" spans="2:11">
      <c r="B51" s="64" t="s">
        <v>145</v>
      </c>
      <c r="C51" s="45"/>
      <c r="D51" s="45"/>
      <c r="E51" s="45"/>
      <c r="F51" s="45"/>
      <c r="G51" s="45"/>
      <c r="H51" s="45"/>
      <c r="I51" s="45"/>
      <c r="J51" s="45"/>
      <c r="K51" s="48">
        <f ca="1">ROUND(K50+K49,2)</f>
        <v>164945.39000000001</v>
      </c>
    </row>
    <row r="52" spans="2:11" ht="7.5" customHeight="1"/>
    <row r="53" spans="2:11" ht="4.5" customHeight="1"/>
  </sheetData>
  <mergeCells count="12">
    <mergeCell ref="C12:E12"/>
    <mergeCell ref="B6:K6"/>
    <mergeCell ref="B8:H9"/>
    <mergeCell ref="F10:F11"/>
    <mergeCell ref="G10:H10"/>
    <mergeCell ref="I10:J10"/>
    <mergeCell ref="E44:G44"/>
    <mergeCell ref="H44:J44"/>
    <mergeCell ref="C13:E13"/>
    <mergeCell ref="C18:E18"/>
    <mergeCell ref="C19:E19"/>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5F86D45-E55E-4537-956C-C1A65CF01ECC}">
          <x14:formula1>
            <xm:f>Categorias!$A$4:$A$101</xm:f>
          </x14:formula1>
          <xm:sqref>C18:E25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3AEF-560A-47B4-A099-D29E0F5AF01B}">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'Cronograma'!D16</f>
        <v>1</v>
      </c>
    </row>
    <row r="8" spans="1:11">
      <c r="B8" s="719" t="str">
        <f>CONCATENATE("",'Alocação MO'!C10)</f>
        <v>Dimensão Econômico-Financeira (MEF)</v>
      </c>
      <c r="C8" s="720"/>
      <c r="D8" s="720"/>
      <c r="E8" s="720"/>
      <c r="F8" s="720"/>
      <c r="G8" s="720"/>
      <c r="H8" s="720"/>
      <c r="I8" s="18"/>
      <c r="J8" s="18" t="s">
        <v>105</v>
      </c>
      <c r="K8" s="19" t="s">
        <v>106</v>
      </c>
    </row>
    <row r="9" spans="1:11">
      <c r="B9" s="719"/>
      <c r="C9" s="720"/>
      <c r="D9" s="720"/>
      <c r="E9" s="720"/>
      <c r="F9" s="721"/>
      <c r="G9" s="721"/>
      <c r="H9" s="721"/>
      <c r="I9" s="20"/>
      <c r="J9" s="20" t="s">
        <v>107</v>
      </c>
      <c r="K9" s="21" t="s">
        <v>749</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33" t="str">
        <f>Equip.Info!A4</f>
        <v>EQSF002</v>
      </c>
      <c r="C12" s="730" t="str">
        <f>VLOOKUP(B12,Equip.Info!A:I,2,FALSE)</f>
        <v>Laptop completo, processador Intel Core i5, 16GB memória, Resolução 3.840x2.160 (4K), PV GPU de 4GB e Sistema Operacional.</v>
      </c>
      <c r="D12" s="730"/>
      <c r="E12" s="731"/>
      <c r="F12" s="107">
        <f>SUM(I18:I25)</f>
        <v>200.739</v>
      </c>
      <c r="G12" s="107">
        <v>1</v>
      </c>
      <c r="H12" s="107">
        <v>0</v>
      </c>
      <c r="I12" s="107">
        <f>IF(B12="","",VLOOKUP($B12,Equip.Info!$A:$I,8,FALSE))</f>
        <v>0.217</v>
      </c>
      <c r="J12" s="107">
        <f>IF(B12="","",VLOOKUP($B12,Equip.Info!$A:$I,9,FALSE))</f>
        <v>0.14369999999999999</v>
      </c>
      <c r="K12" s="118">
        <f>ROUND(F12*(G12*I12+H12*J12),4)</f>
        <v>43.560400000000001</v>
      </c>
    </row>
    <row r="13" spans="1:11" ht="39.75" customHeight="1">
      <c r="B13" s="33"/>
      <c r="C13" s="730"/>
      <c r="D13" s="730"/>
      <c r="E13" s="731"/>
      <c r="F13" s="108"/>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P8047</v>
      </c>
      <c r="C18" s="732" t="s">
        <v>27</v>
      </c>
      <c r="D18" s="732"/>
      <c r="E18" s="732"/>
      <c r="F18" s="54">
        <v>1</v>
      </c>
      <c r="G18" s="55">
        <f>INDEX(MO[],MATCH($B$8,MO[Descrição dos Produtos],0),MATCH(C18,MO[#Headers],0))</f>
        <v>1</v>
      </c>
      <c r="H18" s="52">
        <f>F18*G18*$K$7</f>
        <v>1</v>
      </c>
      <c r="I18" s="56">
        <f t="shared" ref="I18:I19" si="0">H18*182.49</f>
        <v>182.49</v>
      </c>
      <c r="J18" s="53">
        <f>IF(ISBLANK(B18),0,VLOOKUP(B18,'TC 10-2023'!B:Z,25,TRUE)/182.49)</f>
        <v>108.82941531042796</v>
      </c>
      <c r="K18" s="35">
        <f>ROUND(J18*I18,4)</f>
        <v>19860.28</v>
      </c>
    </row>
    <row r="19" spans="2:15" ht="15" customHeight="1">
      <c r="B19" s="37" t="str">
        <f>IF(ISBLANK(C19),0,VLOOKUP(C19,Categorias!$A$4:$B$83,2,FALSE))</f>
        <v>P8061</v>
      </c>
      <c r="C19" s="105" t="s">
        <v>35</v>
      </c>
      <c r="D19" s="105"/>
      <c r="E19" s="105"/>
      <c r="F19" s="54">
        <v>0.1</v>
      </c>
      <c r="G19" s="55">
        <f>INDEX(MO[],MATCH($B$8,MO[Descrição dos Produtos],0),MATCH(C19,MO[#Headers],0))</f>
        <v>1</v>
      </c>
      <c r="H19" s="52">
        <f t="shared" ref="H19" si="1">F19*G19*$K$7</f>
        <v>0.1</v>
      </c>
      <c r="I19" s="56">
        <f t="shared" si="0"/>
        <v>18.249000000000002</v>
      </c>
      <c r="J19" s="53">
        <f>IF(ISBLANK(B19),0,VLOOKUP(B19,'TC 10-2023'!B:Z,25,TRUE)/182.49)</f>
        <v>174.03671434051179</v>
      </c>
      <c r="K19" s="35">
        <f t="shared" ref="K19" si="2">ROUND(J19*I19,4)</f>
        <v>3175.9960000000001</v>
      </c>
    </row>
    <row r="20" spans="2:15" ht="15" customHeight="1">
      <c r="B20" s="37"/>
      <c r="C20" s="732"/>
      <c r="D20" s="732"/>
      <c r="E20" s="732"/>
      <c r="F20" s="54"/>
      <c r="G20" s="55"/>
      <c r="H20" s="52"/>
      <c r="I20" s="56"/>
      <c r="J20" s="53"/>
      <c r="K20" s="35"/>
    </row>
    <row r="21" spans="2:15" ht="15" customHeight="1">
      <c r="B21" s="37"/>
      <c r="F21" s="58"/>
      <c r="H21" s="97"/>
      <c r="I21" s="59"/>
      <c r="J21" s="53"/>
      <c r="K21" s="35"/>
    </row>
    <row r="22" spans="2:15" ht="15" customHeight="1">
      <c r="B22" s="37"/>
      <c r="C22" s="732"/>
      <c r="D22" s="732"/>
      <c r="E22" s="732"/>
      <c r="F22" s="54"/>
      <c r="G22" s="55"/>
      <c r="H22" s="52"/>
      <c r="I22" s="56"/>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23036.275999999998</v>
      </c>
    </row>
    <row r="27" spans="2:15">
      <c r="B27" s="44" t="s">
        <v>125</v>
      </c>
      <c r="C27" s="45"/>
      <c r="D27" s="45"/>
      <c r="E27" s="345">
        <v>1</v>
      </c>
      <c r="F27" s="44" t="s">
        <v>126</v>
      </c>
      <c r="G27" s="45"/>
      <c r="H27" s="45"/>
      <c r="I27" s="45"/>
      <c r="J27" s="63"/>
      <c r="K27" s="48">
        <f>K26+K16</f>
        <v>23079.836399999997</v>
      </c>
    </row>
    <row r="28" spans="2:15">
      <c r="B28" s="44" t="s">
        <v>127</v>
      </c>
      <c r="C28" s="45"/>
      <c r="D28" s="45"/>
      <c r="E28" s="345"/>
      <c r="F28" s="44"/>
      <c r="G28" s="45"/>
      <c r="H28" s="45"/>
      <c r="I28" s="45"/>
      <c r="J28" s="63"/>
      <c r="K28" s="48">
        <f>K27/E27</f>
        <v>23079.836399999997</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tr">
        <f>Mat.Info!$A$2</f>
        <v>MTSF001</v>
      </c>
      <c r="C31" s="4" t="str">
        <f>VLOOKUP(B31,Mat.Info!A1:H3,2,FALSE)</f>
        <v>Pacote Microsoft 365 Business Basic</v>
      </c>
      <c r="G31" s="543">
        <f>IF(B31="","",VLOOKUP(B31,Mat.Info!A2:H4,6,0))</f>
        <v>1</v>
      </c>
      <c r="H31" s="106" t="s">
        <v>299</v>
      </c>
      <c r="I31" s="106">
        <f>SUM(F12:F15)*G31</f>
        <v>200.739</v>
      </c>
      <c r="J31" s="106">
        <f>IF(B31="","",VLOOKUP(B31,Mat.Info!$A:$H,8,FALSE))</f>
        <v>0.16250000000000001</v>
      </c>
      <c r="K31" s="34">
        <f>ROUND(IF(B31="","",I31*J31),4)</f>
        <v>32.620100000000001</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23112.456499999997</v>
      </c>
    </row>
    <row r="50" spans="2:11">
      <c r="B50" s="44" t="s">
        <v>144</v>
      </c>
      <c r="C50" s="74"/>
      <c r="D50" s="74"/>
      <c r="E50" s="74"/>
      <c r="F50" s="74"/>
      <c r="G50" s="74"/>
      <c r="H50" s="74"/>
      <c r="I50" s="74"/>
      <c r="J50" s="76">
        <f ca="1">Dados!$C$17</f>
        <v>0.44600000000000001</v>
      </c>
      <c r="K50" s="75">
        <f ca="1">K49*J50</f>
        <v>10308.155598999998</v>
      </c>
    </row>
    <row r="51" spans="2:11">
      <c r="B51" s="64" t="s">
        <v>145</v>
      </c>
      <c r="C51" s="45"/>
      <c r="D51" s="45"/>
      <c r="E51" s="45"/>
      <c r="F51" s="45"/>
      <c r="G51" s="45"/>
      <c r="H51" s="45"/>
      <c r="I51" s="45"/>
      <c r="J51" s="45"/>
      <c r="K51" s="48">
        <f ca="1">ROUND(K50+K49,2)</f>
        <v>33420.61</v>
      </c>
    </row>
    <row r="52" spans="2:11" ht="7.5" customHeight="1"/>
    <row r="53" spans="2:11" ht="4.5" customHeight="1"/>
  </sheetData>
  <mergeCells count="13">
    <mergeCell ref="C12:E12"/>
    <mergeCell ref="B6:K6"/>
    <mergeCell ref="B8:H9"/>
    <mergeCell ref="F10:F11"/>
    <mergeCell ref="G10:H10"/>
    <mergeCell ref="I10:J10"/>
    <mergeCell ref="E44:G44"/>
    <mergeCell ref="H44:J44"/>
    <mergeCell ref="C13:E13"/>
    <mergeCell ref="C18:E18"/>
    <mergeCell ref="C22:E22"/>
    <mergeCell ref="B30:F30"/>
    <mergeCell ref="C20:E2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857377-9778-43A2-B1A2-64722A69BA1A}">
          <x14:formula1>
            <xm:f>Categorias!$A$4:$A$101</xm:f>
          </x14:formula1>
          <xm:sqref>C18:E20 C22:E22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0488-DA81-470A-8751-84CF80B84901}">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'Cronograma'!D17</f>
        <v>1</v>
      </c>
    </row>
    <row r="8" spans="1:11">
      <c r="B8" s="719" t="str">
        <f>CONCATENATE("", "",'Alocação MO'!C11)</f>
        <v>Apoio e revisão pós Audiência Pública</v>
      </c>
      <c r="C8" s="720"/>
      <c r="D8" s="720"/>
      <c r="E8" s="720"/>
      <c r="F8" s="720"/>
      <c r="G8" s="720"/>
      <c r="H8" s="720"/>
      <c r="I8" s="18"/>
      <c r="J8" s="18" t="s">
        <v>105</v>
      </c>
      <c r="K8" s="19" t="s">
        <v>106</v>
      </c>
    </row>
    <row r="9" spans="1:11">
      <c r="B9" s="719"/>
      <c r="C9" s="720"/>
      <c r="D9" s="720"/>
      <c r="E9" s="720"/>
      <c r="F9" s="721"/>
      <c r="G9" s="721"/>
      <c r="H9" s="721"/>
      <c r="I9" s="20"/>
      <c r="J9" s="20" t="s">
        <v>107</v>
      </c>
      <c r="K9" s="21" t="s">
        <v>750</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2.25" customHeight="1">
      <c r="B12" s="33" t="str">
        <f>Equip.Info!A4</f>
        <v>EQSF002</v>
      </c>
      <c r="C12" s="730" t="str">
        <f>VLOOKUP(B12,Equip.Info!A:I,2,FALSE)</f>
        <v>Laptop completo, processador Intel Core i5, 16GB memória, Resolução 3.840x2.160 (4K), PV GPU de 4GB e Sistema Operacional.</v>
      </c>
      <c r="D12" s="730"/>
      <c r="E12" s="731"/>
      <c r="F12" s="107">
        <f>SUM(I18:I25)</f>
        <v>729.96</v>
      </c>
      <c r="G12" s="107">
        <v>1</v>
      </c>
      <c r="H12" s="107">
        <v>0</v>
      </c>
      <c r="I12" s="107">
        <f>IF(B12="","",VLOOKUP($B12,Equip.Info!$A:$I,8,FALSE))</f>
        <v>0.217</v>
      </c>
      <c r="J12" s="107">
        <f>IF(B12="","",VLOOKUP($B12,Equip.Info!$A:$I,9,FALSE))</f>
        <v>0.14369999999999999</v>
      </c>
      <c r="K12" s="118">
        <f>ROUND(F12*(G12*I12+H12*J12),4)</f>
        <v>158.40129999999999</v>
      </c>
    </row>
    <row r="13" spans="1:11" ht="29.25" customHeight="1">
      <c r="B13" s="33"/>
      <c r="C13" s="735"/>
      <c r="D13" s="735"/>
      <c r="E13" s="736"/>
      <c r="F13" s="108"/>
      <c r="G13" s="108"/>
      <c r="H13" s="108"/>
      <c r="I13" s="108" t="str">
        <f>IF(B13="","",VLOOKUP($B13,Equip.Info!$A:$I,8,FALSE))</f>
        <v/>
      </c>
      <c r="J13" s="108" t="str">
        <f>IF(B13="","",VLOOKUP($B13,Equip.Info!$A:$I,9,FALSE))</f>
        <v/>
      </c>
      <c r="K13" s="119"/>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158.40129999999999</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0.25</v>
      </c>
      <c r="G18" s="55">
        <f>INDEX(MO[],MATCH($B$8,MO[Descrição dos Produtos],0),MATCH(C18,MO[#Headers],0))</f>
        <v>1</v>
      </c>
      <c r="H18" s="52">
        <f>F18*G18*$K$7</f>
        <v>0.25</v>
      </c>
      <c r="I18" s="56">
        <f t="shared" ref="I18:I23" si="0">H18*182.49</f>
        <v>45.622500000000002</v>
      </c>
      <c r="J18" s="53">
        <f>IF(ISBLANK(B18),0,VLOOKUP(B18,'TC 10-2023'!B:Z,25,TRUE)/182.49)</f>
        <v>172.51148008110033</v>
      </c>
      <c r="K18" s="35">
        <f>ROUND(J18*I18,4)</f>
        <v>7870.4049999999997</v>
      </c>
    </row>
    <row r="19" spans="2:15" ht="15" customHeight="1">
      <c r="B19" s="37" t="str">
        <f>IF(ISBLANK(C19),0,VLOOKUP(C19,Categorias!$A$4:$B$83,2,FALSE))</f>
        <v>P8061</v>
      </c>
      <c r="C19" s="732" t="s">
        <v>35</v>
      </c>
      <c r="D19" s="732"/>
      <c r="E19" s="732"/>
      <c r="F19" s="54">
        <v>0.25</v>
      </c>
      <c r="G19" s="55">
        <f>INDEX(MO[],MATCH($B$8,MO[Descrição dos Produtos],0),MATCH(C19,MO[#Headers],0))</f>
        <v>1</v>
      </c>
      <c r="H19" s="52">
        <f t="shared" ref="H19:H21" si="1">F19*G19*$K$7</f>
        <v>0.25</v>
      </c>
      <c r="I19" s="56">
        <f t="shared" si="0"/>
        <v>45.622500000000002</v>
      </c>
      <c r="J19" s="53">
        <f>IF(ISBLANK(B19),0,VLOOKUP(B19,'TC 10-2023'!B:Z,25,TRUE)/182.49)</f>
        <v>174.03671434051179</v>
      </c>
      <c r="K19" s="35">
        <f t="shared" ref="K19:K23" si="2">ROUND(J19*I19,4)</f>
        <v>7939.99</v>
      </c>
    </row>
    <row r="20" spans="2:15" ht="15" customHeight="1">
      <c r="B20" s="37" t="str">
        <f>IF(ISBLANK(C20),0,VLOOKUP(C20,Categorias!$A$4:$B$83,2,FALSE))</f>
        <v>P8003</v>
      </c>
      <c r="C20" s="732" t="s">
        <v>3</v>
      </c>
      <c r="D20" s="732"/>
      <c r="E20" s="732"/>
      <c r="F20" s="54">
        <v>1</v>
      </c>
      <c r="G20" s="55">
        <f>INDEX(MO[],MATCH($B$8,MO[Descrição dos Produtos],0),MATCH(C20,MO[#Headers],0))</f>
        <v>1</v>
      </c>
      <c r="H20" s="52">
        <f t="shared" si="1"/>
        <v>1</v>
      </c>
      <c r="I20" s="56">
        <f t="shared" si="0"/>
        <v>182.49</v>
      </c>
      <c r="J20" s="53">
        <f>IF(ISBLANK(B20),0,VLOOKUP(B20,'TC 10-2023'!B:Z,25,TRUE)/182.49)</f>
        <v>105.29289276124719</v>
      </c>
      <c r="K20" s="35">
        <f t="shared" si="2"/>
        <v>19214.900000000001</v>
      </c>
    </row>
    <row r="21" spans="2:15" ht="15" customHeight="1">
      <c r="B21" s="37" t="str">
        <f>IF(ISBLANK(C21),0,VLOOKUP(C21,Categorias!$A$4:$B$83,2,FALSE))</f>
        <v>P8047</v>
      </c>
      <c r="C21" s="105" t="s">
        <v>27</v>
      </c>
      <c r="D21" s="105"/>
      <c r="E21" s="105"/>
      <c r="F21" s="54">
        <v>1</v>
      </c>
      <c r="G21" s="55">
        <f>INDEX(MO[],MATCH($B$8,MO[Descrição dos Produtos],0),MATCH(C21,MO[#Headers],0))</f>
        <v>1</v>
      </c>
      <c r="H21" s="52">
        <f t="shared" si="1"/>
        <v>1</v>
      </c>
      <c r="I21" s="56">
        <f t="shared" si="0"/>
        <v>182.49</v>
      </c>
      <c r="J21" s="53">
        <f>IF(ISBLANK(B21),0,VLOOKUP(B21,'TC 10-2023'!B:Z,25,TRUE)/182.49)</f>
        <v>108.82941531042796</v>
      </c>
      <c r="K21" s="35">
        <f t="shared" si="2"/>
        <v>19860.28</v>
      </c>
    </row>
    <row r="22" spans="2:15">
      <c r="B22" s="37" t="str">
        <f>IF(ISBLANK(C22),0,VLOOKUP(C22,Categorias!$A$4:$B$83,2,FALSE))</f>
        <v>P8060</v>
      </c>
      <c r="C22" s="105" t="s">
        <v>34</v>
      </c>
      <c r="D22" s="105"/>
      <c r="E22" s="105"/>
      <c r="F22" s="54">
        <v>0.5</v>
      </c>
      <c r="G22" s="55">
        <f>INDEX(MO[],MATCH($B$8,MO[Descrição dos Produtos],0),MATCH(C22,MO[#Headers],0))</f>
        <v>1</v>
      </c>
      <c r="H22" s="52">
        <f t="shared" ref="H22:H23" si="3">F22*G22*$K$7</f>
        <v>0.5</v>
      </c>
      <c r="I22" s="56">
        <f t="shared" si="0"/>
        <v>91.245000000000005</v>
      </c>
      <c r="J22" s="53">
        <f>IF(ISBLANK(B22),0,VLOOKUP(B22,'TC 10-2023'!B:Z,25,TRUE)/182.49)</f>
        <v>207.71921749136939</v>
      </c>
      <c r="K22" s="35">
        <f t="shared" si="2"/>
        <v>18953.34</v>
      </c>
    </row>
    <row r="23" spans="2:15">
      <c r="B23" s="37" t="str">
        <f>IF(ISBLANK(C23),0,VLOOKUP(C23,Categorias!$A$4:$B$83,2,FALSE))</f>
        <v>P8067</v>
      </c>
      <c r="C23" s="105" t="s">
        <v>41</v>
      </c>
      <c r="D23" s="105"/>
      <c r="E23" s="105"/>
      <c r="F23" s="54">
        <v>0.5</v>
      </c>
      <c r="G23" s="55">
        <f>INDEX(MO[],MATCH($B$8,MO[Descrição dos Produtos],0),MATCH(C23,MO[#Headers],0))</f>
        <v>2</v>
      </c>
      <c r="H23" s="52">
        <f t="shared" si="3"/>
        <v>1</v>
      </c>
      <c r="I23" s="56">
        <f t="shared" si="0"/>
        <v>182.49</v>
      </c>
      <c r="J23" s="53">
        <f>IF(ISBLANK(B23),0,VLOOKUP(B23,'TC 10-2023'!B:Z,25,TRUE)/182.49)</f>
        <v>151.26779549564358</v>
      </c>
      <c r="K23" s="35">
        <f t="shared" si="2"/>
        <v>27604.86</v>
      </c>
    </row>
    <row r="24" spans="2:15">
      <c r="B24" s="37"/>
      <c r="C24" s="732"/>
      <c r="D24" s="732"/>
      <c r="E24" s="73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101443.77499999999</v>
      </c>
    </row>
    <row r="27" spans="2:15">
      <c r="B27" s="44" t="s">
        <v>125</v>
      </c>
      <c r="C27" s="45"/>
      <c r="D27" s="45"/>
      <c r="E27" s="345">
        <v>1</v>
      </c>
      <c r="F27" s="44" t="s">
        <v>126</v>
      </c>
      <c r="G27" s="45"/>
      <c r="H27" s="45"/>
      <c r="I27" s="45"/>
      <c r="J27" s="63"/>
      <c r="K27" s="48">
        <f>K26+K16</f>
        <v>101602.17629999999</v>
      </c>
    </row>
    <row r="28" spans="2:15">
      <c r="B28" s="44" t="s">
        <v>127</v>
      </c>
      <c r="C28" s="45"/>
      <c r="D28" s="45"/>
      <c r="E28" s="345"/>
      <c r="F28" s="44"/>
      <c r="G28" s="45"/>
      <c r="H28" s="45"/>
      <c r="I28" s="45"/>
      <c r="J28" s="63"/>
      <c r="K28" s="48">
        <f>K27/E27</f>
        <v>101602.17629999999</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ht="15" customHeight="1">
      <c r="B31" s="37" t="str">
        <f>Mat.Info!$A$2</f>
        <v>MTSF001</v>
      </c>
      <c r="C31" s="4" t="str">
        <f>VLOOKUP(B31,Mat.Info!A1:H3,2,FALSE)</f>
        <v>Pacote Microsoft 365 Business Basic</v>
      </c>
      <c r="G31" s="543">
        <f>IF(B31="","",VLOOKUP(B31,Mat.Info!A2:H4,6,0))</f>
        <v>1</v>
      </c>
      <c r="H31" s="106" t="s">
        <v>299</v>
      </c>
      <c r="I31" s="106">
        <f>SUM(F12:F15)*G31</f>
        <v>729.96</v>
      </c>
      <c r="J31" s="106">
        <f>IF(B31="","",VLOOKUP(B31,Mat.Info!$A:$H,8,FALSE))</f>
        <v>0.16250000000000001</v>
      </c>
      <c r="K31" s="34">
        <f>ROUND(IF(B31="","",I31*J31),4)</f>
        <v>118.6185</v>
      </c>
    </row>
    <row r="32" spans="2:15">
      <c r="B32" s="37"/>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118.6185</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101720.79479999999</v>
      </c>
    </row>
    <row r="50" spans="2:11">
      <c r="B50" s="44" t="s">
        <v>144</v>
      </c>
      <c r="C50" s="74"/>
      <c r="D50" s="74"/>
      <c r="E50" s="74"/>
      <c r="F50" s="74"/>
      <c r="G50" s="74"/>
      <c r="H50" s="74"/>
      <c r="I50" s="74"/>
      <c r="J50" s="76">
        <f ca="1">Dados!C17</f>
        <v>0.44600000000000001</v>
      </c>
      <c r="K50" s="75">
        <f ca="1">K49*J50</f>
        <v>45367.474480799996</v>
      </c>
    </row>
    <row r="51" spans="2:11">
      <c r="B51" s="64" t="s">
        <v>145</v>
      </c>
      <c r="C51" s="45"/>
      <c r="D51" s="45"/>
      <c r="E51" s="45"/>
      <c r="F51" s="45"/>
      <c r="G51" s="45"/>
      <c r="H51" s="45"/>
      <c r="I51" s="45"/>
      <c r="J51" s="45"/>
      <c r="K51" s="48">
        <f ca="1">ROUND(K50+K49,2)</f>
        <v>147088.26999999999</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90F0-9E9C-4AED-85D8-E61915B4C33B}">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'Cronograma'!D18</f>
        <v>1</v>
      </c>
    </row>
    <row r="8" spans="1:11">
      <c r="B8" s="719" t="str">
        <f>CONCATENATE("", "",'Alocação MO'!C12)</f>
        <v>Apoio a subsídios a questionamentos do órgão de controle externo</v>
      </c>
      <c r="C8" s="720"/>
      <c r="D8" s="720"/>
      <c r="E8" s="720"/>
      <c r="F8" s="720"/>
      <c r="G8" s="720"/>
      <c r="H8" s="720"/>
      <c r="I8" s="18"/>
      <c r="J8" s="18" t="s">
        <v>105</v>
      </c>
      <c r="K8" s="19" t="s">
        <v>106</v>
      </c>
    </row>
    <row r="9" spans="1:11">
      <c r="B9" s="719"/>
      <c r="C9" s="720"/>
      <c r="D9" s="720"/>
      <c r="E9" s="720"/>
      <c r="F9" s="721"/>
      <c r="G9" s="721"/>
      <c r="H9" s="721"/>
      <c r="I9" s="20"/>
      <c r="J9" s="20" t="s">
        <v>107</v>
      </c>
      <c r="K9" s="21" t="s">
        <v>751</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2.25" customHeight="1">
      <c r="B12" s="33" t="str">
        <f>Equip.Info!A4</f>
        <v>EQSF002</v>
      </c>
      <c r="C12" s="730" t="str">
        <f>VLOOKUP(B12,Equip.Info!A:I,2,FALSE)</f>
        <v>Laptop completo, processador Intel Core i5, 16GB memória, Resolução 3.840x2.160 (4K), PV GPU de 4GB e Sistema Operacional.</v>
      </c>
      <c r="D12" s="730"/>
      <c r="E12" s="731"/>
      <c r="F12" s="107">
        <f>SUM(I18:I25)</f>
        <v>374.10450000000003</v>
      </c>
      <c r="G12" s="107">
        <v>1</v>
      </c>
      <c r="H12" s="107">
        <v>0</v>
      </c>
      <c r="I12" s="107">
        <f>IF(B12="","",VLOOKUP($B12,Equip.Info!$A:$I,8,FALSE))</f>
        <v>0.217</v>
      </c>
      <c r="J12" s="107">
        <f>IF(B12="","",VLOOKUP($B12,Equip.Info!$A:$I,9,FALSE))</f>
        <v>0.14369999999999999</v>
      </c>
      <c r="K12" s="118">
        <f>ROUND(F12*(G12*I12+H12*J12),4)</f>
        <v>81.180700000000002</v>
      </c>
    </row>
    <row r="13" spans="1:11" ht="29.25" customHeight="1">
      <c r="B13" s="33"/>
      <c r="C13" s="735"/>
      <c r="D13" s="735"/>
      <c r="E13" s="736"/>
      <c r="F13" s="108"/>
      <c r="G13" s="108"/>
      <c r="H13" s="108"/>
      <c r="I13" s="108" t="str">
        <f>IF(B13="","",VLOOKUP($B13,Equip.Info!$A:$I,8,FALSE))</f>
        <v/>
      </c>
      <c r="J13" s="108" t="str">
        <f>IF(B13="","",VLOOKUP($B13,Equip.Info!$A:$I,9,FALSE))</f>
        <v/>
      </c>
      <c r="K13" s="119"/>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81.180700000000002</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0.15</v>
      </c>
      <c r="G18" s="55">
        <f>INDEX(MO[],MATCH($B$8,MO[Descrição dos Produtos],0),MATCH(C18,MO[#Headers],0))</f>
        <v>1</v>
      </c>
      <c r="H18" s="52">
        <f>F18*G18*$K$7</f>
        <v>0.15</v>
      </c>
      <c r="I18" s="56">
        <f t="shared" ref="I18:I23" si="0">H18*182.49</f>
        <v>27.3735</v>
      </c>
      <c r="J18" s="53">
        <f>IF(ISBLANK(B18),0,VLOOKUP(B18,'TC 10-2023'!B:Z,25,TRUE)/182.49)</f>
        <v>172.51148008110033</v>
      </c>
      <c r="K18" s="35">
        <f>ROUND(J18*I18,4)</f>
        <v>4722.2430000000004</v>
      </c>
    </row>
    <row r="19" spans="2:15" ht="15" customHeight="1">
      <c r="B19" s="37" t="str">
        <f>IF(ISBLANK(C19),0,VLOOKUP(C19,Categorias!$A$4:$B$83,2,FALSE))</f>
        <v>P8061</v>
      </c>
      <c r="C19" s="732" t="s">
        <v>35</v>
      </c>
      <c r="D19" s="732"/>
      <c r="E19" s="732"/>
      <c r="F19" s="54">
        <v>0.15</v>
      </c>
      <c r="G19" s="55">
        <f>INDEX(MO[],MATCH($B$8,MO[Descrição dos Produtos],0),MATCH(C19,MO[#Headers],0))</f>
        <v>1</v>
      </c>
      <c r="H19" s="52">
        <f t="shared" ref="H19:H23" si="1">F19*G19*$K$7</f>
        <v>0.15</v>
      </c>
      <c r="I19" s="56">
        <f t="shared" si="0"/>
        <v>27.3735</v>
      </c>
      <c r="J19" s="53">
        <f>IF(ISBLANK(B19),0,VLOOKUP(B19,'TC 10-2023'!B:Z,25,TRUE)/182.49)</f>
        <v>174.03671434051179</v>
      </c>
      <c r="K19" s="35">
        <f t="shared" ref="K19:K23" si="2">ROUND(J19*I19,4)</f>
        <v>4763.9939999999997</v>
      </c>
    </row>
    <row r="20" spans="2:15" ht="15" customHeight="1">
      <c r="B20" s="37" t="str">
        <f>IF(ISBLANK(C20),0,VLOOKUP(C20,Categorias!$A$4:$B$83,2,FALSE))</f>
        <v>P8003</v>
      </c>
      <c r="C20" s="732" t="s">
        <v>3</v>
      </c>
      <c r="D20" s="732"/>
      <c r="E20" s="732"/>
      <c r="F20" s="54">
        <v>0.5</v>
      </c>
      <c r="G20" s="55">
        <f>INDEX(MO[],MATCH($B$8,MO[Descrição dos Produtos],0),MATCH(C20,MO[#Headers],0))</f>
        <v>1</v>
      </c>
      <c r="H20" s="52">
        <f t="shared" si="1"/>
        <v>0.5</v>
      </c>
      <c r="I20" s="56">
        <f t="shared" si="0"/>
        <v>91.245000000000005</v>
      </c>
      <c r="J20" s="53">
        <f>IF(ISBLANK(B20),0,VLOOKUP(B20,'TC 10-2023'!B:Z,25,TRUE)/182.49)</f>
        <v>105.29289276124719</v>
      </c>
      <c r="K20" s="35">
        <f t="shared" si="2"/>
        <v>9607.4500000000007</v>
      </c>
    </row>
    <row r="21" spans="2:15" ht="15" customHeight="1">
      <c r="B21" s="37" t="str">
        <f>IF(ISBLANK(C21),0,VLOOKUP(C21,Categorias!$A$4:$B$83,2,FALSE))</f>
        <v>P8047</v>
      </c>
      <c r="C21" s="105" t="s">
        <v>27</v>
      </c>
      <c r="D21" s="105"/>
      <c r="E21" s="105"/>
      <c r="F21" s="54">
        <v>0.5</v>
      </c>
      <c r="G21" s="55">
        <f>INDEX(MO[],MATCH($B$8,MO[Descrição dos Produtos],0),MATCH(C21,MO[#Headers],0))</f>
        <v>1</v>
      </c>
      <c r="H21" s="52">
        <f t="shared" si="1"/>
        <v>0.5</v>
      </c>
      <c r="I21" s="56">
        <f t="shared" si="0"/>
        <v>91.245000000000005</v>
      </c>
      <c r="J21" s="53">
        <f>IF(ISBLANK(B21),0,VLOOKUP(B21,'TC 10-2023'!B:Z,25,TRUE)/182.49)</f>
        <v>108.82941531042796</v>
      </c>
      <c r="K21" s="35">
        <f t="shared" si="2"/>
        <v>9930.14</v>
      </c>
    </row>
    <row r="22" spans="2:15">
      <c r="B22" s="37" t="str">
        <f>IF(ISBLANK(C22),0,VLOOKUP(C22,Categorias!$A$4:$B$83,2,FALSE))</f>
        <v>P8060</v>
      </c>
      <c r="C22" s="105" t="s">
        <v>34</v>
      </c>
      <c r="D22" s="105"/>
      <c r="E22" s="105"/>
      <c r="F22" s="54">
        <v>0.25</v>
      </c>
      <c r="G22" s="55">
        <f>INDEX(MO[],MATCH($B$8,MO[Descrição dos Produtos],0),MATCH(C22,MO[#Headers],0))</f>
        <v>1</v>
      </c>
      <c r="H22" s="52">
        <f>F22*G22*$K$7</f>
        <v>0.25</v>
      </c>
      <c r="I22" s="56">
        <f t="shared" si="0"/>
        <v>45.622500000000002</v>
      </c>
      <c r="J22" s="53">
        <f>IF(ISBLANK(B22),0,VLOOKUP(B22,'TC 10-2023'!B:Z,25,TRUE)/182.49)</f>
        <v>207.71921749136939</v>
      </c>
      <c r="K22" s="35">
        <f t="shared" si="2"/>
        <v>9476.67</v>
      </c>
    </row>
    <row r="23" spans="2:15">
      <c r="B23" s="37" t="str">
        <f>IF(ISBLANK(C23),0,VLOOKUP(C23,Categorias!$A$4:$B$83,2,FALSE))</f>
        <v>P8067</v>
      </c>
      <c r="C23" s="105" t="s">
        <v>41</v>
      </c>
      <c r="D23" s="105"/>
      <c r="E23" s="105"/>
      <c r="F23" s="54">
        <v>0.25</v>
      </c>
      <c r="G23" s="55">
        <f>INDEX(MO[],MATCH($B$8,MO[Descrição dos Produtos],0),MATCH(C23,MO[#Headers],0))</f>
        <v>2</v>
      </c>
      <c r="H23" s="52">
        <f t="shared" si="1"/>
        <v>0.5</v>
      </c>
      <c r="I23" s="56">
        <f t="shared" si="0"/>
        <v>91.245000000000005</v>
      </c>
      <c r="J23" s="53">
        <f>IF(ISBLANK(B23),0,VLOOKUP(B23,'TC 10-2023'!B:Z,25,TRUE)/182.49)</f>
        <v>151.26779549564358</v>
      </c>
      <c r="K23" s="35">
        <f t="shared" si="2"/>
        <v>13802.43</v>
      </c>
    </row>
    <row r="24" spans="2:15">
      <c r="B24" s="37"/>
      <c r="C24" s="732"/>
      <c r="D24" s="732"/>
      <c r="E24" s="732"/>
      <c r="F24" s="54"/>
      <c r="G24" s="55"/>
      <c r="H24" s="52"/>
      <c r="I24" s="56"/>
      <c r="J24" s="53"/>
      <c r="K24" s="35"/>
    </row>
    <row r="25" spans="2:15" ht="15" customHeight="1">
      <c r="B25" s="37"/>
      <c r="C25" s="5"/>
      <c r="D25" s="5"/>
      <c r="E25" s="5"/>
      <c r="F25" s="60"/>
      <c r="G25" s="5"/>
      <c r="H25" s="60"/>
      <c r="I25" s="61"/>
      <c r="J25" s="53"/>
      <c r="K25" s="42"/>
    </row>
    <row r="26" spans="2:15">
      <c r="B26" s="44" t="s">
        <v>124</v>
      </c>
      <c r="C26" s="45"/>
      <c r="D26" s="45"/>
      <c r="E26" s="45"/>
      <c r="F26" s="46"/>
      <c r="G26" s="46"/>
      <c r="H26" s="46"/>
      <c r="I26" s="46"/>
      <c r="J26" s="47"/>
      <c r="K26" s="48">
        <f>SUM(K18:K25)</f>
        <v>52302.927000000003</v>
      </c>
    </row>
    <row r="27" spans="2:15">
      <c r="B27" s="44" t="s">
        <v>125</v>
      </c>
      <c r="C27" s="45"/>
      <c r="D27" s="45"/>
      <c r="E27" s="345">
        <v>1</v>
      </c>
      <c r="F27" s="44" t="s">
        <v>126</v>
      </c>
      <c r="G27" s="45"/>
      <c r="H27" s="45"/>
      <c r="I27" s="45"/>
      <c r="J27" s="63"/>
      <c r="K27" s="48">
        <f>K26+K16</f>
        <v>52384.1077</v>
      </c>
    </row>
    <row r="28" spans="2:15">
      <c r="B28" s="44" t="s">
        <v>127</v>
      </c>
      <c r="C28" s="45"/>
      <c r="D28" s="45"/>
      <c r="E28" s="345"/>
      <c r="F28" s="44"/>
      <c r="G28" s="45"/>
      <c r="H28" s="45"/>
      <c r="I28" s="45"/>
      <c r="J28" s="63"/>
      <c r="K28" s="48">
        <f>K27/E27</f>
        <v>52384.1077</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ht="15" customHeight="1">
      <c r="B31" s="37" t="str">
        <f>Mat.Info!$A$2</f>
        <v>MTSF001</v>
      </c>
      <c r="C31" s="4" t="str">
        <f>VLOOKUP(B31,Mat.Info!A1:H3,2,FALSE)</f>
        <v>Pacote Microsoft 365 Business Basic</v>
      </c>
      <c r="G31" s="543">
        <f>IF(B31="","",VLOOKUP(B31,Mat.Info!A2:H4,6,0))</f>
        <v>1</v>
      </c>
      <c r="H31" s="106" t="s">
        <v>299</v>
      </c>
      <c r="I31" s="106">
        <f>SUM(F12:F15)*G31</f>
        <v>374.10450000000003</v>
      </c>
      <c r="J31" s="106">
        <f>IF(B31="","",VLOOKUP(B31,Mat.Info!$A:$H,8,FALSE))</f>
        <v>0.16250000000000001</v>
      </c>
      <c r="K31" s="34">
        <f>ROUND(IF(B31="","",I31*J31),4)</f>
        <v>60.792000000000002</v>
      </c>
    </row>
    <row r="32" spans="2:15">
      <c r="B32" s="37"/>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60.792000000000002</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52444.899700000002</v>
      </c>
    </row>
    <row r="50" spans="2:11">
      <c r="B50" s="44" t="s">
        <v>144</v>
      </c>
      <c r="C50" s="74"/>
      <c r="D50" s="74"/>
      <c r="E50" s="74"/>
      <c r="F50" s="74"/>
      <c r="G50" s="74"/>
      <c r="H50" s="74"/>
      <c r="I50" s="74"/>
      <c r="J50" s="76">
        <f ca="1">Dados!C17</f>
        <v>0.44600000000000001</v>
      </c>
      <c r="K50" s="75">
        <f ca="1">K49*J50</f>
        <v>23390.4252662</v>
      </c>
    </row>
    <row r="51" spans="2:11">
      <c r="B51" s="64" t="s">
        <v>145</v>
      </c>
      <c r="C51" s="45"/>
      <c r="D51" s="45"/>
      <c r="E51" s="45"/>
      <c r="F51" s="45"/>
      <c r="G51" s="45"/>
      <c r="H51" s="45"/>
      <c r="I51" s="45"/>
      <c r="J51" s="45"/>
      <c r="K51" s="48">
        <f ca="1">ROUND(K50+K49,2)</f>
        <v>75835.320000000007</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929F7-4A7A-47FB-83C0-9A401486C94E}">
  <sheetPr>
    <tabColor theme="1"/>
  </sheetPr>
  <dimension ref="A1:H8"/>
  <sheetViews>
    <sheetView showGridLines="0" workbookViewId="0">
      <selection activeCell="H15" sqref="H15"/>
    </sheetView>
  </sheetViews>
  <sheetFormatPr defaultRowHeight="15"/>
  <cols>
    <col min="1" max="1" width="47" style="120" customWidth="1"/>
    <col min="2" max="2" width="10.85546875" style="120" customWidth="1"/>
    <col min="3" max="3" width="15.42578125" style="121" customWidth="1"/>
    <col min="4" max="4" width="16.85546875" style="121" customWidth="1"/>
    <col min="5" max="5" width="11.28515625" style="121" hidden="1" customWidth="1"/>
    <col min="6" max="6" width="13.7109375" style="121" hidden="1" customWidth="1"/>
    <col min="7" max="7" width="14.42578125" style="120" customWidth="1"/>
    <col min="8" max="8" width="21.42578125" style="120" customWidth="1"/>
    <col min="9" max="16384" width="9.140625" style="120"/>
  </cols>
  <sheetData>
    <row r="1" spans="1:8" ht="37.5" customHeight="1">
      <c r="A1" s="546" t="s">
        <v>672</v>
      </c>
      <c r="B1" s="547" t="s">
        <v>673</v>
      </c>
      <c r="C1" s="547" t="s">
        <v>674</v>
      </c>
      <c r="D1" s="547" t="s">
        <v>675</v>
      </c>
      <c r="E1" s="547" t="s">
        <v>676</v>
      </c>
      <c r="F1" s="548" t="s">
        <v>684</v>
      </c>
      <c r="G1" s="549" t="s">
        <v>727</v>
      </c>
      <c r="H1" s="491" t="s">
        <v>733</v>
      </c>
    </row>
    <row r="2" spans="1:8" ht="24.75" customHeight="1">
      <c r="A2" s="524" t="s">
        <v>682</v>
      </c>
      <c r="B2" s="533">
        <v>62</v>
      </c>
      <c r="C2" s="525" t="s">
        <v>677</v>
      </c>
      <c r="D2" s="525" t="s">
        <v>678</v>
      </c>
      <c r="E2" s="526">
        <v>2</v>
      </c>
      <c r="F2" s="526">
        <v>1</v>
      </c>
      <c r="G2" s="526" t="s">
        <v>717</v>
      </c>
      <c r="H2" s="544">
        <f ca="1">SUM(Produtos!G9:G19)</f>
        <v>1928269.7499999998</v>
      </c>
    </row>
    <row r="3" spans="1:8" ht="24.75" customHeight="1">
      <c r="A3" s="488" t="s">
        <v>681</v>
      </c>
      <c r="B3" s="534">
        <v>64</v>
      </c>
      <c r="C3" s="487" t="s">
        <v>677</v>
      </c>
      <c r="D3" s="487" t="s">
        <v>680</v>
      </c>
      <c r="E3" s="489">
        <v>2</v>
      </c>
      <c r="F3" s="489">
        <v>2</v>
      </c>
      <c r="G3" s="489" t="s">
        <v>718</v>
      </c>
      <c r="H3" s="544">
        <f ca="1">SUM(Produtos!G20:G30)</f>
        <v>1929933.19</v>
      </c>
    </row>
    <row r="4" spans="1:8" ht="24.75" customHeight="1">
      <c r="A4" s="488" t="s">
        <v>679</v>
      </c>
      <c r="B4" s="535">
        <v>133</v>
      </c>
      <c r="C4" s="487" t="s">
        <v>677</v>
      </c>
      <c r="D4" s="487" t="s">
        <v>680</v>
      </c>
      <c r="E4" s="489">
        <v>2</v>
      </c>
      <c r="F4" s="489">
        <v>3</v>
      </c>
      <c r="G4" s="489" t="s">
        <v>719</v>
      </c>
      <c r="H4" s="544">
        <f ca="1">SUM(Produtos!G31:G41)</f>
        <v>2171183.62</v>
      </c>
    </row>
    <row r="5" spans="1:8" ht="24.75" customHeight="1">
      <c r="A5" s="488" t="s">
        <v>524</v>
      </c>
      <c r="B5" s="487"/>
      <c r="C5" s="487"/>
      <c r="D5" s="487"/>
      <c r="E5" s="489"/>
      <c r="F5" s="489"/>
      <c r="G5" s="489" t="s">
        <v>720</v>
      </c>
      <c r="H5" s="544">
        <f ca="1">Produtos!G8</f>
        <v>251896.57</v>
      </c>
    </row>
    <row r="6" spans="1:8" ht="24.75" customHeight="1">
      <c r="A6" s="517" t="s">
        <v>683</v>
      </c>
      <c r="B6" s="109">
        <f>SUM(B2:B4)</f>
        <v>259</v>
      </c>
      <c r="C6" s="109"/>
      <c r="D6" s="109"/>
      <c r="E6" s="109"/>
      <c r="F6" s="109"/>
      <c r="G6" s="109"/>
      <c r="H6" s="545">
        <f ca="1">SUM(H2:H5)</f>
        <v>6281283.1299999999</v>
      </c>
    </row>
    <row r="8" spans="1:8">
      <c r="B8" s="490"/>
    </row>
  </sheetData>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BC537-6A89-4B41-9558-26555C767391}">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'Cronograma'!D19</f>
        <v>1</v>
      </c>
    </row>
    <row r="8" spans="1:11">
      <c r="B8" s="719" t="str">
        <f>CONCATENATE("", "",'Alocação MO'!C13)</f>
        <v>Apoio a subsídios a questionamentos do processo licitatório</v>
      </c>
      <c r="C8" s="720"/>
      <c r="D8" s="720"/>
      <c r="E8" s="720"/>
      <c r="F8" s="720"/>
      <c r="G8" s="720"/>
      <c r="H8" s="720"/>
      <c r="I8" s="18"/>
      <c r="J8" s="18" t="s">
        <v>105</v>
      </c>
      <c r="K8" s="19" t="s">
        <v>106</v>
      </c>
    </row>
    <row r="9" spans="1:11">
      <c r="B9" s="719"/>
      <c r="C9" s="720"/>
      <c r="D9" s="720"/>
      <c r="E9" s="720"/>
      <c r="F9" s="721"/>
      <c r="G9" s="721"/>
      <c r="H9" s="721"/>
      <c r="I9" s="20"/>
      <c r="J9" s="20" t="s">
        <v>107</v>
      </c>
      <c r="K9" s="21" t="s">
        <v>752</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2.25" customHeight="1">
      <c r="B12" s="33" t="str">
        <f>Equip.Info!A4</f>
        <v>EQSF002</v>
      </c>
      <c r="C12" s="730" t="str">
        <f>VLOOKUP(B12,Equip.Info!A:I,2,FALSE)</f>
        <v>Laptop completo, processador Intel Core i5, 16GB memória, Resolução 3.840x2.160 (4K), PV GPU de 4GB e Sistema Operacional.</v>
      </c>
      <c r="D12" s="730"/>
      <c r="E12" s="731"/>
      <c r="F12" s="107">
        <f>SUM(I18:I25)</f>
        <v>218.988</v>
      </c>
      <c r="G12" s="107">
        <v>1</v>
      </c>
      <c r="H12" s="107">
        <v>0</v>
      </c>
      <c r="I12" s="107">
        <f>IF(B12="","",VLOOKUP($B12,Equip.Info!$A:$I,8,FALSE))</f>
        <v>0.217</v>
      </c>
      <c r="J12" s="107">
        <f>IF(B12="","",VLOOKUP($B12,Equip.Info!$A:$I,9,FALSE))</f>
        <v>0.14369999999999999</v>
      </c>
      <c r="K12" s="118">
        <f>ROUND(F12*(G12*I12+H12*J12),4)</f>
        <v>47.520400000000002</v>
      </c>
    </row>
    <row r="13" spans="1:11" ht="29.25" customHeight="1">
      <c r="B13" s="33"/>
      <c r="C13" s="735"/>
      <c r="D13" s="735"/>
      <c r="E13" s="736"/>
      <c r="F13" s="108"/>
      <c r="G13" s="108"/>
      <c r="H13" s="108"/>
      <c r="I13" s="108" t="str">
        <f>IF(B13="","",VLOOKUP($B13,Equip.Info!$A:$I,8,FALSE))</f>
        <v/>
      </c>
      <c r="J13" s="108" t="str">
        <f>IF(B13="","",VLOOKUP($B13,Equip.Info!$A:$I,9,FALSE))</f>
        <v/>
      </c>
      <c r="K13" s="119"/>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47.520400000000002</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0.1</v>
      </c>
      <c r="G18" s="55">
        <f>INDEX(MO[],MATCH($B$8,MO[Descrição dos Produtos],0),MATCH(C18,MO[#Headers],0))</f>
        <v>1</v>
      </c>
      <c r="H18" s="52">
        <f>F18*G18*$K$7</f>
        <v>0.1</v>
      </c>
      <c r="I18" s="56">
        <f t="shared" ref="I18:I23" si="0">H18*182.49</f>
        <v>18.249000000000002</v>
      </c>
      <c r="J18" s="53">
        <f>IF(ISBLANK(B18),0,VLOOKUP(B18,'TC 10-2023'!B:Z,25,TRUE)/182.49)</f>
        <v>172.51148008110033</v>
      </c>
      <c r="K18" s="35">
        <f>ROUND(J18*I18,4)</f>
        <v>3148.1619999999998</v>
      </c>
    </row>
    <row r="19" spans="2:15" ht="15" customHeight="1">
      <c r="B19" s="37" t="str">
        <f>IF(ISBLANK(C19),0,VLOOKUP(C19,Categorias!$A$4:$B$83,2,FALSE))</f>
        <v>P8061</v>
      </c>
      <c r="C19" s="732" t="s">
        <v>35</v>
      </c>
      <c r="D19" s="732"/>
      <c r="E19" s="732"/>
      <c r="F19" s="54">
        <v>0.1</v>
      </c>
      <c r="G19" s="55">
        <f>INDEX(MO[],MATCH($B$8,MO[Descrição dos Produtos],0),MATCH(C19,MO[#Headers],0))</f>
        <v>1</v>
      </c>
      <c r="H19" s="52">
        <f t="shared" ref="H19:H23" si="1">F19*G19*$K$7</f>
        <v>0.1</v>
      </c>
      <c r="I19" s="56">
        <f t="shared" si="0"/>
        <v>18.249000000000002</v>
      </c>
      <c r="J19" s="53">
        <f>IF(ISBLANK(B19),0,VLOOKUP(B19,'TC 10-2023'!B:Z,25,TRUE)/182.49)</f>
        <v>174.03671434051179</v>
      </c>
      <c r="K19" s="35">
        <f t="shared" ref="K19:K23" si="2">ROUND(J19*I19,4)</f>
        <v>3175.9960000000001</v>
      </c>
    </row>
    <row r="20" spans="2:15" ht="15" customHeight="1">
      <c r="B20" s="37" t="str">
        <f>IF(ISBLANK(C20),0,VLOOKUP(C20,Categorias!$A$4:$B$83,2,FALSE))</f>
        <v>P8003</v>
      </c>
      <c r="C20" s="732" t="s">
        <v>3</v>
      </c>
      <c r="D20" s="732"/>
      <c r="E20" s="732"/>
      <c r="F20" s="54">
        <v>0.25</v>
      </c>
      <c r="G20" s="55">
        <f>INDEX(MO[],MATCH($B$8,MO[Descrição dos Produtos],0),MATCH(C20,MO[#Headers],0))</f>
        <v>1</v>
      </c>
      <c r="H20" s="52">
        <f t="shared" si="1"/>
        <v>0.25</v>
      </c>
      <c r="I20" s="56">
        <f t="shared" si="0"/>
        <v>45.622500000000002</v>
      </c>
      <c r="J20" s="53">
        <f>IF(ISBLANK(B20),0,VLOOKUP(B20,'TC 10-2023'!B:Z,25,TRUE)/182.49)</f>
        <v>105.29289276124719</v>
      </c>
      <c r="K20" s="35">
        <f t="shared" si="2"/>
        <v>4803.7250000000004</v>
      </c>
    </row>
    <row r="21" spans="2:15" ht="15" customHeight="1">
      <c r="B21" s="37" t="str">
        <f>IF(ISBLANK(C21),0,VLOOKUP(C21,Categorias!$A$4:$B$83,2,FALSE))</f>
        <v>P8047</v>
      </c>
      <c r="C21" s="105" t="s">
        <v>27</v>
      </c>
      <c r="D21" s="105"/>
      <c r="E21" s="105"/>
      <c r="F21" s="54">
        <v>0.25</v>
      </c>
      <c r="G21" s="55">
        <f>INDEX(MO[],MATCH($B$8,MO[Descrição dos Produtos],0),MATCH(C21,MO[#Headers],0))</f>
        <v>1</v>
      </c>
      <c r="H21" s="52">
        <f t="shared" si="1"/>
        <v>0.25</v>
      </c>
      <c r="I21" s="56">
        <f t="shared" si="0"/>
        <v>45.622500000000002</v>
      </c>
      <c r="J21" s="53">
        <f>IF(ISBLANK(B21),0,VLOOKUP(B21,'TC 10-2023'!B:Z,25,TRUE)/182.49)</f>
        <v>108.82941531042796</v>
      </c>
      <c r="K21" s="35">
        <f t="shared" si="2"/>
        <v>4965.07</v>
      </c>
    </row>
    <row r="22" spans="2:15">
      <c r="B22" s="37" t="str">
        <f>IF(ISBLANK(C22),0,VLOOKUP(C22,Categorias!$A$4:$B$83,2,FALSE))</f>
        <v>P8060</v>
      </c>
      <c r="C22" s="105" t="s">
        <v>34</v>
      </c>
      <c r="D22" s="105"/>
      <c r="E22" s="105"/>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5" t="s">
        <v>41</v>
      </c>
      <c r="D23" s="105"/>
      <c r="E23" s="105"/>
      <c r="F23" s="54">
        <v>0.25</v>
      </c>
      <c r="G23" s="55">
        <f>INDEX(MO[],MATCH($B$8,MO[Descrição dos Produtos],0),MATCH(C23,MO[#Headers],0))</f>
        <v>1</v>
      </c>
      <c r="H23" s="52">
        <f t="shared" si="1"/>
        <v>0.25</v>
      </c>
      <c r="I23" s="56">
        <f t="shared" si="0"/>
        <v>45.622500000000002</v>
      </c>
      <c r="J23" s="53">
        <f>IF(ISBLANK(B23),0,VLOOKUP(B23,'TC 10-2023'!B:Z,25,TRUE)/182.49)</f>
        <v>151.26779549564358</v>
      </c>
      <c r="K23" s="35">
        <f t="shared" si="2"/>
        <v>6901.2150000000001</v>
      </c>
    </row>
    <row r="24" spans="2:15">
      <c r="B24" s="37"/>
      <c r="C24" s="732"/>
      <c r="D24" s="732"/>
      <c r="E24" s="73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32470.838</v>
      </c>
    </row>
    <row r="27" spans="2:15">
      <c r="B27" s="44" t="s">
        <v>125</v>
      </c>
      <c r="C27" s="45"/>
      <c r="D27" s="45"/>
      <c r="E27" s="345">
        <v>1</v>
      </c>
      <c r="F27" s="44" t="s">
        <v>126</v>
      </c>
      <c r="G27" s="45"/>
      <c r="H27" s="45"/>
      <c r="I27" s="45"/>
      <c r="J27" s="63"/>
      <c r="K27" s="48">
        <f>K26+K16</f>
        <v>32518.358400000001</v>
      </c>
    </row>
    <row r="28" spans="2:15">
      <c r="B28" s="44" t="s">
        <v>127</v>
      </c>
      <c r="C28" s="45"/>
      <c r="D28" s="45"/>
      <c r="E28" s="345"/>
      <c r="F28" s="44"/>
      <c r="G28" s="45"/>
      <c r="H28" s="45"/>
      <c r="I28" s="45"/>
      <c r="J28" s="63"/>
      <c r="K28" s="48">
        <f>K27/E27</f>
        <v>32518.358400000001</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ht="15" customHeight="1">
      <c r="B31" s="37" t="str">
        <f>Mat.Info!$A$2</f>
        <v>MTSF001</v>
      </c>
      <c r="C31" s="4" t="str">
        <f>VLOOKUP(B31,Mat.Info!A1:H3,2,FALSE)</f>
        <v>Pacote Microsoft 365 Business Basic</v>
      </c>
      <c r="G31" s="543">
        <f>IF(B31="","",VLOOKUP(B31,Mat.Info!A2:H4,6,0))</f>
        <v>1</v>
      </c>
      <c r="H31" s="106" t="s">
        <v>299</v>
      </c>
      <c r="I31" s="106">
        <f>SUM(F12:F15)*G31</f>
        <v>218.988</v>
      </c>
      <c r="J31" s="106">
        <f>IF(B31="","",VLOOKUP(B31,Mat.Info!$A:$H,8,FALSE))</f>
        <v>0.16250000000000001</v>
      </c>
      <c r="K31" s="34">
        <f>ROUND(IF(B31="","",I31*J31),4)</f>
        <v>35.585599999999999</v>
      </c>
    </row>
    <row r="32" spans="2:15">
      <c r="B32" s="37"/>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35.585599999999999</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32553.944</v>
      </c>
    </row>
    <row r="50" spans="2:11">
      <c r="B50" s="44" t="s">
        <v>144</v>
      </c>
      <c r="C50" s="74"/>
      <c r="D50" s="74"/>
      <c r="E50" s="74"/>
      <c r="F50" s="74"/>
      <c r="G50" s="74"/>
      <c r="H50" s="74"/>
      <c r="I50" s="74"/>
      <c r="J50" s="76">
        <f ca="1">Dados!C17</f>
        <v>0.44600000000000001</v>
      </c>
      <c r="K50" s="75">
        <f ca="1">K49*J50</f>
        <v>14519.059024</v>
      </c>
    </row>
    <row r="51" spans="2:11">
      <c r="B51" s="64" t="s">
        <v>145</v>
      </c>
      <c r="C51" s="45"/>
      <c r="D51" s="45"/>
      <c r="E51" s="45"/>
      <c r="F51" s="45"/>
      <c r="G51" s="45"/>
      <c r="H51" s="45"/>
      <c r="I51" s="45"/>
      <c r="J51" s="45"/>
      <c r="K51" s="48">
        <f ca="1">ROUND(K50+K49,2)</f>
        <v>47073</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9C66A-B8C9-40A8-A11F-876D4C71AF05}">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'Cronograma'!D20</f>
        <v>1</v>
      </c>
    </row>
    <row r="8" spans="1:11">
      <c r="B8" s="719" t="str">
        <f>CONCATENATE("",'Alocação MO'!C14)</f>
        <v>Apoio Documental Jurídico-Regulatório (ADJR)</v>
      </c>
      <c r="C8" s="720"/>
      <c r="D8" s="720"/>
      <c r="E8" s="720"/>
      <c r="F8" s="720"/>
      <c r="G8" s="720"/>
      <c r="H8" s="720"/>
      <c r="I8" s="18"/>
      <c r="J8" s="18" t="s">
        <v>105</v>
      </c>
      <c r="K8" s="19" t="s">
        <v>106</v>
      </c>
    </row>
    <row r="9" spans="1:11">
      <c r="B9" s="719"/>
      <c r="C9" s="720"/>
      <c r="D9" s="720"/>
      <c r="E9" s="720"/>
      <c r="F9" s="721"/>
      <c r="G9" s="721"/>
      <c r="H9" s="721"/>
      <c r="I9" s="20"/>
      <c r="J9" s="20" t="s">
        <v>107</v>
      </c>
      <c r="K9" s="21" t="s">
        <v>753</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33" t="str">
        <f>Equip.Info!A4</f>
        <v>EQSF002</v>
      </c>
      <c r="C12" s="730" t="str">
        <f>VLOOKUP(B12,Equip.Info!A:I,2,FALSE)</f>
        <v>Laptop completo, processador Intel Core i5, 16GB memória, Resolução 3.840x2.160 (4K), PV GPU de 4GB e Sistema Operacional.</v>
      </c>
      <c r="D12" s="730"/>
      <c r="E12" s="731"/>
      <c r="F12" s="107">
        <f>SUM(I18:I25)</f>
        <v>200.739</v>
      </c>
      <c r="G12" s="107">
        <v>1</v>
      </c>
      <c r="H12" s="107">
        <v>0</v>
      </c>
      <c r="I12" s="107">
        <f>IF(B12="","",VLOOKUP($B12,Equip.Info!$A:$I,8,FALSE))</f>
        <v>0.217</v>
      </c>
      <c r="J12" s="107">
        <f>IF(B12="","",VLOOKUP($B12,Equip.Info!$A:$I,9,FALSE))</f>
        <v>0.14369999999999999</v>
      </c>
      <c r="K12" s="118">
        <f>ROUND(F12*(G12*I12+H12*J12),4)</f>
        <v>43.560400000000001</v>
      </c>
    </row>
    <row r="13" spans="1:11" ht="39.75" customHeight="1">
      <c r="B13" s="33"/>
      <c r="C13" s="730"/>
      <c r="D13" s="730"/>
      <c r="E13" s="731"/>
      <c r="F13" s="108"/>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P8002</v>
      </c>
      <c r="C18" s="105" t="s">
        <v>2</v>
      </c>
      <c r="D18" s="105"/>
      <c r="E18" s="105"/>
      <c r="F18" s="54">
        <v>1</v>
      </c>
      <c r="G18" s="55">
        <f>INDEX(MO[],MATCH($B$8,MO[Descrição dos Produtos],0),MATCH(C18,MO[#Headers],0))</f>
        <v>1</v>
      </c>
      <c r="H18" s="52">
        <f>F18*G18*$K$7</f>
        <v>1</v>
      </c>
      <c r="I18" s="56">
        <f t="shared" ref="I18:I19" si="0">H18*182.49</f>
        <v>182.49</v>
      </c>
      <c r="J18" s="53">
        <f>IF(ISBLANK(B18),0,VLOOKUP(B18,'TC 10-2023'!B:Z,25,TRUE)/182.49)</f>
        <v>61.793906515425505</v>
      </c>
      <c r="K18" s="35">
        <f>ROUND(J18*I18,4)</f>
        <v>11276.77</v>
      </c>
    </row>
    <row r="19" spans="2:15" ht="15" customHeight="1">
      <c r="B19" s="37" t="str">
        <f>IF(ISBLANK(C19),0,VLOOKUP(C19,Categorias!$A$4:$B$83,2,FALSE))</f>
        <v>P8061</v>
      </c>
      <c r="C19" s="105" t="s">
        <v>35</v>
      </c>
      <c r="D19" s="105"/>
      <c r="E19" s="105"/>
      <c r="F19" s="54">
        <v>0.1</v>
      </c>
      <c r="G19" s="55">
        <f>INDEX(MO[],MATCH($B$8,MO[Descrição dos Produtos],0),MATCH(C19,MO[#Headers],0))</f>
        <v>1</v>
      </c>
      <c r="H19" s="52">
        <f t="shared" ref="H19" si="1">F19*G19*$K$7</f>
        <v>0.1</v>
      </c>
      <c r="I19" s="56">
        <f t="shared" si="0"/>
        <v>18.249000000000002</v>
      </c>
      <c r="J19" s="53">
        <f>IF(ISBLANK(B19),0,VLOOKUP(B19,'TC 10-2023'!B:Z,25,TRUE)/182.49)</f>
        <v>174.03671434051179</v>
      </c>
      <c r="K19" s="35">
        <f t="shared" ref="K19" si="2">ROUND(J19*I19,4)</f>
        <v>3175.9960000000001</v>
      </c>
    </row>
    <row r="20" spans="2:15" ht="15" customHeight="1">
      <c r="B20" s="37"/>
      <c r="C20" s="105"/>
      <c r="D20" s="105"/>
      <c r="E20" s="105"/>
      <c r="F20" s="54"/>
      <c r="G20" s="55"/>
      <c r="H20" s="52"/>
      <c r="I20" s="56"/>
      <c r="J20" s="53"/>
      <c r="K20" s="35"/>
    </row>
    <row r="21" spans="2:15" ht="15" customHeight="1">
      <c r="B21" s="37"/>
      <c r="F21" s="58"/>
      <c r="H21" s="97"/>
      <c r="I21" s="59"/>
      <c r="J21" s="53"/>
      <c r="K21" s="35"/>
    </row>
    <row r="22" spans="2:15" ht="15" customHeight="1">
      <c r="B22" s="37"/>
      <c r="F22" s="58"/>
      <c r="H22" s="97"/>
      <c r="I22" s="59"/>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14452.766</v>
      </c>
    </row>
    <row r="27" spans="2:15">
      <c r="B27" s="44" t="s">
        <v>125</v>
      </c>
      <c r="C27" s="45"/>
      <c r="D27" s="45"/>
      <c r="E27" s="345">
        <v>1</v>
      </c>
      <c r="F27" s="44" t="s">
        <v>126</v>
      </c>
      <c r="G27" s="45"/>
      <c r="H27" s="45"/>
      <c r="I27" s="45"/>
      <c r="J27" s="63"/>
      <c r="K27" s="48">
        <f>K26+K16</f>
        <v>14496.3264</v>
      </c>
    </row>
    <row r="28" spans="2:15">
      <c r="B28" s="44" t="s">
        <v>127</v>
      </c>
      <c r="C28" s="45"/>
      <c r="D28" s="45"/>
      <c r="E28" s="345"/>
      <c r="F28" s="44"/>
      <c r="G28" s="45"/>
      <c r="H28" s="45"/>
      <c r="I28" s="45"/>
      <c r="J28" s="63"/>
      <c r="K28" s="48">
        <f>K27/E27</f>
        <v>14496.3264</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tr">
        <f>Mat.Info!$A$2</f>
        <v>MTSF001</v>
      </c>
      <c r="C31" s="4" t="str">
        <f>VLOOKUP(B31,Mat.Info!A1:H3,2,FALSE)</f>
        <v>Pacote Microsoft 365 Business Basic</v>
      </c>
      <c r="G31" s="543">
        <f>IF(B31="","",VLOOKUP(B31,Mat.Info!A2:H4,6,0))</f>
        <v>1</v>
      </c>
      <c r="H31" s="106" t="s">
        <v>299</v>
      </c>
      <c r="I31" s="106">
        <f>SUM(F12:F15)*G31</f>
        <v>200.739</v>
      </c>
      <c r="J31" s="106">
        <f>IF(B31="","",VLOOKUP(B31,Mat.Info!$A:$H,8,FALSE))</f>
        <v>0.16250000000000001</v>
      </c>
      <c r="K31" s="34">
        <f>ROUND(IF(B31="","",I31*J31),4)</f>
        <v>32.620100000000001</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14528.9465</v>
      </c>
    </row>
    <row r="50" spans="2:11">
      <c r="B50" s="44" t="s">
        <v>144</v>
      </c>
      <c r="C50" s="74"/>
      <c r="D50" s="74"/>
      <c r="E50" s="74"/>
      <c r="F50" s="74"/>
      <c r="G50" s="74"/>
      <c r="H50" s="74"/>
      <c r="I50" s="74"/>
      <c r="J50" s="76">
        <f ca="1">Dados!$C$17</f>
        <v>0.44600000000000001</v>
      </c>
      <c r="K50" s="75">
        <f ca="1">K49*J50</f>
        <v>6479.9101390000005</v>
      </c>
    </row>
    <row r="51" spans="2:11">
      <c r="B51" s="64" t="s">
        <v>145</v>
      </c>
      <c r="C51" s="45"/>
      <c r="D51" s="45"/>
      <c r="E51" s="45"/>
      <c r="F51" s="45"/>
      <c r="G51" s="45"/>
      <c r="H51" s="45"/>
      <c r="I51" s="45"/>
      <c r="J51" s="45"/>
      <c r="K51" s="48">
        <f ca="1">ROUND(K50+K49,2)</f>
        <v>21008.86</v>
      </c>
    </row>
    <row r="52" spans="2:11" ht="7.5" customHeight="1"/>
    <row r="53" spans="2:11" ht="4.5" customHeight="1"/>
  </sheetData>
  <mergeCells count="10">
    <mergeCell ref="B6:K6"/>
    <mergeCell ref="B8:H9"/>
    <mergeCell ref="F10:F11"/>
    <mergeCell ref="G10:H10"/>
    <mergeCell ref="I10:J10"/>
    <mergeCell ref="H44:J44"/>
    <mergeCell ref="C13:E13"/>
    <mergeCell ref="E44:G44"/>
    <mergeCell ref="B30:F30"/>
    <mergeCell ref="C12:E12"/>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76E6DF-ABF5-4FE8-A35D-EDE98831A412}">
          <x14:formula1>
            <xm:f>Categorias!$A$4:$A$101</xm:f>
          </x14:formula1>
          <xm:sqref>C18:E20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795E-CA9D-4628-B4BD-0FA2EE7E08CB}">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'Cronograma'!$D$24</f>
        <v>2</v>
      </c>
    </row>
    <row r="8" spans="1:11">
      <c r="B8" s="719" t="str">
        <f>CONCATENATE("",'Alocação MO'!C5)</f>
        <v>Dimensão de Mercado e Demanda (EMD) - Pesquisa de Campo</v>
      </c>
      <c r="C8" s="720"/>
      <c r="D8" s="720"/>
      <c r="E8" s="720"/>
      <c r="F8" s="720"/>
      <c r="G8" s="720"/>
      <c r="H8" s="720"/>
      <c r="I8" s="18"/>
      <c r="J8" s="18" t="s">
        <v>105</v>
      </c>
      <c r="K8" s="19" t="s">
        <v>106</v>
      </c>
    </row>
    <row r="9" spans="1:11">
      <c r="B9" s="719"/>
      <c r="C9" s="720"/>
      <c r="D9" s="720"/>
      <c r="E9" s="720"/>
      <c r="F9" s="721"/>
      <c r="G9" s="721"/>
      <c r="H9" s="721"/>
      <c r="I9" s="20"/>
      <c r="J9" s="20" t="s">
        <v>107</v>
      </c>
      <c r="K9" s="21" t="s">
        <v>754</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Equip.Info!A4</f>
        <v>EQSF002</v>
      </c>
      <c r="C12" s="715" t="str">
        <f>VLOOKUP(B12,Equip.Info!A:I,2,FALSE)</f>
        <v>Laptop completo, processador Intel Core i5, 16GB memória, Resolução 3.840x2.160 (4K), PV GPU de 4GB e Sistema Operacional.</v>
      </c>
      <c r="D12" s="715"/>
      <c r="E12" s="716"/>
      <c r="F12" s="403">
        <f>SUM(I18:I25)</f>
        <v>10949.4</v>
      </c>
      <c r="G12" s="107">
        <v>1</v>
      </c>
      <c r="H12" s="107">
        <v>0</v>
      </c>
      <c r="I12" s="107">
        <f>IF(B12="","",VLOOKUP($B12,Equip.Info!$A:$I,8,FALSE))</f>
        <v>0.217</v>
      </c>
      <c r="J12" s="107">
        <f>IF(B12="","",VLOOKUP($B12,Equip.Info!$A:$I,9,FALSE))</f>
        <v>0.14369999999999999</v>
      </c>
      <c r="K12" s="118">
        <f>ROUND(F12*(G12*I12+H12*J12),4)</f>
        <v>2376.0198</v>
      </c>
    </row>
    <row r="13" spans="1:11" ht="39.75" customHeight="1">
      <c r="B13" s="33"/>
      <c r="C13" s="730"/>
      <c r="D13" s="730"/>
      <c r="E13" s="731"/>
      <c r="F13" s="484"/>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2376.0198</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P8025</v>
      </c>
      <c r="C18" s="105" t="s">
        <v>13</v>
      </c>
      <c r="D18" s="105"/>
      <c r="E18" s="105"/>
      <c r="F18" s="54">
        <v>1</v>
      </c>
      <c r="G18" s="55">
        <f>INDEX(MO[],MATCH($B$8,MO[Descrição dos Produtos],0),MATCH(C18,MO[#Headers],0))</f>
        <v>25</v>
      </c>
      <c r="H18" s="52">
        <f t="shared" ref="H18:H20" si="0">F18*G18*$K$7</f>
        <v>50</v>
      </c>
      <c r="I18" s="455">
        <f t="shared" ref="I18:I20" si="1">H18*182.49</f>
        <v>9124.5</v>
      </c>
      <c r="J18" s="53">
        <f>IF(ISBLANK(B18),0,VLOOKUP(B18,'TC 10-2023'!B:Z,25,TRUE)/182.49)</f>
        <v>20.922187517124225</v>
      </c>
      <c r="K18" s="35">
        <f t="shared" ref="K18:K20" si="2">ROUND(J18*I18,4)</f>
        <v>190904.5</v>
      </c>
    </row>
    <row r="19" spans="2:15" ht="15" customHeight="1">
      <c r="B19" s="37" t="str">
        <f>IF(ISBLANK(C19),0,VLOOKUP(C19,Categorias!$A$4:$B$83,2,FALSE))</f>
        <v>P8155</v>
      </c>
      <c r="C19" s="105" t="s">
        <v>69</v>
      </c>
      <c r="D19" s="105"/>
      <c r="E19" s="105"/>
      <c r="F19" s="54">
        <v>1</v>
      </c>
      <c r="G19" s="55">
        <f>INDEX(MO[],MATCH($B$8,MO[Descrição dos Produtos],0),MATCH(C19,MO[#Headers],0))</f>
        <v>4</v>
      </c>
      <c r="H19" s="52">
        <f t="shared" si="0"/>
        <v>8</v>
      </c>
      <c r="I19" s="455">
        <f t="shared" si="1"/>
        <v>1459.92</v>
      </c>
      <c r="J19" s="53">
        <f>IF(ISBLANK(B19),0,VLOOKUP(B19,'TC 10-2023'!B:Z,25,TRUE)/182.49)</f>
        <v>31.497561510219736</v>
      </c>
      <c r="K19" s="35">
        <f t="shared" si="2"/>
        <v>45983.92</v>
      </c>
    </row>
    <row r="20" spans="2:15" ht="15" customHeight="1">
      <c r="B20" s="37" t="s">
        <v>200</v>
      </c>
      <c r="C20" s="105" t="s">
        <v>35</v>
      </c>
      <c r="D20" s="105"/>
      <c r="E20" s="105"/>
      <c r="F20" s="54">
        <v>1</v>
      </c>
      <c r="G20" s="55">
        <f>INDEX(MO[],MATCH($B$8,MO[Descrição dos Produtos],0),MATCH(C20,MO[#Headers],0))</f>
        <v>1</v>
      </c>
      <c r="H20" s="52">
        <f t="shared" si="0"/>
        <v>2</v>
      </c>
      <c r="I20" s="56">
        <f t="shared" si="1"/>
        <v>364.98</v>
      </c>
      <c r="J20" s="53">
        <f>IF(ISBLANK(B20),0,VLOOKUP(B20,'TC 10-2023'!B:Z,25,TRUE)/182.49)</f>
        <v>174.03671434051179</v>
      </c>
      <c r="K20" s="35">
        <f t="shared" si="2"/>
        <v>63519.92</v>
      </c>
    </row>
    <row r="21" spans="2:15" ht="15" customHeight="1">
      <c r="B21" s="37"/>
      <c r="C21" s="732"/>
      <c r="D21" s="732"/>
      <c r="E21" s="732"/>
      <c r="F21" s="54"/>
      <c r="G21" s="55"/>
      <c r="H21" s="52"/>
      <c r="I21" s="56"/>
      <c r="J21" s="53"/>
      <c r="K21" s="35"/>
    </row>
    <row r="22" spans="2:15" ht="15" customHeight="1">
      <c r="B22" s="37"/>
      <c r="C22" s="732"/>
      <c r="D22" s="732"/>
      <c r="E22" s="732"/>
      <c r="F22" s="54"/>
      <c r="G22" s="55"/>
      <c r="H22" s="52"/>
      <c r="I22" s="56"/>
      <c r="J22" s="53"/>
      <c r="K22" s="35"/>
    </row>
    <row r="23" spans="2:15" ht="15" customHeight="1">
      <c r="B23" s="37"/>
      <c r="C23" s="732"/>
      <c r="D23" s="732"/>
      <c r="E23" s="732"/>
      <c r="F23" s="54"/>
      <c r="G23" s="55"/>
      <c r="H23" s="52"/>
      <c r="I23" s="56"/>
      <c r="J23" s="53"/>
      <c r="K23" s="35"/>
    </row>
    <row r="24" spans="2:15" ht="15" customHeight="1">
      <c r="B24" s="37"/>
      <c r="C24" s="732"/>
      <c r="D24" s="732"/>
      <c r="E24" s="732"/>
      <c r="F24" s="54"/>
      <c r="G24" s="55"/>
      <c r="H24" s="52"/>
      <c r="I24" s="56"/>
      <c r="J24" s="53"/>
      <c r="K24" s="35"/>
    </row>
    <row r="25" spans="2:15" ht="15" customHeight="1">
      <c r="B25" s="37"/>
      <c r="C25" s="732"/>
      <c r="D25" s="732"/>
      <c r="E25" s="732"/>
      <c r="F25" s="54"/>
      <c r="G25" s="55"/>
      <c r="H25" s="52"/>
      <c r="I25" s="56"/>
      <c r="J25" s="53"/>
      <c r="K25" s="35"/>
    </row>
    <row r="26" spans="2:15">
      <c r="B26" s="44" t="s">
        <v>124</v>
      </c>
      <c r="C26" s="45"/>
      <c r="D26" s="45"/>
      <c r="E26" s="45"/>
      <c r="F26" s="46"/>
      <c r="G26" s="46"/>
      <c r="H26" s="46"/>
      <c r="I26" s="46"/>
      <c r="J26" s="47"/>
      <c r="K26" s="48">
        <f>SUM(K18:K25)</f>
        <v>300408.33999999997</v>
      </c>
    </row>
    <row r="27" spans="2:15">
      <c r="B27" s="44" t="s">
        <v>125</v>
      </c>
      <c r="C27" s="45"/>
      <c r="D27" s="45"/>
      <c r="E27" s="345">
        <v>1</v>
      </c>
      <c r="F27" s="44" t="s">
        <v>126</v>
      </c>
      <c r="G27" s="45"/>
      <c r="H27" s="45"/>
      <c r="I27" s="45"/>
      <c r="J27" s="63"/>
      <c r="K27" s="48">
        <f>K26+K16</f>
        <v>302784.35979999998</v>
      </c>
    </row>
    <row r="28" spans="2:15">
      <c r="B28" s="44" t="s">
        <v>127</v>
      </c>
      <c r="C28" s="45"/>
      <c r="D28" s="45"/>
      <c r="E28" s="345"/>
      <c r="F28" s="44"/>
      <c r="G28" s="45"/>
      <c r="H28" s="45"/>
      <c r="I28" s="45"/>
      <c r="J28" s="63"/>
      <c r="K28" s="48">
        <f>K27/E27</f>
        <v>302784.35979999998</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402">
        <f>SUM(F12:F15)*G31</f>
        <v>10949.4</v>
      </c>
      <c r="J31" s="106">
        <f>IF(B31="","",VLOOKUP(B31,Mat.Info!$A:$H,8,FALSE))</f>
        <v>0.16250000000000001</v>
      </c>
      <c r="K31" s="34">
        <f>ROUND(IF(B31="","",I31*J31),4)</f>
        <v>1779.2774999999999</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1779.2774999999999</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304563.6373</v>
      </c>
    </row>
    <row r="50" spans="2:11">
      <c r="B50" s="44" t="s">
        <v>144</v>
      </c>
      <c r="C50" s="74"/>
      <c r="D50" s="74"/>
      <c r="E50" s="74"/>
      <c r="F50" s="74"/>
      <c r="G50" s="74"/>
      <c r="H50" s="74"/>
      <c r="I50" s="74"/>
      <c r="J50" s="76">
        <f ca="1">Dados!$C$17</f>
        <v>0.44600000000000001</v>
      </c>
      <c r="K50" s="75">
        <f ca="1">K49*J50</f>
        <v>135835.3822358</v>
      </c>
    </row>
    <row r="51" spans="2:11">
      <c r="B51" s="64" t="s">
        <v>145</v>
      </c>
      <c r="C51" s="45"/>
      <c r="D51" s="45"/>
      <c r="E51" s="45"/>
      <c r="F51" s="45"/>
      <c r="G51" s="45"/>
      <c r="H51" s="45"/>
      <c r="I51" s="45"/>
      <c r="J51" s="45"/>
      <c r="K51" s="48">
        <f ca="1">ROUND(K50+K49,2)</f>
        <v>440399.02</v>
      </c>
    </row>
    <row r="52" spans="2:11" ht="7.5" customHeight="1"/>
    <row r="53" spans="2:11" ht="4.5" customHeight="1"/>
  </sheetData>
  <mergeCells count="15">
    <mergeCell ref="H44:J44"/>
    <mergeCell ref="C13:E13"/>
    <mergeCell ref="C21:E21"/>
    <mergeCell ref="C22:E22"/>
    <mergeCell ref="C23:E23"/>
    <mergeCell ref="C24:E24"/>
    <mergeCell ref="C25:E25"/>
    <mergeCell ref="E44:G44"/>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20B79DE-3F32-416A-A11E-447CB73C2709}">
          <x14:formula1>
            <xm:f>Categorias!$A$4:$A$101</xm:f>
          </x14:formula1>
          <xm:sqref>C21:E25 C18:E19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947F-D0E6-4AC3-8810-E04C3EE1D970}">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'Cronograma'!$D$25</f>
        <v>3</v>
      </c>
    </row>
    <row r="8" spans="1:11">
      <c r="B8" s="719" t="str">
        <f>CONCATENATE("",'Alocação MO'!C6)</f>
        <v>Dimensão de Mercado e Demanda (EMD)</v>
      </c>
      <c r="C8" s="720"/>
      <c r="D8" s="720"/>
      <c r="E8" s="720"/>
      <c r="F8" s="720"/>
      <c r="G8" s="720"/>
      <c r="H8" s="720"/>
      <c r="I8" s="18"/>
      <c r="J8" s="18" t="s">
        <v>105</v>
      </c>
      <c r="K8" s="19" t="s">
        <v>106</v>
      </c>
    </row>
    <row r="9" spans="1:11">
      <c r="B9" s="719"/>
      <c r="C9" s="720"/>
      <c r="D9" s="720"/>
      <c r="E9" s="720"/>
      <c r="F9" s="721"/>
      <c r="G9" s="721"/>
      <c r="H9" s="721"/>
      <c r="I9" s="20"/>
      <c r="J9" s="20" t="s">
        <v>107</v>
      </c>
      <c r="K9" s="21" t="s">
        <v>755</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403">
        <f>SUM(I19:I21)</f>
        <v>1642.41</v>
      </c>
      <c r="G12" s="107">
        <v>1</v>
      </c>
      <c r="H12" s="107">
        <v>0</v>
      </c>
      <c r="I12" s="107">
        <f>IF(B12="","",VLOOKUP($B12,Equip.Info!$A:$I,8,FALSE))</f>
        <v>0.54349999999999998</v>
      </c>
      <c r="J12" s="107">
        <f>IF(B12="","",VLOOKUP($B12,Equip.Info!$A:$I,9,FALSE))</f>
        <v>0.3599</v>
      </c>
      <c r="K12" s="118">
        <f>ROUND(F12*(G12*I12+H12*J12),4)</f>
        <v>892.64980000000003</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484">
        <f>I22+I18</f>
        <v>410.60250000000002</v>
      </c>
      <c r="G13" s="108">
        <v>1</v>
      </c>
      <c r="H13" s="108">
        <v>0</v>
      </c>
      <c r="I13" s="108">
        <f>IF(B13="","",VLOOKUP($B13,Equip.Info!$A:$I,8,FALSE))</f>
        <v>0.217</v>
      </c>
      <c r="J13" s="108">
        <f>IF(B13="","",VLOOKUP($B13,Equip.Info!$A:$I,9,FALSE))</f>
        <v>0.14369999999999999</v>
      </c>
      <c r="K13" s="119">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981.75049999999999</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P8060</v>
      </c>
      <c r="C18" s="732" t="s">
        <v>34</v>
      </c>
      <c r="D18" s="732"/>
      <c r="E18" s="732"/>
      <c r="F18" s="54">
        <v>0.5</v>
      </c>
      <c r="G18" s="55">
        <f>INDEX(MO[],MATCH($B$8,MO[Descrição dos Produtos],0),MATCH(C18,MO[#Headers],0))</f>
        <v>1</v>
      </c>
      <c r="H18" s="52">
        <f>F18*G18*$K$7</f>
        <v>1.5</v>
      </c>
      <c r="I18" s="56">
        <f>H18*182.49</f>
        <v>273.73500000000001</v>
      </c>
      <c r="J18" s="53">
        <f>IF(ISBLANK(B18),0,VLOOKUP(B18,'TC 10-2023'!B:Z,25,TRUE)/182.49)</f>
        <v>207.71921749136939</v>
      </c>
      <c r="K18" s="35">
        <f>ROUND(J18*I18,4)</f>
        <v>56860.02</v>
      </c>
    </row>
    <row r="19" spans="2:15" ht="15" customHeight="1">
      <c r="B19" s="37" t="str">
        <f>IF(ISBLANK(C19),0,VLOOKUP(C19,Categorias!$A$4:$B$83,2,FALSE))</f>
        <v>P8067</v>
      </c>
      <c r="C19" s="732" t="s">
        <v>41</v>
      </c>
      <c r="D19" s="732"/>
      <c r="E19" s="732"/>
      <c r="F19" s="54">
        <v>1</v>
      </c>
      <c r="G19" s="55">
        <f>INDEX(MO[],MATCH($B$8,MO[Descrição dos Produtos],0),MATCH(C19,MO[#Headers],0))</f>
        <v>1</v>
      </c>
      <c r="H19" s="52">
        <f t="shared" ref="H19:H20" si="0">F19*G19*$K$7</f>
        <v>3</v>
      </c>
      <c r="I19" s="56">
        <f t="shared" ref="I19:I20" si="1">H19*182.49</f>
        <v>547.47</v>
      </c>
      <c r="J19" s="53">
        <f>IF(ISBLANK(B19),0,VLOOKUP(B19,'TC 10-2023'!B:Z,25,TRUE)/182.49)</f>
        <v>151.26779549564358</v>
      </c>
      <c r="K19" s="35">
        <f t="shared" ref="K19:K20" si="2">ROUND(J19*I19,4)</f>
        <v>82814.58</v>
      </c>
    </row>
    <row r="20" spans="2:15" ht="15" customHeight="1">
      <c r="B20" s="37" t="str">
        <f>IF(ISBLANK(C20),0,VLOOKUP(C20,Categorias!$A$4:$B$83,2,FALSE))</f>
        <v>P8066</v>
      </c>
      <c r="C20" s="732" t="s">
        <v>40</v>
      </c>
      <c r="D20" s="732"/>
      <c r="E20" s="732"/>
      <c r="F20" s="54">
        <v>1</v>
      </c>
      <c r="G20" s="55">
        <f>INDEX(MO[],MATCH($B$8,MO[Descrição dos Produtos],0),MATCH(C20,MO[#Headers],0))</f>
        <v>1</v>
      </c>
      <c r="H20" s="52">
        <f t="shared" si="0"/>
        <v>3</v>
      </c>
      <c r="I20" s="56">
        <f t="shared" si="1"/>
        <v>547.47</v>
      </c>
      <c r="J20" s="53">
        <f>IF(ISBLANK(B20),0,VLOOKUP(B20,'TC 10-2023'!B:Z,25,TRUE)/182.49)</f>
        <v>120.38555537289714</v>
      </c>
      <c r="K20" s="35">
        <f t="shared" si="2"/>
        <v>65907.48</v>
      </c>
    </row>
    <row r="21" spans="2:15" ht="15" customHeight="1">
      <c r="B21" s="37" t="str">
        <f>IF(ISBLANK(C21),0,VLOOKUP(C21,Categorias!$A$4:$B$83,2,FALSE))</f>
        <v>P8047</v>
      </c>
      <c r="C21" s="105" t="s">
        <v>27</v>
      </c>
      <c r="D21" s="105"/>
      <c r="E21" s="105"/>
      <c r="F21" s="54">
        <v>1</v>
      </c>
      <c r="G21" s="55">
        <f>INDEX(MO[],MATCH($B$8,MO[Descrição dos Produtos],0),MATCH(C21,MO[#Headers],0))</f>
        <v>1</v>
      </c>
      <c r="H21" s="52">
        <f t="shared" ref="H21:H22" si="3">F21*G21*$K$7</f>
        <v>3</v>
      </c>
      <c r="I21" s="56">
        <f t="shared" ref="I21:I22" si="4">H21*182.49</f>
        <v>547.47</v>
      </c>
      <c r="J21" s="53">
        <f>IF(ISBLANK(B21),0,VLOOKUP(B21,'TC 10-2023'!B:Z,25,TRUE)/182.49)</f>
        <v>108.82941531042796</v>
      </c>
      <c r="K21" s="35">
        <f t="shared" ref="K21:K22" si="5">ROUND(J21*I21,4)</f>
        <v>59580.84</v>
      </c>
    </row>
    <row r="22" spans="2:15" ht="15" customHeight="1">
      <c r="B22" s="37" t="str">
        <f>IF(ISBLANK(C22),0,VLOOKUP(C22,Categorias!$A$4:$B$83,2,FALSE))</f>
        <v>P8061</v>
      </c>
      <c r="C22" s="105" t="s">
        <v>35</v>
      </c>
      <c r="D22" s="105"/>
      <c r="E22" s="105"/>
      <c r="F22" s="54">
        <v>0.25</v>
      </c>
      <c r="G22" s="55">
        <f>INDEX(MO[],MATCH($B$8,MO[Descrição dos Produtos],0),MATCH(C22,MO[#Headers],0))</f>
        <v>1</v>
      </c>
      <c r="H22" s="52">
        <f t="shared" si="3"/>
        <v>0.75</v>
      </c>
      <c r="I22" s="56">
        <f t="shared" si="4"/>
        <v>136.86750000000001</v>
      </c>
      <c r="J22" s="53">
        <f>IF(ISBLANK(B22),0,VLOOKUP(B22,'TC 10-2023'!B:Z,25,TRUE)/182.49)</f>
        <v>174.03671434051179</v>
      </c>
      <c r="K22" s="35">
        <f t="shared" si="5"/>
        <v>23819.97</v>
      </c>
    </row>
    <row r="23" spans="2:15" ht="15" customHeight="1">
      <c r="B23" s="37"/>
      <c r="C23" s="732"/>
      <c r="D23" s="732"/>
      <c r="E23" s="732"/>
      <c r="F23" s="54"/>
      <c r="G23" s="55"/>
      <c r="H23" s="52"/>
      <c r="I23" s="56"/>
      <c r="J23" s="53"/>
      <c r="K23" s="35"/>
    </row>
    <row r="24" spans="2:15" ht="15" customHeight="1">
      <c r="B24" s="37"/>
      <c r="C24" s="732"/>
      <c r="D24" s="732"/>
      <c r="E24" s="732"/>
      <c r="F24" s="54"/>
      <c r="G24" s="55"/>
      <c r="H24" s="52"/>
      <c r="I24" s="56"/>
      <c r="J24" s="53"/>
      <c r="K24" s="35"/>
    </row>
    <row r="25" spans="2:15" ht="15" customHeight="1">
      <c r="B25" s="37"/>
      <c r="C25" s="732"/>
      <c r="D25" s="732"/>
      <c r="E25" s="732"/>
      <c r="F25" s="54"/>
      <c r="G25" s="55"/>
      <c r="H25" s="52"/>
      <c r="I25" s="56"/>
      <c r="J25" s="53"/>
      <c r="K25" s="35"/>
    </row>
    <row r="26" spans="2:15">
      <c r="B26" s="44" t="s">
        <v>124</v>
      </c>
      <c r="C26" s="45"/>
      <c r="D26" s="45"/>
      <c r="E26" s="45"/>
      <c r="F26" s="46"/>
      <c r="G26" s="46"/>
      <c r="H26" s="46"/>
      <c r="I26" s="46"/>
      <c r="J26" s="47"/>
      <c r="K26" s="48">
        <f>SUM(K18:K25)</f>
        <v>288982.89</v>
      </c>
    </row>
    <row r="27" spans="2:15">
      <c r="B27" s="44" t="s">
        <v>125</v>
      </c>
      <c r="C27" s="45"/>
      <c r="D27" s="45"/>
      <c r="E27" s="345">
        <v>1</v>
      </c>
      <c r="F27" s="44" t="s">
        <v>126</v>
      </c>
      <c r="G27" s="45"/>
      <c r="H27" s="45"/>
      <c r="I27" s="45"/>
      <c r="J27" s="63"/>
      <c r="K27" s="48">
        <f>K26+K16</f>
        <v>289964.64050000004</v>
      </c>
    </row>
    <row r="28" spans="2:15">
      <c r="B28" s="44" t="s">
        <v>127</v>
      </c>
      <c r="C28" s="45"/>
      <c r="D28" s="45"/>
      <c r="E28" s="345"/>
      <c r="F28" s="44"/>
      <c r="G28" s="45"/>
      <c r="H28" s="45"/>
      <c r="I28" s="45"/>
      <c r="J28" s="63"/>
      <c r="K28" s="48">
        <f>K27/E27</f>
        <v>289964.64050000004</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402">
        <f>SUM(F12:F15)*G31</f>
        <v>2053.0125000000003</v>
      </c>
      <c r="J31" s="106">
        <f>IF(B31="","",VLOOKUP(B31,Mat.Info!$A:$H,8,FALSE))</f>
        <v>0.16250000000000001</v>
      </c>
      <c r="K31" s="34">
        <f>ROUND(IF(B31="","",I31*J31),4)</f>
        <v>333.61450000000002</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333.61450000000002</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290298.25500000006</v>
      </c>
    </row>
    <row r="50" spans="2:11">
      <c r="B50" s="44" t="s">
        <v>144</v>
      </c>
      <c r="C50" s="74"/>
      <c r="D50" s="74"/>
      <c r="E50" s="74"/>
      <c r="F50" s="74"/>
      <c r="G50" s="74"/>
      <c r="H50" s="74"/>
      <c r="I50" s="74"/>
      <c r="J50" s="76">
        <f ca="1">Dados!$C$17</f>
        <v>0.44600000000000001</v>
      </c>
      <c r="K50" s="75">
        <f ca="1">K49*J50</f>
        <v>129473.02173000004</v>
      </c>
    </row>
    <row r="51" spans="2:11">
      <c r="B51" s="64" t="s">
        <v>145</v>
      </c>
      <c r="C51" s="45"/>
      <c r="D51" s="45"/>
      <c r="E51" s="45"/>
      <c r="F51" s="45"/>
      <c r="G51" s="45"/>
      <c r="H51" s="45"/>
      <c r="I51" s="45"/>
      <c r="J51" s="45"/>
      <c r="K51" s="48">
        <f ca="1">ROUND(K50+K49,2)</f>
        <v>419771.28</v>
      </c>
    </row>
    <row r="52" spans="2:11" ht="7.5" customHeight="1"/>
    <row r="53" spans="2:11" ht="4.5" customHeight="1"/>
  </sheetData>
  <mergeCells count="16">
    <mergeCell ref="C24:E24"/>
    <mergeCell ref="C25:E25"/>
    <mergeCell ref="E44:G44"/>
    <mergeCell ref="H44:J44"/>
    <mergeCell ref="B30:F30"/>
    <mergeCell ref="C23:E23"/>
    <mergeCell ref="B6:K6"/>
    <mergeCell ref="B8:H9"/>
    <mergeCell ref="F10:F11"/>
    <mergeCell ref="G10:H10"/>
    <mergeCell ref="I10:J10"/>
    <mergeCell ref="C12:E12"/>
    <mergeCell ref="C13:E13"/>
    <mergeCell ref="C18:E18"/>
    <mergeCell ref="C19:E19"/>
    <mergeCell ref="C20:E2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548B17F-B3FB-46F6-AE51-11F2A99BD92C}">
          <x14:formula1>
            <xm:f>Categorias!$A$4:$A$101</xm:f>
          </x14:formula1>
          <xm:sqref>C18:E25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A37F7-A8CC-45C4-B7A5-7B2979D4326B}">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'Cronograma'!$D$26</f>
        <v>2</v>
      </c>
    </row>
    <row r="8" spans="1:11">
      <c r="B8" s="719" t="str">
        <f>CONCATENATE("",'Alocação MO'!C7)</f>
        <v>Dimensão de Engenharia (EEN)</v>
      </c>
      <c r="C8" s="720"/>
      <c r="D8" s="720"/>
      <c r="E8" s="720"/>
      <c r="F8" s="720"/>
      <c r="G8" s="720"/>
      <c r="H8" s="720"/>
      <c r="I8" s="18"/>
      <c r="J8" s="18" t="s">
        <v>105</v>
      </c>
      <c r="K8" s="19" t="s">
        <v>106</v>
      </c>
    </row>
    <row r="9" spans="1:11">
      <c r="B9" s="719"/>
      <c r="C9" s="720"/>
      <c r="D9" s="720"/>
      <c r="E9" s="720"/>
      <c r="F9" s="721"/>
      <c r="G9" s="721"/>
      <c r="H9" s="721"/>
      <c r="I9" s="20"/>
      <c r="J9" s="20" t="s">
        <v>107</v>
      </c>
      <c r="K9" s="21" t="s">
        <v>713</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107">
        <f>SUM(I19:I20)</f>
        <v>729.96</v>
      </c>
      <c r="G12" s="107">
        <v>1</v>
      </c>
      <c r="H12" s="107">
        <v>0</v>
      </c>
      <c r="I12" s="107">
        <f>IF(B12="","",VLOOKUP($B12,Equip.Info!$A:$I,8,FALSE))</f>
        <v>0.54349999999999998</v>
      </c>
      <c r="J12" s="107">
        <f>IF(B12="","",VLOOKUP($B12,Equip.Info!$A:$I,9,FALSE))</f>
        <v>0.3599</v>
      </c>
      <c r="K12" s="118">
        <f>ROUND(F12*(G12*I12+H12*J12),4)</f>
        <v>396.73329999999999</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108">
        <f>I18+I21</f>
        <v>273.73500000000001</v>
      </c>
      <c r="G13" s="108">
        <v>1</v>
      </c>
      <c r="H13" s="108">
        <v>0</v>
      </c>
      <c r="I13" s="108">
        <f>IF(B13="","",VLOOKUP($B13,Equip.Info!$A:$I,8,FALSE))</f>
        <v>0.217</v>
      </c>
      <c r="J13" s="108">
        <f>IF(B13="","",VLOOKUP($B13,Equip.Info!$A:$I,9,FALSE))</f>
        <v>0.14369999999999999</v>
      </c>
      <c r="K13" s="119">
        <f>ROUND(F13*(G13*I13+H13*J13),4)</f>
        <v>59.400500000000001</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456.13380000000001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P8060</v>
      </c>
      <c r="C18" s="732" t="s">
        <v>34</v>
      </c>
      <c r="D18" s="732"/>
      <c r="E18" s="732"/>
      <c r="F18" s="54">
        <v>0.5</v>
      </c>
      <c r="G18" s="55">
        <f>INDEX(MO[],MATCH($B$8,MO[Descrição dos Produtos],0),MATCH(C18,MO[#Headers],0))</f>
        <v>1</v>
      </c>
      <c r="H18" s="52">
        <f>F18*G18*$K$7</f>
        <v>1</v>
      </c>
      <c r="I18" s="56">
        <f t="shared" ref="I18:I20" si="0">H18*182.49</f>
        <v>182.49</v>
      </c>
      <c r="J18" s="53">
        <f>IF(ISBLANK(B18),0,VLOOKUP(B18,'TC 10-2023'!B:Z,25,TRUE)/182.49)</f>
        <v>207.71921749136939</v>
      </c>
      <c r="K18" s="35">
        <f>ROUND(J18*I18,4)</f>
        <v>37906.68</v>
      </c>
    </row>
    <row r="19" spans="2:15" ht="15" customHeight="1">
      <c r="B19" s="37" t="str">
        <f>IF(ISBLANK(C19),0,VLOOKUP(C19,Categorias!$A$4:$B$83,2,FALSE))</f>
        <v>P8067</v>
      </c>
      <c r="C19" s="732" t="s">
        <v>41</v>
      </c>
      <c r="D19" s="732"/>
      <c r="E19" s="732"/>
      <c r="F19" s="54">
        <v>1</v>
      </c>
      <c r="G19" s="55">
        <f>INDEX(MO[],MATCH($B$8,MO[Descrição dos Produtos],0),MATCH(C19,MO[#Headers],0))</f>
        <v>1</v>
      </c>
      <c r="H19" s="52">
        <f t="shared" ref="H19:H20" si="1">F19*G19*$K$7</f>
        <v>2</v>
      </c>
      <c r="I19" s="56">
        <f t="shared" si="0"/>
        <v>364.98</v>
      </c>
      <c r="J19" s="53">
        <f>IF(ISBLANK(B19),0,VLOOKUP(B19,'TC 10-2023'!B:Z,25,TRUE)/182.49)</f>
        <v>151.26779549564358</v>
      </c>
      <c r="K19" s="35">
        <f t="shared" ref="K19:K20" si="2">ROUND(J19*I19,4)</f>
        <v>55209.72</v>
      </c>
    </row>
    <row r="20" spans="2:15" ht="15" customHeight="1">
      <c r="B20" s="37" t="str">
        <f>IF(ISBLANK(C20),0,VLOOKUP(C20,Categorias!$A$4:$B$83,2,FALSE))</f>
        <v>P8066</v>
      </c>
      <c r="C20" s="732" t="s">
        <v>40</v>
      </c>
      <c r="D20" s="732"/>
      <c r="E20" s="732"/>
      <c r="F20" s="54">
        <v>1</v>
      </c>
      <c r="G20" s="55">
        <f>INDEX(MO[],MATCH($B$8,MO[Descrição dos Produtos],0),MATCH(C20,MO[#Headers],0))</f>
        <v>1</v>
      </c>
      <c r="H20" s="52">
        <f t="shared" si="1"/>
        <v>2</v>
      </c>
      <c r="I20" s="56">
        <f t="shared" si="0"/>
        <v>364.98</v>
      </c>
      <c r="J20" s="53">
        <f>IF(ISBLANK(B20),0,VLOOKUP(B20,'TC 10-2023'!B:Z,25,TRUE)/182.49)</f>
        <v>120.38555537289714</v>
      </c>
      <c r="K20" s="35">
        <f t="shared" si="2"/>
        <v>43938.32</v>
      </c>
    </row>
    <row r="21" spans="2:15" ht="15" customHeight="1">
      <c r="B21" s="37" t="str">
        <f>IF(ISBLANK(C21),0,VLOOKUP(C21,Categorias!$A$4:$B$83,2,FALSE))</f>
        <v>P8061</v>
      </c>
      <c r="C21" s="105" t="s">
        <v>35</v>
      </c>
      <c r="D21" s="105"/>
      <c r="E21" s="105"/>
      <c r="F21" s="54">
        <v>0.25</v>
      </c>
      <c r="G21" s="55">
        <f>INDEX(MO[],MATCH($B$8,MO[Descrição dos Produtos],0),MATCH(C21,MO[#Headers],0))</f>
        <v>1</v>
      </c>
      <c r="H21" s="52">
        <f t="shared" ref="H21" si="3">F21*G21*$K$7</f>
        <v>0.5</v>
      </c>
      <c r="I21" s="56">
        <f t="shared" ref="I21" si="4">H21*182.49</f>
        <v>91.245000000000005</v>
      </c>
      <c r="J21" s="53">
        <f>IF(ISBLANK(B21),0,VLOOKUP(B21,'TC 10-2023'!B:Z,25,TRUE)/182.49)</f>
        <v>174.03671434051179</v>
      </c>
      <c r="K21" s="35">
        <f t="shared" ref="K21" si="5">ROUND(J21*I21,4)</f>
        <v>15879.98</v>
      </c>
    </row>
    <row r="22" spans="2:15" ht="15" customHeight="1">
      <c r="B22" s="37"/>
      <c r="F22" s="58"/>
      <c r="H22" s="97"/>
      <c r="I22" s="59"/>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152934.70000000001</v>
      </c>
    </row>
    <row r="27" spans="2:15">
      <c r="B27" s="44" t="s">
        <v>125</v>
      </c>
      <c r="C27" s="45"/>
      <c r="D27" s="45"/>
      <c r="E27" s="345">
        <v>1</v>
      </c>
      <c r="F27" s="44" t="s">
        <v>126</v>
      </c>
      <c r="G27" s="45"/>
      <c r="H27" s="45"/>
      <c r="I27" s="45"/>
      <c r="J27" s="63"/>
      <c r="K27" s="48">
        <f>K26+K16</f>
        <v>153390.83380000002</v>
      </c>
    </row>
    <row r="28" spans="2:15">
      <c r="B28" s="44" t="s">
        <v>127</v>
      </c>
      <c r="C28" s="45"/>
      <c r="D28" s="45"/>
      <c r="E28" s="345"/>
      <c r="F28" s="44"/>
      <c r="G28" s="45"/>
      <c r="H28" s="45"/>
      <c r="I28" s="45"/>
      <c r="J28" s="63"/>
      <c r="K28" s="48">
        <f>K27/E27</f>
        <v>153390.83380000002</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VLOOKUP(B31,Mat.Info!$A:$H,2,FALSE)</f>
        <v>Pacote Microsoft 365 Business Basic</v>
      </c>
      <c r="G31" s="543">
        <f>IF(B31="","",VLOOKUP(B31,Mat.Info!A2:H4,6,0))</f>
        <v>1</v>
      </c>
      <c r="H31" s="106" t="s">
        <v>299</v>
      </c>
      <c r="I31" s="106">
        <f>SUM(F12:F15)*G31</f>
        <v>1003.6950000000001</v>
      </c>
      <c r="J31" s="106">
        <f>IF(B31="","",VLOOKUP(B31,Mat.Info!$A:$H,8,FALSE))</f>
        <v>0.16250000000000001</v>
      </c>
      <c r="K31" s="34">
        <f>ROUND(IF(B31="","",I31*J31),4)</f>
        <v>163.10040000000001</v>
      </c>
    </row>
    <row r="32" spans="2:15">
      <c r="B32" s="37" t="str">
        <f>Mat.Info!A3</f>
        <v>MTSF002</v>
      </c>
      <c r="C32" s="4" t="str">
        <f>IF(B32="","",VLOOKUP(B32,Mat.Info!A2:H5,2,FALSE))</f>
        <v>Software CAD para MAC/Windows 64bits</v>
      </c>
      <c r="G32" s="543">
        <f>IF(B32="","",VLOOKUP(B32,Mat.Info!A3:H5,6,0))</f>
        <v>0.5</v>
      </c>
      <c r="H32" s="59" t="s">
        <v>299</v>
      </c>
      <c r="I32" s="59">
        <f>SUM($I$19:$I$20)*G32</f>
        <v>364.98</v>
      </c>
      <c r="J32" s="59">
        <f>IF(B32="","",VLOOKUP(B32,Mat.Info!$A:$H,8,FALSE))</f>
        <v>3.3740000000000001</v>
      </c>
      <c r="K32" s="35">
        <f>ROUND(IF(B32="","",I32*J32),4)</f>
        <v>1231.4425000000001</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1394.5429000000001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154785.37670000002</v>
      </c>
    </row>
    <row r="50" spans="2:11">
      <c r="B50" s="44" t="s">
        <v>144</v>
      </c>
      <c r="C50" s="74"/>
      <c r="D50" s="74"/>
      <c r="E50" s="74"/>
      <c r="F50" s="74"/>
      <c r="G50" s="74"/>
      <c r="H50" s="74"/>
      <c r="I50" s="74"/>
      <c r="J50" s="76">
        <f ca="1">Dados!$C$17</f>
        <v>0.44600000000000001</v>
      </c>
      <c r="K50" s="75">
        <f ca="1">K49*J50</f>
        <v>69034.27800820001</v>
      </c>
    </row>
    <row r="51" spans="2:11">
      <c r="B51" s="64" t="s">
        <v>145</v>
      </c>
      <c r="C51" s="45"/>
      <c r="D51" s="45"/>
      <c r="E51" s="45"/>
      <c r="F51" s="45"/>
      <c r="G51" s="45"/>
      <c r="H51" s="45"/>
      <c r="I51" s="45"/>
      <c r="J51" s="45"/>
      <c r="K51" s="48">
        <f ca="1">ROUND(K50+K49,2)</f>
        <v>223819.65</v>
      </c>
    </row>
    <row r="52" spans="2:11" ht="7.5" customHeight="1"/>
    <row r="53" spans="2:11" ht="4.5" customHeight="1"/>
  </sheetData>
  <mergeCells count="13">
    <mergeCell ref="E44:G44"/>
    <mergeCell ref="H44:J44"/>
    <mergeCell ref="C13:E13"/>
    <mergeCell ref="C18:E18"/>
    <mergeCell ref="C19:E19"/>
    <mergeCell ref="C20:E20"/>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4421247-6035-4DB0-A83C-2DBF075A750F}">
          <x14:formula1>
            <xm:f>Categorias!$A$4:$A$101</xm:f>
          </x14:formula1>
          <xm:sqref>C18:E21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15470-BEBE-4D47-B004-44414A4403A5}">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'Cronograma'!$D$27</f>
        <v>2</v>
      </c>
    </row>
    <row r="8" spans="1:11">
      <c r="B8" s="719" t="str">
        <f>CONCATENATE("",'Alocação MO'!C8)</f>
        <v>Dimensão Operacional (EOP)</v>
      </c>
      <c r="C8" s="720"/>
      <c r="D8" s="720"/>
      <c r="E8" s="720"/>
      <c r="F8" s="720"/>
      <c r="G8" s="720"/>
      <c r="H8" s="720"/>
      <c r="I8" s="18"/>
      <c r="J8" s="18" t="s">
        <v>105</v>
      </c>
      <c r="K8" s="19" t="s">
        <v>106</v>
      </c>
    </row>
    <row r="9" spans="1:11">
      <c r="B9" s="719"/>
      <c r="C9" s="720"/>
      <c r="D9" s="720"/>
      <c r="E9" s="720"/>
      <c r="F9" s="721"/>
      <c r="G9" s="721"/>
      <c r="H9" s="721"/>
      <c r="I9" s="20"/>
      <c r="J9" s="20" t="s">
        <v>107</v>
      </c>
      <c r="K9" s="21" t="s">
        <v>725</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403">
        <f>SUM(I19:I20)</f>
        <v>729.96</v>
      </c>
      <c r="G12" s="107">
        <v>1</v>
      </c>
      <c r="H12" s="107">
        <v>0</v>
      </c>
      <c r="I12" s="107">
        <f>IF(B12="","",VLOOKUP($B12,Equip.Info!$A:$I,8,FALSE))</f>
        <v>0.54349999999999998</v>
      </c>
      <c r="J12" s="107">
        <f>IF(B12="","",VLOOKUP($B12,Equip.Info!$A:$I,9,FALSE))</f>
        <v>0.3599</v>
      </c>
      <c r="K12" s="118">
        <f>ROUND(F12*(G12*I12+H12*J12),4)</f>
        <v>396.73329999999999</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484">
        <f>I18+I21</f>
        <v>273.73500000000001</v>
      </c>
      <c r="G13" s="108">
        <v>1</v>
      </c>
      <c r="H13" s="108">
        <v>0</v>
      </c>
      <c r="I13" s="108">
        <f>IF(B13="","",VLOOKUP($B13,Equip.Info!$A:$I,8,FALSE))</f>
        <v>0.217</v>
      </c>
      <c r="J13" s="108">
        <f>IF(B13="","",VLOOKUP($B13,Equip.Info!$A:$I,9,FALSE))</f>
        <v>0.14369999999999999</v>
      </c>
      <c r="K13" s="119">
        <f>ROUND(F13*(G13*I13+H13*J13),4)</f>
        <v>59.400500000000001</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456.13380000000001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P8060</v>
      </c>
      <c r="C18" s="732" t="s">
        <v>34</v>
      </c>
      <c r="D18" s="732"/>
      <c r="E18" s="732"/>
      <c r="F18" s="54">
        <v>0.5</v>
      </c>
      <c r="G18" s="55">
        <f>INDEX(MO[],MATCH($B$8,MO[Descrição dos Produtos],0),MATCH(C18,MO[#Headers],0))</f>
        <v>1</v>
      </c>
      <c r="H18" s="52">
        <f>F18*G18*$K$7</f>
        <v>1</v>
      </c>
      <c r="I18" s="56">
        <f t="shared" ref="I18:I20" si="0">H18*182.49</f>
        <v>182.49</v>
      </c>
      <c r="J18" s="53">
        <f>IF(ISBLANK(B18),0,VLOOKUP(B18,'TC 10-2023'!B:Z,25,TRUE)/182.49)</f>
        <v>207.71921749136939</v>
      </c>
      <c r="K18" s="35">
        <f>ROUND(J18*I18,4)</f>
        <v>37906.68</v>
      </c>
    </row>
    <row r="19" spans="2:15" ht="15" customHeight="1">
      <c r="B19" s="37" t="str">
        <f>IF(ISBLANK(C19),0,VLOOKUP(C19,Categorias!$A$4:$B$83,2,FALSE))</f>
        <v>P8067</v>
      </c>
      <c r="C19" s="732" t="s">
        <v>41</v>
      </c>
      <c r="D19" s="732"/>
      <c r="E19" s="732"/>
      <c r="F19" s="54">
        <v>1</v>
      </c>
      <c r="G19" s="55">
        <f>INDEX(MO[],MATCH($B$8,MO[Descrição dos Produtos],0),MATCH(C19,MO[#Headers],0))</f>
        <v>1</v>
      </c>
      <c r="H19" s="52">
        <f t="shared" ref="H19:H20" si="1">F19*G19*$K$7</f>
        <v>2</v>
      </c>
      <c r="I19" s="56">
        <f t="shared" si="0"/>
        <v>364.98</v>
      </c>
      <c r="J19" s="53">
        <f>IF(ISBLANK(B19),0,VLOOKUP(B19,'TC 10-2023'!B:Z,25,TRUE)/182.49)</f>
        <v>151.26779549564358</v>
      </c>
      <c r="K19" s="35">
        <f t="shared" ref="K19:K20" si="2">ROUND(J19*I19,4)</f>
        <v>55209.72</v>
      </c>
    </row>
    <row r="20" spans="2:15" ht="15" customHeight="1">
      <c r="B20" s="37" t="str">
        <f>IF(ISBLANK(C20),0,VLOOKUP(C20,Categorias!$A$4:$B$83,2,FALSE))</f>
        <v>P8066</v>
      </c>
      <c r="C20" s="732" t="s">
        <v>40</v>
      </c>
      <c r="D20" s="732"/>
      <c r="E20" s="732"/>
      <c r="F20" s="54">
        <v>1</v>
      </c>
      <c r="G20" s="55">
        <f>INDEX(MO[],MATCH($B$8,MO[Descrição dos Produtos],0),MATCH(C20,MO[#Headers],0))</f>
        <v>1</v>
      </c>
      <c r="H20" s="52">
        <f t="shared" si="1"/>
        <v>2</v>
      </c>
      <c r="I20" s="56">
        <f t="shared" si="0"/>
        <v>364.98</v>
      </c>
      <c r="J20" s="53">
        <f>IF(ISBLANK(B20),0,VLOOKUP(B20,'TC 10-2023'!B:Z,25,TRUE)/182.49)</f>
        <v>120.38555537289714</v>
      </c>
      <c r="K20" s="35">
        <f t="shared" si="2"/>
        <v>43938.32</v>
      </c>
    </row>
    <row r="21" spans="2:15" ht="15" customHeight="1">
      <c r="B21" s="37" t="str">
        <f>IF(ISBLANK(C21),0,VLOOKUP(C21,Categorias!$A$4:$B$83,2,FALSE))</f>
        <v>P8061</v>
      </c>
      <c r="C21" s="105" t="s">
        <v>35</v>
      </c>
      <c r="D21" s="105"/>
      <c r="E21" s="105"/>
      <c r="F21" s="54">
        <v>0.25</v>
      </c>
      <c r="G21" s="55">
        <f>INDEX(MO[],MATCH($B$8,MO[Descrição dos Produtos],0),MATCH(C21,MO[#Headers],0))</f>
        <v>1</v>
      </c>
      <c r="H21" s="52">
        <f t="shared" ref="H21" si="3">F21*G21*$K$7</f>
        <v>0.5</v>
      </c>
      <c r="I21" s="56">
        <f t="shared" ref="I21" si="4">H21*182.49</f>
        <v>91.245000000000005</v>
      </c>
      <c r="J21" s="53">
        <f>IF(ISBLANK(B21),0,VLOOKUP(B21,'TC 10-2023'!B:Z,25,TRUE)/182.49)</f>
        <v>174.03671434051179</v>
      </c>
      <c r="K21" s="35">
        <f t="shared" ref="K21" si="5">ROUND(J21*I21,4)</f>
        <v>15879.98</v>
      </c>
    </row>
    <row r="22" spans="2:15" ht="15" customHeight="1">
      <c r="B22" s="37"/>
      <c r="F22" s="58"/>
      <c r="H22" s="97"/>
      <c r="I22" s="59"/>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152934.70000000001</v>
      </c>
    </row>
    <row r="27" spans="2:15">
      <c r="B27" s="44" t="s">
        <v>125</v>
      </c>
      <c r="C27" s="45"/>
      <c r="D27" s="45"/>
      <c r="E27" s="345">
        <v>1</v>
      </c>
      <c r="F27" s="44" t="s">
        <v>126</v>
      </c>
      <c r="G27" s="45"/>
      <c r="H27" s="45"/>
      <c r="I27" s="45"/>
      <c r="J27" s="63"/>
      <c r="K27" s="48">
        <f>K26+K16</f>
        <v>153390.83380000002</v>
      </c>
    </row>
    <row r="28" spans="2:15">
      <c r="B28" s="44" t="s">
        <v>127</v>
      </c>
      <c r="C28" s="45"/>
      <c r="D28" s="45"/>
      <c r="E28" s="345"/>
      <c r="F28" s="44"/>
      <c r="G28" s="45"/>
      <c r="H28" s="45"/>
      <c r="I28" s="45"/>
      <c r="J28" s="63"/>
      <c r="K28" s="48">
        <f>K27/E27</f>
        <v>153390.83380000002</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402">
        <f>SUM(F12:F15)*G31</f>
        <v>1003.6950000000001</v>
      </c>
      <c r="J31" s="106">
        <f>IF(B31="","",VLOOKUP(B31,Mat.Info!$A:$H,8,FALSE))</f>
        <v>0.16250000000000001</v>
      </c>
      <c r="K31" s="34">
        <f>ROUND(IF(B31="","",I31*J31),4)</f>
        <v>163.10040000000001</v>
      </c>
    </row>
    <row r="32" spans="2:15">
      <c r="B32" s="37"/>
      <c r="C32" s="4" t="str">
        <f>IF(B32="","",VLOOKUP(B32,Mat.Info!A2:H5,2,FALSE))</f>
        <v/>
      </c>
      <c r="G32" s="543" t="str">
        <f>IF(B32="","",VLOOKUP(B32,Mat.Info!A3:H5,6,0))</f>
        <v/>
      </c>
      <c r="H32" s="59"/>
      <c r="I32" s="59"/>
      <c r="J32" s="59"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163.10040000000001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153553.93420000002</v>
      </c>
    </row>
    <row r="50" spans="2:11">
      <c r="B50" s="44" t="s">
        <v>144</v>
      </c>
      <c r="C50" s="74"/>
      <c r="D50" s="74"/>
      <c r="E50" s="74"/>
      <c r="F50" s="74"/>
      <c r="G50" s="74"/>
      <c r="H50" s="74"/>
      <c r="I50" s="74"/>
      <c r="J50" s="76">
        <f ca="1">Dados!$C$17</f>
        <v>0.44600000000000001</v>
      </c>
      <c r="K50" s="75">
        <f ca="1">K49*J50</f>
        <v>68485.054653200015</v>
      </c>
    </row>
    <row r="51" spans="2:11">
      <c r="B51" s="64" t="s">
        <v>145</v>
      </c>
      <c r="C51" s="45"/>
      <c r="D51" s="45"/>
      <c r="E51" s="45"/>
      <c r="F51" s="45"/>
      <c r="G51" s="45"/>
      <c r="H51" s="45"/>
      <c r="I51" s="45"/>
      <c r="J51" s="45"/>
      <c r="K51" s="48">
        <f ca="1">ROUND(K50+K49,2)</f>
        <v>222038.99</v>
      </c>
    </row>
    <row r="52" spans="2:11" ht="7.5" customHeight="1"/>
    <row r="53" spans="2:11" ht="4.5" customHeight="1"/>
  </sheetData>
  <mergeCells count="13">
    <mergeCell ref="E44:G44"/>
    <mergeCell ref="H44:J44"/>
    <mergeCell ref="C13:E13"/>
    <mergeCell ref="C18:E18"/>
    <mergeCell ref="C19:E19"/>
    <mergeCell ref="C20:E20"/>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F6A2EE5-BB00-47AB-942B-7E7D25EA3A1F}">
          <x14:formula1>
            <xm:f>Categorias!$A$4:$A$101</xm:f>
          </x14:formula1>
          <xm:sqref>C18:E21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719A0-7756-40A2-A6BD-90A915E4AFD6}">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'Cronograma'!$D$28</f>
        <v>2</v>
      </c>
    </row>
    <row r="8" spans="1:11">
      <c r="B8" s="719" t="str">
        <f>CONCATENATE("",'Alocação MO'!C9)</f>
        <v>Dimensão Socioambiental (EMA)</v>
      </c>
      <c r="C8" s="720"/>
      <c r="D8" s="720"/>
      <c r="E8" s="720"/>
      <c r="F8" s="720"/>
      <c r="G8" s="720"/>
      <c r="H8" s="720"/>
      <c r="I8" s="18"/>
      <c r="J8" s="18" t="s">
        <v>105</v>
      </c>
      <c r="K8" s="19" t="s">
        <v>106</v>
      </c>
    </row>
    <row r="9" spans="1:11">
      <c r="B9" s="719"/>
      <c r="C9" s="720"/>
      <c r="D9" s="720"/>
      <c r="E9" s="720"/>
      <c r="F9" s="721"/>
      <c r="G9" s="721"/>
      <c r="H9" s="721"/>
      <c r="I9" s="20"/>
      <c r="J9" s="20" t="s">
        <v>107</v>
      </c>
      <c r="K9" s="21" t="s">
        <v>756</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107">
        <f>SUM(I19:I22)</f>
        <v>638.71500000000003</v>
      </c>
      <c r="G12" s="107">
        <v>1</v>
      </c>
      <c r="H12" s="107">
        <v>0</v>
      </c>
      <c r="I12" s="107">
        <f>IF(B12="","",VLOOKUP($B12,Equip.Info!$A:$I,8,FALSE))</f>
        <v>0.54349999999999998</v>
      </c>
      <c r="J12" s="107">
        <f>IF(B12="","",VLOOKUP($B12,Equip.Info!$A:$I,9,FALSE))</f>
        <v>0.3599</v>
      </c>
      <c r="K12" s="118">
        <f>ROUND(F12*(G12*I12+H12*J12),4)</f>
        <v>347.14159999999998</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108">
        <f>I18</f>
        <v>182.49</v>
      </c>
      <c r="G13" s="108">
        <v>1</v>
      </c>
      <c r="H13" s="108">
        <v>0</v>
      </c>
      <c r="I13" s="108">
        <f>IF(B13="","",VLOOKUP($B13,Equip.Info!$A:$I,8,FALSE))</f>
        <v>0.217</v>
      </c>
      <c r="J13" s="108">
        <f>IF(B13="","",VLOOKUP($B13,Equip.Info!$A:$I,9,FALSE))</f>
        <v>0.14369999999999999</v>
      </c>
      <c r="K13" s="119">
        <f>ROUND(F13*(G13*I13+H13*J13),4)</f>
        <v>39.600299999999997</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386.74189999999999</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0.5</v>
      </c>
      <c r="G18" s="55">
        <f>INDEX(MO[],MATCH($B$8,MO[Descrição dos Produtos],0),MATCH(C18,MO[#Headers],0))</f>
        <v>1</v>
      </c>
      <c r="H18" s="52">
        <f>F18*G18*$K$7</f>
        <v>1</v>
      </c>
      <c r="I18" s="56">
        <f t="shared" ref="I18:I20" si="0">H18*182.49</f>
        <v>182.49</v>
      </c>
      <c r="J18" s="53">
        <f>IF(ISBLANK(B18),0,VLOOKUP(B18,'TC 10-2023'!B:Z,25,TRUE)/182.49)</f>
        <v>172.51148008110033</v>
      </c>
      <c r="K18" s="35">
        <f>ROUND(J18*I18,4)</f>
        <v>31481.62</v>
      </c>
    </row>
    <row r="19" spans="2:15" ht="15" customHeight="1">
      <c r="B19" s="37" t="str">
        <f>IF(ISBLANK(C19),0,VLOOKUP(C19,Categorias!$A$4:$B$83,2,FALSE))</f>
        <v>P8059</v>
      </c>
      <c r="C19" s="732" t="s">
        <v>33</v>
      </c>
      <c r="D19" s="732"/>
      <c r="E19" s="732"/>
      <c r="F19" s="54">
        <v>0.75</v>
      </c>
      <c r="G19" s="55">
        <f>INDEX(MO[],MATCH($B$8,MO[Descrição dos Produtos],0),MATCH(C19,MO[#Headers],0))</f>
        <v>1</v>
      </c>
      <c r="H19" s="52">
        <f t="shared" ref="H19:H20" si="1">F19*G19*$K$7</f>
        <v>1.5</v>
      </c>
      <c r="I19" s="56">
        <f t="shared" si="0"/>
        <v>273.73500000000001</v>
      </c>
      <c r="J19" s="53">
        <f>IF(ISBLANK(B19),0,VLOOKUP(B19,'TC 10-2023'!B:Z,25,TRUE)/182.49)</f>
        <v>139.25875390432353</v>
      </c>
      <c r="K19" s="35">
        <f t="shared" ref="K19:K20" si="2">ROUND(J19*I19,4)</f>
        <v>38119.995000000003</v>
      </c>
    </row>
    <row r="20" spans="2:15" ht="15" customHeight="1">
      <c r="B20" s="37" t="str">
        <f>IF(ISBLANK(C20),0,VLOOKUP(C20,Categorias!$A$4:$B$83,2,FALSE))</f>
        <v>P8058</v>
      </c>
      <c r="C20" s="105" t="s">
        <v>32</v>
      </c>
      <c r="D20" s="105"/>
      <c r="E20" s="105"/>
      <c r="F20" s="54">
        <v>1</v>
      </c>
      <c r="G20" s="55">
        <f>INDEX(MO[],MATCH($B$8,MO[Descrição dos Produtos],0),MATCH(C20,MO[#Headers],0))</f>
        <v>1</v>
      </c>
      <c r="H20" s="52">
        <f t="shared" si="1"/>
        <v>2</v>
      </c>
      <c r="I20" s="56">
        <f t="shared" si="0"/>
        <v>364.98</v>
      </c>
      <c r="J20" s="53">
        <f>IF(ISBLANK(B20),0,VLOOKUP(B20,'TC 10-2023'!B:Z,25,TRUE)/182.49)</f>
        <v>116.50780864704915</v>
      </c>
      <c r="K20" s="35">
        <f t="shared" si="2"/>
        <v>42523.02</v>
      </c>
    </row>
    <row r="21" spans="2:15" ht="15" customHeight="1">
      <c r="B21" s="37"/>
      <c r="C21" s="105"/>
      <c r="D21" s="105"/>
      <c r="E21" s="105"/>
      <c r="F21" s="54"/>
      <c r="G21" s="55"/>
      <c r="H21" s="52"/>
      <c r="I21" s="56"/>
      <c r="J21" s="53"/>
      <c r="K21" s="35"/>
    </row>
    <row r="22" spans="2:15" ht="15" customHeight="1">
      <c r="B22" s="37"/>
      <c r="C22" s="105"/>
      <c r="D22" s="105"/>
      <c r="E22" s="105"/>
      <c r="F22" s="54"/>
      <c r="G22" s="55"/>
      <c r="H22" s="52"/>
      <c r="I22" s="56"/>
      <c r="J22" s="53"/>
      <c r="K22" s="35"/>
    </row>
    <row r="23" spans="2:15" ht="15" customHeight="1">
      <c r="B23" s="37"/>
      <c r="C23" s="105"/>
      <c r="D23" s="105"/>
      <c r="E23" s="105"/>
      <c r="F23" s="54"/>
      <c r="G23" s="55"/>
      <c r="H23" s="52"/>
      <c r="I23" s="56"/>
      <c r="J23" s="53"/>
      <c r="K23" s="35"/>
    </row>
    <row r="24" spans="2:15" ht="15" customHeight="1">
      <c r="B24" s="37"/>
      <c r="C24" s="105"/>
      <c r="D24" s="105"/>
      <c r="E24" s="105"/>
      <c r="F24" s="54"/>
      <c r="G24" s="55"/>
      <c r="H24" s="52"/>
      <c r="I24" s="56"/>
      <c r="J24" s="53"/>
      <c r="K24" s="35"/>
    </row>
    <row r="25" spans="2:15" ht="15" customHeight="1">
      <c r="B25" s="37"/>
      <c r="C25" s="105"/>
      <c r="D25" s="105"/>
      <c r="E25" s="105"/>
      <c r="F25" s="54"/>
      <c r="G25" s="55"/>
      <c r="H25" s="52"/>
      <c r="I25" s="56"/>
      <c r="J25" s="53"/>
      <c r="K25" s="35"/>
    </row>
    <row r="26" spans="2:15">
      <c r="B26" s="44" t="s">
        <v>124</v>
      </c>
      <c r="C26" s="45"/>
      <c r="D26" s="45"/>
      <c r="E26" s="45"/>
      <c r="F26" s="46"/>
      <c r="G26" s="46"/>
      <c r="H26" s="46"/>
      <c r="I26" s="46"/>
      <c r="J26" s="47"/>
      <c r="K26" s="48">
        <f>SUM(K18:K25)</f>
        <v>112124.63500000001</v>
      </c>
    </row>
    <row r="27" spans="2:15">
      <c r="B27" s="44" t="s">
        <v>125</v>
      </c>
      <c r="C27" s="45"/>
      <c r="D27" s="45"/>
      <c r="E27" s="345">
        <v>1</v>
      </c>
      <c r="F27" s="44" t="s">
        <v>126</v>
      </c>
      <c r="G27" s="45"/>
      <c r="H27" s="45"/>
      <c r="I27" s="45"/>
      <c r="J27" s="63"/>
      <c r="K27" s="48">
        <f>K26+K16</f>
        <v>112511.3769</v>
      </c>
    </row>
    <row r="28" spans="2:15">
      <c r="B28" s="44" t="s">
        <v>127</v>
      </c>
      <c r="C28" s="45"/>
      <c r="D28" s="45"/>
      <c r="E28" s="345"/>
      <c r="F28" s="44"/>
      <c r="G28" s="45"/>
      <c r="H28" s="45"/>
      <c r="I28" s="45"/>
      <c r="J28" s="63"/>
      <c r="K28" s="48">
        <f>K27/E27</f>
        <v>112511.3769</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106">
        <f>SUM(F12:F15)*G31</f>
        <v>821.20500000000004</v>
      </c>
      <c r="J31" s="106">
        <f>IF(B31="","",VLOOKUP(B31,Mat.Info!$A:$H,8,FALSE))</f>
        <v>0.16250000000000001</v>
      </c>
      <c r="K31" s="34">
        <f>ROUND(IF(B31="","",I31*J31),4)</f>
        <v>133.44579999999999</v>
      </c>
    </row>
    <row r="32" spans="2:15">
      <c r="B32" s="37" t="s">
        <v>666</v>
      </c>
      <c r="C32" s="4" t="str">
        <f>IF(B32="","",VLOOKUP(B32,Mat.Info!A2:H5,2,FALSE))</f>
        <v>Software SIG para MAC/Windows 64bits</v>
      </c>
      <c r="G32" s="543">
        <f>IF(B32="","",VLOOKUP(B32,Mat.Info!A3:H5,6,0))</f>
        <v>0.5</v>
      </c>
      <c r="H32" s="59" t="s">
        <v>299</v>
      </c>
      <c r="I32" s="59">
        <f>SUM($I$19:$I$20)*G32</f>
        <v>319.35750000000002</v>
      </c>
      <c r="J32" s="59">
        <f>IF(B32="","",VLOOKUP(B32,Mat.Info!$A:$H,8,FALSE))</f>
        <v>4.4630000000000001</v>
      </c>
      <c r="K32" s="35">
        <f>ROUND(IF(B32="","",I32*J32),4)</f>
        <v>1425.2925</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1558.7383</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114070.1152</v>
      </c>
    </row>
    <row r="50" spans="2:11">
      <c r="B50" s="44" t="s">
        <v>144</v>
      </c>
      <c r="C50" s="74"/>
      <c r="D50" s="74"/>
      <c r="E50" s="74"/>
      <c r="F50" s="74"/>
      <c r="G50" s="74"/>
      <c r="H50" s="74"/>
      <c r="I50" s="74"/>
      <c r="J50" s="76">
        <f ca="1">Dados!$C$17</f>
        <v>0.44600000000000001</v>
      </c>
      <c r="K50" s="75">
        <f ca="1">K49*J50</f>
        <v>50875.2713792</v>
      </c>
    </row>
    <row r="51" spans="2:11">
      <c r="B51" s="64" t="s">
        <v>145</v>
      </c>
      <c r="C51" s="45"/>
      <c r="D51" s="45"/>
      <c r="E51" s="45"/>
      <c r="F51" s="45"/>
      <c r="G51" s="45"/>
      <c r="H51" s="45"/>
      <c r="I51" s="45"/>
      <c r="J51" s="45"/>
      <c r="K51" s="48">
        <f ca="1">ROUND(K50+K49,2)</f>
        <v>164945.39000000001</v>
      </c>
    </row>
    <row r="52" spans="2:11" ht="7.5" customHeight="1"/>
    <row r="53" spans="2:11" ht="4.5" customHeight="1"/>
  </sheetData>
  <mergeCells count="12">
    <mergeCell ref="H44:J44"/>
    <mergeCell ref="B6:K6"/>
    <mergeCell ref="B8:H9"/>
    <mergeCell ref="F10:F11"/>
    <mergeCell ref="G10:H10"/>
    <mergeCell ref="I10:J10"/>
    <mergeCell ref="C12:E12"/>
    <mergeCell ref="C13:E13"/>
    <mergeCell ref="C18:E18"/>
    <mergeCell ref="C19:E19"/>
    <mergeCell ref="E44:G44"/>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11580ED-0EF2-4AB0-9F22-3B691CB780B9}">
          <x14:formula1>
            <xm:f>Categorias!$A$4:$A$101</xm:f>
          </x14:formula1>
          <xm:sqref>C18:E25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B229E-9EAA-4C7B-9FEF-A2B1E46B2464}">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'Cronograma'!$D$29</f>
        <v>1</v>
      </c>
    </row>
    <row r="8" spans="1:11">
      <c r="B8" s="719" t="str">
        <f>CONCATENATE("",'Alocação MO'!C10)</f>
        <v>Dimensão Econômico-Financeira (MEF)</v>
      </c>
      <c r="C8" s="720"/>
      <c r="D8" s="720"/>
      <c r="E8" s="720"/>
      <c r="F8" s="720"/>
      <c r="G8" s="720"/>
      <c r="H8" s="720"/>
      <c r="I8" s="18"/>
      <c r="J8" s="18" t="s">
        <v>105</v>
      </c>
      <c r="K8" s="19" t="s">
        <v>106</v>
      </c>
    </row>
    <row r="9" spans="1:11">
      <c r="B9" s="719"/>
      <c r="C9" s="720"/>
      <c r="D9" s="720"/>
      <c r="E9" s="720"/>
      <c r="F9" s="721"/>
      <c r="G9" s="721"/>
      <c r="H9" s="721"/>
      <c r="I9" s="20"/>
      <c r="J9" s="20" t="s">
        <v>107</v>
      </c>
      <c r="K9" s="21" t="s">
        <v>757</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33" t="str">
        <f>Equip.Info!A4</f>
        <v>EQSF002</v>
      </c>
      <c r="C12" s="730" t="str">
        <f>VLOOKUP(B12,Equip.Info!A:I,2,FALSE)</f>
        <v>Laptop completo, processador Intel Core i5, 16GB memória, Resolução 3.840x2.160 (4K), PV GPU de 4GB e Sistema Operacional.</v>
      </c>
      <c r="D12" s="730"/>
      <c r="E12" s="731"/>
      <c r="F12" s="107">
        <f>SUM(I18:I25)</f>
        <v>200.739</v>
      </c>
      <c r="G12" s="107">
        <v>1</v>
      </c>
      <c r="H12" s="107">
        <v>0</v>
      </c>
      <c r="I12" s="107">
        <f>IF(B12="","",VLOOKUP($B12,Equip.Info!$A:$I,8,FALSE))</f>
        <v>0.217</v>
      </c>
      <c r="J12" s="107">
        <f>IF(B12="","",VLOOKUP($B12,Equip.Info!$A:$I,9,FALSE))</f>
        <v>0.14369999999999999</v>
      </c>
      <c r="K12" s="118">
        <f>ROUND(F12*(G12*I12+H12*J12),4)</f>
        <v>43.560400000000001</v>
      </c>
    </row>
    <row r="13" spans="1:11" ht="39.75" customHeight="1">
      <c r="B13" s="33"/>
      <c r="C13" s="730"/>
      <c r="D13" s="730"/>
      <c r="E13" s="731"/>
      <c r="F13" s="108"/>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P8047</v>
      </c>
      <c r="C18" s="732" t="s">
        <v>27</v>
      </c>
      <c r="D18" s="732"/>
      <c r="E18" s="732"/>
      <c r="F18" s="54">
        <v>1</v>
      </c>
      <c r="G18" s="55">
        <f>INDEX(MO[],MATCH($B$8,MO[Descrição dos Produtos],0),MATCH(C18,MO[#Headers],0))</f>
        <v>1</v>
      </c>
      <c r="H18" s="52">
        <f>F18*G18*$K$7</f>
        <v>1</v>
      </c>
      <c r="I18" s="56">
        <f t="shared" ref="I18" si="0">H18*182.49</f>
        <v>182.49</v>
      </c>
      <c r="J18" s="53">
        <f>IF(ISBLANK(B18),0,VLOOKUP(B18,'TC 10-2023'!B:Z,25,TRUE)/182.49)</f>
        <v>108.82941531042796</v>
      </c>
      <c r="K18" s="35">
        <f>ROUND(J18*I18,4)</f>
        <v>19860.28</v>
      </c>
    </row>
    <row r="19" spans="2:15" ht="15" customHeight="1">
      <c r="B19" s="37" t="str">
        <f>IF(ISBLANK(C19),0,VLOOKUP(C19,Categorias!$A$4:$B$83,2,FALSE))</f>
        <v>P8061</v>
      </c>
      <c r="C19" s="105" t="s">
        <v>35</v>
      </c>
      <c r="D19" s="105"/>
      <c r="E19" s="105"/>
      <c r="F19" s="54">
        <v>0.1</v>
      </c>
      <c r="G19" s="55">
        <f>INDEX(MO[],MATCH($B$8,MO[Descrição dos Produtos],0),MATCH(C19,MO[#Headers],0))</f>
        <v>1</v>
      </c>
      <c r="H19" s="52">
        <f t="shared" ref="H19" si="1">F19*G19*$K$7</f>
        <v>0.1</v>
      </c>
      <c r="I19" s="56">
        <f t="shared" ref="I19" si="2">H19*182.49</f>
        <v>18.249000000000002</v>
      </c>
      <c r="J19" s="53">
        <f>IF(ISBLANK(B19),0,VLOOKUP(B19,'TC 10-2023'!B:Z,25,TRUE)/182.49)</f>
        <v>174.03671434051179</v>
      </c>
      <c r="K19" s="35">
        <f t="shared" ref="K19" si="3">ROUND(J19*I19,4)</f>
        <v>3175.9960000000001</v>
      </c>
    </row>
    <row r="20" spans="2:15" ht="15" customHeight="1">
      <c r="B20" s="37"/>
      <c r="C20" s="732"/>
      <c r="D20" s="732"/>
      <c r="E20" s="732"/>
      <c r="F20" s="54"/>
      <c r="G20" s="55"/>
      <c r="H20" s="52"/>
      <c r="I20" s="56"/>
      <c r="J20" s="53"/>
      <c r="K20" s="35"/>
    </row>
    <row r="21" spans="2:15" ht="15" customHeight="1">
      <c r="B21" s="37"/>
      <c r="F21" s="58"/>
      <c r="H21" s="97"/>
      <c r="I21" s="59"/>
      <c r="J21" s="53"/>
      <c r="K21" s="35"/>
    </row>
    <row r="22" spans="2:15" ht="15" customHeight="1">
      <c r="B22" s="37"/>
      <c r="C22" s="732"/>
      <c r="D22" s="732"/>
      <c r="E22" s="732"/>
      <c r="F22" s="54"/>
      <c r="G22" s="55"/>
      <c r="H22" s="52"/>
      <c r="I22" s="56"/>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23036.275999999998</v>
      </c>
    </row>
    <row r="27" spans="2:15">
      <c r="B27" s="44" t="s">
        <v>125</v>
      </c>
      <c r="C27" s="45"/>
      <c r="D27" s="45"/>
      <c r="E27" s="345">
        <v>1</v>
      </c>
      <c r="F27" s="44" t="s">
        <v>126</v>
      </c>
      <c r="G27" s="45"/>
      <c r="H27" s="45"/>
      <c r="I27" s="45"/>
      <c r="J27" s="63"/>
      <c r="K27" s="48">
        <f>K26+K16</f>
        <v>23079.836399999997</v>
      </c>
    </row>
    <row r="28" spans="2:15">
      <c r="B28" s="44" t="s">
        <v>127</v>
      </c>
      <c r="C28" s="45"/>
      <c r="D28" s="45"/>
      <c r="E28" s="345"/>
      <c r="F28" s="44"/>
      <c r="G28" s="45"/>
      <c r="H28" s="45"/>
      <c r="I28" s="45"/>
      <c r="J28" s="63"/>
      <c r="K28" s="48">
        <f>K27/E27</f>
        <v>23079.836399999997</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tr">
        <f>Mat.Info!$A$2</f>
        <v>MTSF001</v>
      </c>
      <c r="C31" s="4" t="str">
        <f>VLOOKUP(B31,Mat.Info!A1:H3,2,FALSE)</f>
        <v>Pacote Microsoft 365 Business Basic</v>
      </c>
      <c r="G31" s="543">
        <f>IF(B31="","",VLOOKUP(B31,Mat.Info!A2:H4,6,0))</f>
        <v>1</v>
      </c>
      <c r="H31" s="106" t="s">
        <v>299</v>
      </c>
      <c r="I31" s="106">
        <f>SUM(F12:F15)*G31</f>
        <v>200.739</v>
      </c>
      <c r="J31" s="106">
        <f>IF(B31="","",VLOOKUP(B31,Mat.Info!$A:$H,8,FALSE))</f>
        <v>0.16250000000000001</v>
      </c>
      <c r="K31" s="34">
        <f>ROUND(IF(B31="","",I31*J31),4)</f>
        <v>32.620100000000001</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23112.456499999997</v>
      </c>
    </row>
    <row r="50" spans="2:11">
      <c r="B50" s="44" t="s">
        <v>144</v>
      </c>
      <c r="C50" s="74"/>
      <c r="D50" s="74"/>
      <c r="E50" s="74"/>
      <c r="F50" s="74"/>
      <c r="G50" s="74"/>
      <c r="H50" s="74"/>
      <c r="I50" s="74"/>
      <c r="J50" s="76">
        <f ca="1">Dados!$C$17</f>
        <v>0.44600000000000001</v>
      </c>
      <c r="K50" s="75">
        <f ca="1">K49*J50</f>
        <v>10308.155598999998</v>
      </c>
    </row>
    <row r="51" spans="2:11">
      <c r="B51" s="64" t="s">
        <v>145</v>
      </c>
      <c r="C51" s="45"/>
      <c r="D51" s="45"/>
      <c r="E51" s="45"/>
      <c r="F51" s="45"/>
      <c r="G51" s="45"/>
      <c r="H51" s="45"/>
      <c r="I51" s="45"/>
      <c r="J51" s="45"/>
      <c r="K51" s="48">
        <f ca="1">ROUND(K50+K49,2)</f>
        <v>33420.61</v>
      </c>
    </row>
    <row r="52" spans="2:11" ht="7.5" customHeight="1"/>
    <row r="53" spans="2:11" ht="4.5" customHeight="1"/>
  </sheetData>
  <mergeCells count="13">
    <mergeCell ref="E44:G44"/>
    <mergeCell ref="H44:J44"/>
    <mergeCell ref="C13:E13"/>
    <mergeCell ref="C18:E18"/>
    <mergeCell ref="C22:E22"/>
    <mergeCell ref="B30:F30"/>
    <mergeCell ref="C20:E2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B895777-AD5C-445A-8195-AAF0C661628E}">
          <x14:formula1>
            <xm:f>Categorias!$A$4:$A$101</xm:f>
          </x14:formula1>
          <xm:sqref>C18:E20 C22:E22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0220F-E994-4784-AF61-2E6F5C233EC3}">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'Cronograma'!$D$30</f>
        <v>1</v>
      </c>
    </row>
    <row r="8" spans="1:11">
      <c r="B8" s="719" t="str">
        <f>CONCATENATE("", "",'Alocação MO'!C11)</f>
        <v>Apoio e revisão pós Audiência Pública</v>
      </c>
      <c r="C8" s="720"/>
      <c r="D8" s="720"/>
      <c r="E8" s="720"/>
      <c r="F8" s="720"/>
      <c r="G8" s="720"/>
      <c r="H8" s="720"/>
      <c r="I8" s="18"/>
      <c r="J8" s="18" t="s">
        <v>105</v>
      </c>
      <c r="K8" s="19" t="s">
        <v>106</v>
      </c>
    </row>
    <row r="9" spans="1:11">
      <c r="B9" s="719"/>
      <c r="C9" s="720"/>
      <c r="D9" s="720"/>
      <c r="E9" s="720"/>
      <c r="F9" s="721"/>
      <c r="G9" s="721"/>
      <c r="H9" s="721"/>
      <c r="I9" s="20"/>
      <c r="J9" s="20" t="s">
        <v>107</v>
      </c>
      <c r="K9" s="21" t="s">
        <v>758</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2.25" customHeight="1">
      <c r="B12" s="33" t="str">
        <f>Equip.Info!A4</f>
        <v>EQSF002</v>
      </c>
      <c r="C12" s="730" t="str">
        <f>VLOOKUP(B12,Equip.Info!A:I,2,FALSE)</f>
        <v>Laptop completo, processador Intel Core i5, 16GB memória, Resolução 3.840x2.160 (4K), PV GPU de 4GB e Sistema Operacional.</v>
      </c>
      <c r="D12" s="730"/>
      <c r="E12" s="731"/>
      <c r="F12" s="107">
        <f>SUM(I18:I25)</f>
        <v>729.96</v>
      </c>
      <c r="G12" s="107">
        <v>1</v>
      </c>
      <c r="H12" s="107">
        <v>0</v>
      </c>
      <c r="I12" s="107">
        <f>IF(B12="","",VLOOKUP($B12,Equip.Info!$A:$I,8,FALSE))</f>
        <v>0.217</v>
      </c>
      <c r="J12" s="107">
        <f>IF(B12="","",VLOOKUP($B12,Equip.Info!$A:$I,9,FALSE))</f>
        <v>0.14369999999999999</v>
      </c>
      <c r="K12" s="118">
        <f>ROUND(F12*(G12*I12+H12*J12),4)</f>
        <v>158.40129999999999</v>
      </c>
    </row>
    <row r="13" spans="1:11" ht="29.25" customHeight="1">
      <c r="B13" s="33"/>
      <c r="C13" s="735"/>
      <c r="D13" s="735"/>
      <c r="E13" s="736"/>
      <c r="F13" s="108"/>
      <c r="G13" s="108"/>
      <c r="H13" s="108"/>
      <c r="I13" s="108" t="str">
        <f>IF(B13="","",VLOOKUP($B13,Equip.Info!$A:$I,8,FALSE))</f>
        <v/>
      </c>
      <c r="J13" s="108" t="str">
        <f>IF(B13="","",VLOOKUP($B13,Equip.Info!$A:$I,9,FALSE))</f>
        <v/>
      </c>
      <c r="K13" s="119"/>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158.40129999999999</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0.25</v>
      </c>
      <c r="G18" s="55">
        <f>INDEX(MO[],MATCH($B$8,MO[Descrição dos Produtos],0),MATCH(C18,MO[#Headers],0))</f>
        <v>1</v>
      </c>
      <c r="H18" s="52">
        <f>F18*G18*$K$7</f>
        <v>0.25</v>
      </c>
      <c r="I18" s="56">
        <f t="shared" ref="I18:I23" si="0">H18*182.49</f>
        <v>45.622500000000002</v>
      </c>
      <c r="J18" s="53">
        <f>IF(ISBLANK(B18),0,VLOOKUP(B18,'TC 10-2023'!B:Z,25,TRUE)/182.49)</f>
        <v>172.51148008110033</v>
      </c>
      <c r="K18" s="35">
        <f>ROUND(J18*I18,4)</f>
        <v>7870.4049999999997</v>
      </c>
    </row>
    <row r="19" spans="2:15" ht="15" customHeight="1">
      <c r="B19" s="37" t="str">
        <f>IF(ISBLANK(C19),0,VLOOKUP(C19,Categorias!$A$4:$B$83,2,FALSE))</f>
        <v>P8061</v>
      </c>
      <c r="C19" s="732" t="s">
        <v>35</v>
      </c>
      <c r="D19" s="732"/>
      <c r="E19" s="732"/>
      <c r="F19" s="54">
        <v>0.25</v>
      </c>
      <c r="G19" s="55">
        <f>INDEX(MO[],MATCH($B$8,MO[Descrição dos Produtos],0),MATCH(C19,MO[#Headers],0))</f>
        <v>1</v>
      </c>
      <c r="H19" s="52">
        <f t="shared" ref="H19:H23" si="1">F19*G19*$K$7</f>
        <v>0.25</v>
      </c>
      <c r="I19" s="56">
        <f t="shared" si="0"/>
        <v>45.622500000000002</v>
      </c>
      <c r="J19" s="53">
        <f>IF(ISBLANK(B19),0,VLOOKUP(B19,'TC 10-2023'!B:Z,25,TRUE)/182.49)</f>
        <v>174.03671434051179</v>
      </c>
      <c r="K19" s="35">
        <f t="shared" ref="K19:K23" si="2">ROUND(J19*I19,4)</f>
        <v>7939.99</v>
      </c>
    </row>
    <row r="20" spans="2:15" ht="15" customHeight="1">
      <c r="B20" s="37" t="str">
        <f>IF(ISBLANK(C20),0,VLOOKUP(C20,Categorias!$A$4:$B$83,2,FALSE))</f>
        <v>P8003</v>
      </c>
      <c r="C20" s="732" t="s">
        <v>3</v>
      </c>
      <c r="D20" s="732"/>
      <c r="E20" s="732"/>
      <c r="F20" s="54">
        <v>1</v>
      </c>
      <c r="G20" s="55">
        <f>INDEX(MO[],MATCH($B$8,MO[Descrição dos Produtos],0),MATCH(C20,MO[#Headers],0))</f>
        <v>1</v>
      </c>
      <c r="H20" s="52">
        <f t="shared" si="1"/>
        <v>1</v>
      </c>
      <c r="I20" s="56">
        <f t="shared" si="0"/>
        <v>182.49</v>
      </c>
      <c r="J20" s="53">
        <f>IF(ISBLANK(B20),0,VLOOKUP(B20,'TC 10-2023'!B:Z,25,TRUE)/182.49)</f>
        <v>105.29289276124719</v>
      </c>
      <c r="K20" s="35">
        <f t="shared" si="2"/>
        <v>19214.900000000001</v>
      </c>
    </row>
    <row r="21" spans="2:15" ht="15" customHeight="1">
      <c r="B21" s="37" t="str">
        <f>IF(ISBLANK(C21),0,VLOOKUP(C21,Categorias!$A$4:$B$83,2,FALSE))</f>
        <v>P8047</v>
      </c>
      <c r="C21" s="105" t="s">
        <v>27</v>
      </c>
      <c r="D21" s="105"/>
      <c r="E21" s="105"/>
      <c r="F21" s="54">
        <v>1</v>
      </c>
      <c r="G21" s="55">
        <f>INDEX(MO[],MATCH($B$8,MO[Descrição dos Produtos],0),MATCH(C21,MO[#Headers],0))</f>
        <v>1</v>
      </c>
      <c r="H21" s="52">
        <f t="shared" si="1"/>
        <v>1</v>
      </c>
      <c r="I21" s="56">
        <f t="shared" si="0"/>
        <v>182.49</v>
      </c>
      <c r="J21" s="53">
        <f>IF(ISBLANK(B21),0,VLOOKUP(B21,'TC 10-2023'!B:Z,25,TRUE)/182.49)</f>
        <v>108.82941531042796</v>
      </c>
      <c r="K21" s="35">
        <f t="shared" si="2"/>
        <v>19860.28</v>
      </c>
    </row>
    <row r="22" spans="2:15">
      <c r="B22" s="37" t="str">
        <f>IF(ISBLANK(C22),0,VLOOKUP(C22,Categorias!$A$4:$B$83,2,FALSE))</f>
        <v>P8060</v>
      </c>
      <c r="C22" s="105" t="s">
        <v>34</v>
      </c>
      <c r="D22" s="105"/>
      <c r="E22" s="105"/>
      <c r="F22" s="54">
        <v>0.5</v>
      </c>
      <c r="G22" s="55">
        <f>INDEX(MO[],MATCH($B$8,MO[Descrição dos Produtos],0),MATCH(C22,MO[#Headers],0))</f>
        <v>1</v>
      </c>
      <c r="H22" s="52">
        <f t="shared" si="1"/>
        <v>0.5</v>
      </c>
      <c r="I22" s="56">
        <f t="shared" si="0"/>
        <v>91.245000000000005</v>
      </c>
      <c r="J22" s="53">
        <f>IF(ISBLANK(B22),0,VLOOKUP(B22,'TC 10-2023'!B:Z,25,TRUE)/182.49)</f>
        <v>207.71921749136939</v>
      </c>
      <c r="K22" s="35">
        <f t="shared" si="2"/>
        <v>18953.34</v>
      </c>
    </row>
    <row r="23" spans="2:15">
      <c r="B23" s="37" t="str">
        <f>IF(ISBLANK(C23),0,VLOOKUP(C23,Categorias!$A$4:$B$83,2,FALSE))</f>
        <v>P8067</v>
      </c>
      <c r="C23" s="105" t="s">
        <v>41</v>
      </c>
      <c r="D23" s="105"/>
      <c r="E23" s="105"/>
      <c r="F23" s="54">
        <v>0.5</v>
      </c>
      <c r="G23" s="55">
        <f>INDEX(MO[],MATCH($B$8,MO[Descrição dos Produtos],0),MATCH(C23,MO[#Headers],0))</f>
        <v>2</v>
      </c>
      <c r="H23" s="52">
        <f t="shared" si="1"/>
        <v>1</v>
      </c>
      <c r="I23" s="56">
        <f t="shared" si="0"/>
        <v>182.49</v>
      </c>
      <c r="J23" s="53">
        <f>IF(ISBLANK(B23),0,VLOOKUP(B23,'TC 10-2023'!B:Z,25,TRUE)/182.49)</f>
        <v>151.26779549564358</v>
      </c>
      <c r="K23" s="35">
        <f t="shared" si="2"/>
        <v>27604.86</v>
      </c>
    </row>
    <row r="24" spans="2:15">
      <c r="B24" s="37"/>
      <c r="C24" s="732"/>
      <c r="D24" s="732"/>
      <c r="E24" s="73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101443.77499999999</v>
      </c>
    </row>
    <row r="27" spans="2:15">
      <c r="B27" s="44" t="s">
        <v>125</v>
      </c>
      <c r="C27" s="45"/>
      <c r="D27" s="45"/>
      <c r="E27" s="345">
        <v>1</v>
      </c>
      <c r="F27" s="44" t="s">
        <v>126</v>
      </c>
      <c r="G27" s="45"/>
      <c r="H27" s="45"/>
      <c r="I27" s="45"/>
      <c r="J27" s="63"/>
      <c r="K27" s="48">
        <f>K26+K16</f>
        <v>101602.17629999999</v>
      </c>
    </row>
    <row r="28" spans="2:15">
      <c r="B28" s="44" t="s">
        <v>127</v>
      </c>
      <c r="C28" s="45"/>
      <c r="D28" s="45"/>
      <c r="E28" s="345"/>
      <c r="F28" s="44"/>
      <c r="G28" s="45"/>
      <c r="H28" s="45"/>
      <c r="I28" s="45"/>
      <c r="J28" s="63"/>
      <c r="K28" s="48">
        <f>K27/E27</f>
        <v>101602.17629999999</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ht="15" customHeight="1">
      <c r="B31" s="37" t="str">
        <f>Mat.Info!$A$2</f>
        <v>MTSF001</v>
      </c>
      <c r="C31" s="4" t="str">
        <f>VLOOKUP(B31,Mat.Info!A1:H3,2,FALSE)</f>
        <v>Pacote Microsoft 365 Business Basic</v>
      </c>
      <c r="G31" s="543">
        <f>IF(B31="","",VLOOKUP(B31,Mat.Info!A2:H4,6,0))</f>
        <v>1</v>
      </c>
      <c r="H31" s="106" t="s">
        <v>299</v>
      </c>
      <c r="I31" s="106">
        <f>SUM(F12:F15)*G31</f>
        <v>729.96</v>
      </c>
      <c r="J31" s="106">
        <f>IF(B31="","",VLOOKUP(B31,Mat.Info!$A:$H,8,FALSE))</f>
        <v>0.16250000000000001</v>
      </c>
      <c r="K31" s="34">
        <f>ROUND(IF(B31="","",I31*J31),4)</f>
        <v>118.6185</v>
      </c>
    </row>
    <row r="32" spans="2:15">
      <c r="B32" s="37"/>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118.6185</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101720.79479999999</v>
      </c>
    </row>
    <row r="50" spans="2:11">
      <c r="B50" s="44" t="s">
        <v>144</v>
      </c>
      <c r="C50" s="74"/>
      <c r="D50" s="74"/>
      <c r="E50" s="74"/>
      <c r="F50" s="74"/>
      <c r="G50" s="74"/>
      <c r="H50" s="74"/>
      <c r="I50" s="74"/>
      <c r="J50" s="76">
        <f ca="1">Dados!C17</f>
        <v>0.44600000000000001</v>
      </c>
      <c r="K50" s="75">
        <f ca="1">K49*J50</f>
        <v>45367.474480799996</v>
      </c>
    </row>
    <row r="51" spans="2:11">
      <c r="B51" s="64" t="s">
        <v>145</v>
      </c>
      <c r="C51" s="45"/>
      <c r="D51" s="45"/>
      <c r="E51" s="45"/>
      <c r="F51" s="45"/>
      <c r="G51" s="45"/>
      <c r="H51" s="45"/>
      <c r="I51" s="45"/>
      <c r="J51" s="45"/>
      <c r="K51" s="48">
        <f ca="1">ROUND(K50+K49,2)</f>
        <v>147088.26999999999</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EA01-C8BC-4618-8619-75B3CF302775}">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'Cronograma'!$D$31</f>
        <v>1</v>
      </c>
    </row>
    <row r="8" spans="1:11">
      <c r="B8" s="719" t="str">
        <f>CONCATENATE("", "",'Alocação MO'!C12)</f>
        <v>Apoio a subsídios a questionamentos do órgão de controle externo</v>
      </c>
      <c r="C8" s="720"/>
      <c r="D8" s="720"/>
      <c r="E8" s="720"/>
      <c r="F8" s="720"/>
      <c r="G8" s="720"/>
      <c r="H8" s="720"/>
      <c r="I8" s="18"/>
      <c r="J8" s="18" t="s">
        <v>105</v>
      </c>
      <c r="K8" s="19" t="s">
        <v>106</v>
      </c>
    </row>
    <row r="9" spans="1:11">
      <c r="B9" s="719"/>
      <c r="C9" s="720"/>
      <c r="D9" s="720"/>
      <c r="E9" s="720"/>
      <c r="F9" s="721"/>
      <c r="G9" s="721"/>
      <c r="H9" s="721"/>
      <c r="I9" s="20"/>
      <c r="J9" s="20" t="s">
        <v>107</v>
      </c>
      <c r="K9" s="21" t="s">
        <v>759</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2.25" customHeight="1">
      <c r="B12" s="33" t="str">
        <f>Equip.Info!A4</f>
        <v>EQSF002</v>
      </c>
      <c r="C12" s="730" t="str">
        <f>VLOOKUP(B12,Equip.Info!A:I,2,FALSE)</f>
        <v>Laptop completo, processador Intel Core i5, 16GB memória, Resolução 3.840x2.160 (4K), PV GPU de 4GB e Sistema Operacional.</v>
      </c>
      <c r="D12" s="730"/>
      <c r="E12" s="731"/>
      <c r="F12" s="107">
        <f>SUM(I18:I25)</f>
        <v>374.10450000000003</v>
      </c>
      <c r="G12" s="107">
        <v>1</v>
      </c>
      <c r="H12" s="107">
        <v>0</v>
      </c>
      <c r="I12" s="107">
        <f>IF(B12="","",VLOOKUP($B12,Equip.Info!$A:$I,8,FALSE))</f>
        <v>0.217</v>
      </c>
      <c r="J12" s="107">
        <f>IF(B12="","",VLOOKUP($B12,Equip.Info!$A:$I,9,FALSE))</f>
        <v>0.14369999999999999</v>
      </c>
      <c r="K12" s="118">
        <f>ROUND(F12*(G12*I12+H12*J12),4)</f>
        <v>81.180700000000002</v>
      </c>
    </row>
    <row r="13" spans="1:11" ht="29.25" customHeight="1">
      <c r="B13" s="33"/>
      <c r="C13" s="735"/>
      <c r="D13" s="735"/>
      <c r="E13" s="736"/>
      <c r="F13" s="108"/>
      <c r="G13" s="108"/>
      <c r="H13" s="108"/>
      <c r="I13" s="108" t="str">
        <f>IF(B13="","",VLOOKUP($B13,Equip.Info!$A:$I,8,FALSE))</f>
        <v/>
      </c>
      <c r="J13" s="108" t="str">
        <f>IF(B13="","",VLOOKUP($B13,Equip.Info!$A:$I,9,FALSE))</f>
        <v/>
      </c>
      <c r="K13" s="119"/>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81.180700000000002</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0.15</v>
      </c>
      <c r="G18" s="55">
        <f>INDEX(MO[],MATCH($B$8,MO[Descrição dos Produtos],0),MATCH(C18,MO[#Headers],0))</f>
        <v>1</v>
      </c>
      <c r="H18" s="52">
        <f>F18*G18*$K$7</f>
        <v>0.15</v>
      </c>
      <c r="I18" s="56">
        <f t="shared" ref="I18:I23" si="0">H18*182.49</f>
        <v>27.3735</v>
      </c>
      <c r="J18" s="53">
        <f>IF(ISBLANK(B18),0,VLOOKUP(B18,'TC 10-2023'!B:Z,25,TRUE)/182.49)</f>
        <v>172.51148008110033</v>
      </c>
      <c r="K18" s="35">
        <f>ROUND(J18*I18,4)</f>
        <v>4722.2430000000004</v>
      </c>
    </row>
    <row r="19" spans="2:15" ht="15" customHeight="1">
      <c r="B19" s="37" t="str">
        <f>IF(ISBLANK(C19),0,VLOOKUP(C19,Categorias!$A$4:$B$83,2,FALSE))</f>
        <v>P8061</v>
      </c>
      <c r="C19" s="732" t="s">
        <v>35</v>
      </c>
      <c r="D19" s="732"/>
      <c r="E19" s="732"/>
      <c r="F19" s="54">
        <v>0.15</v>
      </c>
      <c r="G19" s="55">
        <f>INDEX(MO[],MATCH($B$8,MO[Descrição dos Produtos],0),MATCH(C19,MO[#Headers],0))</f>
        <v>1</v>
      </c>
      <c r="H19" s="52">
        <f t="shared" ref="H19:H23" si="1">F19*G19*$K$7</f>
        <v>0.15</v>
      </c>
      <c r="I19" s="56">
        <f t="shared" si="0"/>
        <v>27.3735</v>
      </c>
      <c r="J19" s="53">
        <f>IF(ISBLANK(B19),0,VLOOKUP(B19,'TC 10-2023'!B:Z,25,TRUE)/182.49)</f>
        <v>174.03671434051179</v>
      </c>
      <c r="K19" s="35">
        <f t="shared" ref="K19:K23" si="2">ROUND(J19*I19,4)</f>
        <v>4763.9939999999997</v>
      </c>
    </row>
    <row r="20" spans="2:15" ht="15" customHeight="1">
      <c r="B20" s="37" t="str">
        <f>IF(ISBLANK(C20),0,VLOOKUP(C20,Categorias!$A$4:$B$83,2,FALSE))</f>
        <v>P8003</v>
      </c>
      <c r="C20" s="732" t="s">
        <v>3</v>
      </c>
      <c r="D20" s="732"/>
      <c r="E20" s="732"/>
      <c r="F20" s="54">
        <v>0.5</v>
      </c>
      <c r="G20" s="55">
        <f>INDEX(MO[],MATCH($B$8,MO[Descrição dos Produtos],0),MATCH(C20,MO[#Headers],0))</f>
        <v>1</v>
      </c>
      <c r="H20" s="52">
        <f t="shared" si="1"/>
        <v>0.5</v>
      </c>
      <c r="I20" s="56">
        <f t="shared" si="0"/>
        <v>91.245000000000005</v>
      </c>
      <c r="J20" s="53">
        <f>IF(ISBLANK(B20),0,VLOOKUP(B20,'TC 10-2023'!B:Z,25,TRUE)/182.49)</f>
        <v>105.29289276124719</v>
      </c>
      <c r="K20" s="35">
        <f t="shared" si="2"/>
        <v>9607.4500000000007</v>
      </c>
    </row>
    <row r="21" spans="2:15" ht="15" customHeight="1">
      <c r="B21" s="37" t="str">
        <f>IF(ISBLANK(C21),0,VLOOKUP(C21,Categorias!$A$4:$B$83,2,FALSE))</f>
        <v>P8047</v>
      </c>
      <c r="C21" s="105" t="s">
        <v>27</v>
      </c>
      <c r="D21" s="105"/>
      <c r="E21" s="105"/>
      <c r="F21" s="54">
        <v>0.5</v>
      </c>
      <c r="G21" s="55">
        <f>INDEX(MO[],MATCH($B$8,MO[Descrição dos Produtos],0),MATCH(C21,MO[#Headers],0))</f>
        <v>1</v>
      </c>
      <c r="H21" s="52">
        <f t="shared" si="1"/>
        <v>0.5</v>
      </c>
      <c r="I21" s="56">
        <f t="shared" si="0"/>
        <v>91.245000000000005</v>
      </c>
      <c r="J21" s="53">
        <f>IF(ISBLANK(B21),0,VLOOKUP(B21,'TC 10-2023'!B:Z,25,TRUE)/182.49)</f>
        <v>108.82941531042796</v>
      </c>
      <c r="K21" s="35">
        <f t="shared" si="2"/>
        <v>9930.14</v>
      </c>
    </row>
    <row r="22" spans="2:15">
      <c r="B22" s="37" t="str">
        <f>IF(ISBLANK(C22),0,VLOOKUP(C22,Categorias!$A$4:$B$83,2,FALSE))</f>
        <v>P8060</v>
      </c>
      <c r="C22" s="105" t="s">
        <v>34</v>
      </c>
      <c r="D22" s="105"/>
      <c r="E22" s="105"/>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5" t="s">
        <v>41</v>
      </c>
      <c r="D23" s="105"/>
      <c r="E23" s="105"/>
      <c r="F23" s="54">
        <v>0.25</v>
      </c>
      <c r="G23" s="55">
        <f>INDEX(MO[],MATCH($B$8,MO[Descrição dos Produtos],0),MATCH(C23,MO[#Headers],0))</f>
        <v>2</v>
      </c>
      <c r="H23" s="52">
        <f t="shared" si="1"/>
        <v>0.5</v>
      </c>
      <c r="I23" s="56">
        <f t="shared" si="0"/>
        <v>91.245000000000005</v>
      </c>
      <c r="J23" s="53">
        <f>IF(ISBLANK(B23),0,VLOOKUP(B23,'TC 10-2023'!B:Z,25,TRUE)/182.49)</f>
        <v>151.26779549564358</v>
      </c>
      <c r="K23" s="35">
        <f t="shared" si="2"/>
        <v>13802.43</v>
      </c>
    </row>
    <row r="24" spans="2:15">
      <c r="B24" s="37"/>
      <c r="C24" s="732"/>
      <c r="D24" s="732"/>
      <c r="E24" s="73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52302.927000000003</v>
      </c>
    </row>
    <row r="27" spans="2:15">
      <c r="B27" s="44" t="s">
        <v>125</v>
      </c>
      <c r="C27" s="45"/>
      <c r="D27" s="45"/>
      <c r="E27" s="345">
        <v>1</v>
      </c>
      <c r="F27" s="44" t="s">
        <v>126</v>
      </c>
      <c r="G27" s="45"/>
      <c r="H27" s="45"/>
      <c r="I27" s="45"/>
      <c r="J27" s="63"/>
      <c r="K27" s="48">
        <f>K26+K16</f>
        <v>52384.1077</v>
      </c>
    </row>
    <row r="28" spans="2:15">
      <c r="B28" s="44" t="s">
        <v>127</v>
      </c>
      <c r="C28" s="45"/>
      <c r="D28" s="45"/>
      <c r="E28" s="345"/>
      <c r="F28" s="44"/>
      <c r="G28" s="45"/>
      <c r="H28" s="45"/>
      <c r="I28" s="45"/>
      <c r="J28" s="63"/>
      <c r="K28" s="48">
        <f>K27/E27</f>
        <v>52384.1077</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ht="15" customHeight="1">
      <c r="B31" s="37" t="str">
        <f>Mat.Info!$A$2</f>
        <v>MTSF001</v>
      </c>
      <c r="C31" s="4" t="str">
        <f>VLOOKUP(B31,Mat.Info!A1:H3,2,FALSE)</f>
        <v>Pacote Microsoft 365 Business Basic</v>
      </c>
      <c r="G31" s="543">
        <f>IF(B31="","",VLOOKUP(B31,Mat.Info!A2:H4,6,0))</f>
        <v>1</v>
      </c>
      <c r="H31" s="106" t="s">
        <v>299</v>
      </c>
      <c r="I31" s="106">
        <f>SUM(F12:F15)*G31</f>
        <v>374.10450000000003</v>
      </c>
      <c r="J31" s="106">
        <f>IF(B31="","",VLOOKUP(B31,Mat.Info!$A:$H,8,FALSE))</f>
        <v>0.16250000000000001</v>
      </c>
      <c r="K31" s="34">
        <f>ROUND(IF(B31="","",I31*J31),4)</f>
        <v>60.792000000000002</v>
      </c>
    </row>
    <row r="32" spans="2:15">
      <c r="B32" s="37"/>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60.792000000000002</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52444.899700000002</v>
      </c>
    </row>
    <row r="50" spans="2:11">
      <c r="B50" s="44" t="s">
        <v>144</v>
      </c>
      <c r="C50" s="74"/>
      <c r="D50" s="74"/>
      <c r="E50" s="74"/>
      <c r="F50" s="74"/>
      <c r="G50" s="74"/>
      <c r="H50" s="74"/>
      <c r="I50" s="74"/>
      <c r="J50" s="76">
        <f ca="1">Dados!C17</f>
        <v>0.44600000000000001</v>
      </c>
      <c r="K50" s="75">
        <f ca="1">K49*J50</f>
        <v>23390.4252662</v>
      </c>
    </row>
    <row r="51" spans="2:11">
      <c r="B51" s="64" t="s">
        <v>145</v>
      </c>
      <c r="C51" s="45"/>
      <c r="D51" s="45"/>
      <c r="E51" s="45"/>
      <c r="F51" s="45"/>
      <c r="G51" s="45"/>
      <c r="H51" s="45"/>
      <c r="I51" s="45"/>
      <c r="J51" s="45"/>
      <c r="K51" s="48">
        <f ca="1">ROUND(K50+K49,2)</f>
        <v>75835.320000000007</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5904-3390-4C99-BD34-D17A3D8F02C3}">
  <sheetPr>
    <tabColor rgb="FF002060"/>
    <pageSetUpPr fitToPage="1"/>
  </sheetPr>
  <dimension ref="A1:O18"/>
  <sheetViews>
    <sheetView showGridLines="0" workbookViewId="0">
      <selection activeCell="K25" sqref="K25"/>
    </sheetView>
  </sheetViews>
  <sheetFormatPr defaultColWidth="9.140625" defaultRowHeight="12"/>
  <cols>
    <col min="1" max="1" width="2.7109375" style="133" customWidth="1"/>
    <col min="2" max="2" width="4.42578125" style="133" customWidth="1"/>
    <col min="3" max="3" width="48.140625" style="133" customWidth="1"/>
    <col min="4" max="4" width="8" style="133" customWidth="1"/>
    <col min="5" max="10" width="12.140625" style="133" customWidth="1"/>
    <col min="11" max="11" width="13.5703125" style="133" customWidth="1"/>
    <col min="12" max="13" width="9.140625" style="133"/>
    <col min="14" max="14" width="12.42578125" style="133" bestFit="1" customWidth="1"/>
    <col min="15" max="16384" width="9.140625" style="133"/>
  </cols>
  <sheetData>
    <row r="1" spans="1:15" s="120" customFormat="1" ht="15"/>
    <row r="2" spans="1:15" s="120" customFormat="1" ht="54" customHeight="1"/>
    <row r="3" spans="1:15">
      <c r="A3" s="131"/>
      <c r="B3" s="131"/>
      <c r="C3" s="132"/>
      <c r="D3" s="132"/>
      <c r="E3" s="132"/>
      <c r="F3" s="132"/>
    </row>
    <row r="4" spans="1:15" ht="36" customHeight="1">
      <c r="B4" s="643" t="str">
        <f>"Orçamento Referencial - "&amp;Dados!C6</f>
        <v>Orçamento Referencial - Contratação de serviços técnicos e especializados para a elaboração de Estudo de Viabilidade Técnica, Econômica e Ambiental (EVTEA) para transporte de passageiros da Ferrovia Centro Atlântica (FCA) / Ferrovia Rumo Malha Sul (RMS).</v>
      </c>
      <c r="C4" s="643"/>
      <c r="D4" s="643"/>
      <c r="E4" s="643"/>
      <c r="F4" s="643"/>
      <c r="G4" s="643"/>
      <c r="H4" s="643"/>
      <c r="I4" s="643"/>
      <c r="J4" s="643"/>
      <c r="K4" s="643"/>
    </row>
    <row r="5" spans="1:15" ht="17.25" customHeight="1">
      <c r="A5" s="211"/>
      <c r="B5" s="209"/>
      <c r="C5" s="212"/>
      <c r="D5" s="212"/>
      <c r="E5" s="211"/>
      <c r="F5" s="211"/>
    </row>
    <row r="6" spans="1:15">
      <c r="A6" s="211"/>
      <c r="B6" s="210" t="s">
        <v>327</v>
      </c>
      <c r="C6" s="213">
        <f>Dados!C16</f>
        <v>45200</v>
      </c>
      <c r="D6" s="213"/>
      <c r="E6" s="211"/>
      <c r="F6" s="211"/>
    </row>
    <row r="7" spans="1:15" ht="5.0999999999999996" customHeight="1"/>
    <row r="8" spans="1:15" ht="23.25" customHeight="1">
      <c r="B8" s="644" t="s">
        <v>328</v>
      </c>
      <c r="C8" s="645"/>
      <c r="D8" s="655" t="s">
        <v>784</v>
      </c>
      <c r="E8" s="650" t="s">
        <v>775</v>
      </c>
      <c r="F8" s="651"/>
      <c r="G8" s="651"/>
      <c r="H8" s="651"/>
      <c r="I8" s="651"/>
      <c r="J8" s="651"/>
      <c r="K8" s="652"/>
    </row>
    <row r="9" spans="1:15" ht="14.25" customHeight="1">
      <c r="B9" s="646"/>
      <c r="C9" s="647"/>
      <c r="D9" s="656"/>
      <c r="E9" s="179" t="s">
        <v>329</v>
      </c>
      <c r="F9" s="179" t="s">
        <v>575</v>
      </c>
      <c r="G9" s="179" t="s">
        <v>330</v>
      </c>
      <c r="H9" s="179" t="s">
        <v>696</v>
      </c>
      <c r="I9" s="179" t="s">
        <v>692</v>
      </c>
      <c r="J9" s="179" t="s">
        <v>693</v>
      </c>
      <c r="K9" s="653" t="s">
        <v>331</v>
      </c>
    </row>
    <row r="10" spans="1:15" s="134" customFormat="1" ht="24">
      <c r="B10" s="648"/>
      <c r="C10" s="649"/>
      <c r="D10" s="657"/>
      <c r="E10" s="180" t="s">
        <v>332</v>
      </c>
      <c r="F10" s="309" t="s">
        <v>576</v>
      </c>
      <c r="G10" s="309" t="s">
        <v>651</v>
      </c>
      <c r="H10" s="180" t="s">
        <v>651</v>
      </c>
      <c r="I10" s="180" t="s">
        <v>694</v>
      </c>
      <c r="J10" s="309" t="s">
        <v>695</v>
      </c>
      <c r="K10" s="654"/>
    </row>
    <row r="11" spans="1:15" ht="25.35" customHeight="1">
      <c r="B11" s="135">
        <f>'Cronograma'!B4</f>
        <v>1</v>
      </c>
      <c r="C11" s="135" t="str">
        <f>'Cronograma'!C4</f>
        <v>Plano de Trabalho</v>
      </c>
      <c r="D11" s="389">
        <f>'Cronograma'!D4</f>
        <v>1</v>
      </c>
      <c r="E11" s="401" cm="1">
        <f t="array" aca="1" ref="E11" ca="1">SUM(IF(($B11=Produtos!$AT$8:$AT$41)*(Resumo!E$9=Produtos!$AU$8:$AU$41),(Produtos!$G$8:$G$41)))</f>
        <v>251896.57</v>
      </c>
      <c r="F11" s="401" cm="1">
        <f t="array" aca="1" ref="F11" ca="1">SUM(IF(($B11=Produtos!$AT$8:$AT$41)*(Resumo!F$9=Produtos!$AU$8:$AU$41),(Produtos!$G$8:$G$41)))</f>
        <v>0</v>
      </c>
      <c r="G11" s="401" cm="1">
        <f t="array" aca="1" ref="G11" ca="1">SUM(IF(($B11=Produtos!$AT$8:$AT$41)*(Resumo!G$9=Produtos!$AU$8:$AU$41),(Produtos!$G$8:$G$41)))</f>
        <v>0</v>
      </c>
      <c r="H11" s="401" cm="1">
        <f t="array" aca="1" ref="H11" ca="1">SUM(IF(($B11=Produtos!$AT$8:$AT$41)*(Resumo!H$9=Produtos!$AU$8:$AU$41),(Produtos!$G$8:$G$41)))</f>
        <v>0</v>
      </c>
      <c r="I11" s="401" cm="1">
        <f t="array" aca="1" ref="I11" ca="1">SUM(IF(($B11=Produtos!$AT$8:$AT$41)*(Resumo!I$9=Produtos!$AU$8:$AU$41),(Produtos!$G$8:$G$41)))</f>
        <v>0</v>
      </c>
      <c r="J11" s="401" cm="1">
        <f t="array" aca="1" ref="J11" ca="1">SUM(IF(($B11=Produtos!$AT$8:$AT$41)*(Resumo!J$9=Produtos!$AU$8:$AU$41),(Produtos!$G$8:$G$41)))</f>
        <v>0</v>
      </c>
      <c r="K11" s="305">
        <f ca="1">SUM(E11:J11)</f>
        <v>251896.57</v>
      </c>
    </row>
    <row r="12" spans="1:15" ht="25.35" customHeight="1">
      <c r="B12" s="135">
        <f>'Cronograma'!B5</f>
        <v>2</v>
      </c>
      <c r="C12" s="135" t="str">
        <f>'Cronograma'!C5</f>
        <v>EVTEA - Segmento 1 - Brasília (DF) - Luziânia (GO)</v>
      </c>
      <c r="D12" s="389">
        <f>'Cronograma'!D5</f>
        <v>6</v>
      </c>
      <c r="E12" s="401" cm="1">
        <f t="array" aca="1" ref="E12" ca="1">SUM(IF(($B12=Produtos!$AT$8:$AT$41)*(Resumo!E$9=Produtos!$AU$8:$AU$41),(Produtos!$G$8:$G$41)))</f>
        <v>0</v>
      </c>
      <c r="F12" s="401" cm="1">
        <f t="array" aca="1" ref="F12" ca="1">SUM(IF(($B12=Produtos!$AT$8:$AT$41)*(Resumo!F$9=Produtos!$AU$8:$AU$41),(Produtos!$G$8:$G$41)))</f>
        <v>49589.89</v>
      </c>
      <c r="G12" s="401" cm="1">
        <f t="array" aca="1" ref="G12" ca="1">SUM(IF(($B12=Produtos!$AT$8:$AT$41)*(Resumo!G$9=Produtos!$AU$8:$AU$41),(Produtos!$G$8:$G$41)))</f>
        <v>1598254.1099999999</v>
      </c>
      <c r="H12" s="401" cm="1">
        <f t="array" aca="1" ref="H12" ca="1">SUM(IF(($B12=Produtos!$AT$8:$AT$41)*(Resumo!H$9=Produtos!$AU$8:$AU$41),(Produtos!$G$8:$G$41)))</f>
        <v>157517.43</v>
      </c>
      <c r="I12" s="401" cm="1">
        <f t="array" aca="1" ref="I12" ca="1">SUM(IF(($B12=Produtos!$AT$8:$AT$41)*(Resumo!I$9=Produtos!$AU$8:$AU$41),(Produtos!$G$8:$G$41)))</f>
        <v>75835.320000000007</v>
      </c>
      <c r="J12" s="401" cm="1">
        <f t="array" aca="1" ref="J12" ca="1">SUM(IF(($B12=Produtos!$AT$8:$AT$41)*(Resumo!J$9=Produtos!$AU$8:$AU$41),(Produtos!$G$8:$G$41)))</f>
        <v>47073</v>
      </c>
      <c r="K12" s="305">
        <f t="shared" ref="K12:K14" ca="1" si="0">SUM(E12:J12)</f>
        <v>1928269.7499999998</v>
      </c>
    </row>
    <row r="13" spans="1:15" ht="25.35" customHeight="1">
      <c r="B13" s="135">
        <f>'Cronograma'!B6</f>
        <v>3</v>
      </c>
      <c r="C13" s="135" t="str">
        <f>'Cronograma'!C6</f>
        <v>EVTEA - Segmento 2 - Rio Grande (RS) - Pelotas (RS)</v>
      </c>
      <c r="D13" s="389">
        <f>'Cronograma'!D6</f>
        <v>6</v>
      </c>
      <c r="E13" s="401" cm="1">
        <f t="array" aca="1" ref="E13" ca="1">SUM(IF(($B13=Produtos!$AT$8:$AT$41)*(Resumo!E$9=Produtos!$AU$8:$AU$41),(Produtos!$G$8:$G$41)))</f>
        <v>0</v>
      </c>
      <c r="F13" s="401" cm="1">
        <f t="array" aca="1" ref="F13" ca="1">SUM(IF(($B13=Produtos!$AT$8:$AT$41)*(Resumo!F$9=Produtos!$AU$8:$AU$41),(Produtos!$G$8:$G$41)))</f>
        <v>49589.89</v>
      </c>
      <c r="G13" s="401" cm="1">
        <f t="array" aca="1" ref="G13" ca="1">SUM(IF(($B13=Produtos!$AT$8:$AT$41)*(Resumo!G$9=Produtos!$AU$8:$AU$41),(Produtos!$G$8:$G$41)))</f>
        <v>1598254.1099999999</v>
      </c>
      <c r="H13" s="401" cm="1">
        <f t="array" aca="1" ref="H13" ca="1">SUM(IF(($B13=Produtos!$AT$8:$AT$41)*(Resumo!H$9=Produtos!$AU$8:$AU$41),(Produtos!$G$8:$G$41)))</f>
        <v>159180.87</v>
      </c>
      <c r="I13" s="401" cm="1">
        <f t="array" aca="1" ref="I13" ca="1">SUM(IF(($B13=Produtos!$AT$8:$AT$41)*(Resumo!I$9=Produtos!$AU$8:$AU$41),(Produtos!$G$8:$G$41)))</f>
        <v>75835.320000000007</v>
      </c>
      <c r="J13" s="401" cm="1">
        <f t="array" aca="1" ref="J13" ca="1">SUM(IF(($B13=Produtos!$AT$8:$AT$41)*(Resumo!J$9=Produtos!$AU$8:$AU$41),(Produtos!$G$8:$G$41)))</f>
        <v>47073</v>
      </c>
      <c r="K13" s="305">
        <f t="shared" ca="1" si="0"/>
        <v>1929933.1899999997</v>
      </c>
    </row>
    <row r="14" spans="1:15" ht="25.35" customHeight="1">
      <c r="B14" s="135">
        <f>'Cronograma'!B7</f>
        <v>4</v>
      </c>
      <c r="C14" s="135" t="str">
        <f>'Cronograma'!C7</f>
        <v>EVTEA - Segmento 3 - Londrina (PR) - Maringá (PR)</v>
      </c>
      <c r="D14" s="389">
        <f>'Cronograma'!D7</f>
        <v>7</v>
      </c>
      <c r="E14" s="401" cm="1">
        <f t="array" aca="1" ref="E14" ca="1">SUM(IF(($B14=Produtos!$AT$8:$AT$41)*(Resumo!E$9=Produtos!$AU$8:$AU$41),(Produtos!$G$8:$G$41)))</f>
        <v>0</v>
      </c>
      <c r="F14" s="401" cm="1">
        <f t="array" aca="1" ref="F14" ca="1">SUM(IF(($B14=Produtos!$AT$8:$AT$41)*(Resumo!F$9=Produtos!$AU$8:$AU$41),(Produtos!$G$8:$G$41)))</f>
        <v>71793.789999999994</v>
      </c>
      <c r="G14" s="401" cm="1">
        <f t="array" aca="1" ref="G14" ca="1">SUM(IF(($B14=Produtos!$AT$8:$AT$41)*(Resumo!G$9=Produtos!$AU$8:$AU$41),(Produtos!$G$8:$G$41)))</f>
        <v>1817740.9500000002</v>
      </c>
      <c r="H14" s="401" cm="1">
        <f t="array" aca="1" ref="H14" ca="1">SUM(IF(($B14=Produtos!$AT$8:$AT$41)*(Resumo!H$9=Produtos!$AU$8:$AU$41),(Produtos!$G$8:$G$41)))</f>
        <v>158740.56</v>
      </c>
      <c r="I14" s="401" cm="1">
        <f t="array" aca="1" ref="I14" ca="1">SUM(IF(($B14=Produtos!$AT$8:$AT$41)*(Resumo!I$9=Produtos!$AU$8:$AU$41),(Produtos!$G$8:$G$41)))</f>
        <v>75835.320000000007</v>
      </c>
      <c r="J14" s="401" cm="1">
        <f t="array" aca="1" ref="J14" ca="1">SUM(IF(($B14=Produtos!$AT$8:$AT$41)*(Resumo!J$9=Produtos!$AU$8:$AU$41),(Produtos!$G$8:$G$41)))</f>
        <v>47073</v>
      </c>
      <c r="K14" s="305">
        <f t="shared" ca="1" si="0"/>
        <v>2171183.62</v>
      </c>
    </row>
    <row r="15" spans="1:15" ht="26.25" customHeight="1">
      <c r="B15" s="641" t="s">
        <v>331</v>
      </c>
      <c r="C15" s="642"/>
      <c r="D15" s="642"/>
      <c r="E15" s="405">
        <f t="shared" ref="E15:J15" ca="1" si="1">SUM(E11:E14)</f>
        <v>251896.57</v>
      </c>
      <c r="F15" s="405">
        <f t="shared" ca="1" si="1"/>
        <v>170973.57</v>
      </c>
      <c r="G15" s="405">
        <f t="shared" ca="1" si="1"/>
        <v>5014249.17</v>
      </c>
      <c r="H15" s="405">
        <f t="shared" ca="1" si="1"/>
        <v>475438.86</v>
      </c>
      <c r="I15" s="405">
        <f t="shared" ca="1" si="1"/>
        <v>227505.96000000002</v>
      </c>
      <c r="J15" s="405">
        <f t="shared" ca="1" si="1"/>
        <v>141219</v>
      </c>
      <c r="K15" s="406">
        <f ca="1">SUM(K11:K14)+0.04</f>
        <v>6281283.1699999999</v>
      </c>
      <c r="N15" s="138"/>
    </row>
    <row r="16" spans="1:15">
      <c r="B16" s="137"/>
      <c r="E16" s="136"/>
      <c r="F16" s="136"/>
      <c r="G16" s="136"/>
      <c r="H16" s="136"/>
      <c r="I16" s="136"/>
      <c r="J16" s="136"/>
      <c r="N16" s="138"/>
      <c r="O16" s="347"/>
    </row>
    <row r="18" spans="11:11">
      <c r="K18" s="348"/>
    </row>
  </sheetData>
  <mergeCells count="6">
    <mergeCell ref="B15:D15"/>
    <mergeCell ref="B4:K4"/>
    <mergeCell ref="B8:C10"/>
    <mergeCell ref="E8:K8"/>
    <mergeCell ref="K9:K10"/>
    <mergeCell ref="D8:D10"/>
  </mergeCells>
  <pageMargins left="0.51181102362204722" right="0.51181102362204722" top="0.78740157480314965" bottom="0.78740157480314965" header="0.31496062992125984" footer="0.31496062992125984"/>
  <pageSetup paperSize="9" scale="6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16324-D471-4E5F-BCE7-3FF4318954A0}">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'Cronograma'!$D$32</f>
        <v>1</v>
      </c>
    </row>
    <row r="8" spans="1:11">
      <c r="B8" s="719" t="str">
        <f>CONCATENATE("", "",'Alocação MO'!C13)</f>
        <v>Apoio a subsídios a questionamentos do processo licitatório</v>
      </c>
      <c r="C8" s="720"/>
      <c r="D8" s="720"/>
      <c r="E8" s="720"/>
      <c r="F8" s="720"/>
      <c r="G8" s="720"/>
      <c r="H8" s="720"/>
      <c r="I8" s="18"/>
      <c r="J8" s="18" t="s">
        <v>105</v>
      </c>
      <c r="K8" s="19" t="s">
        <v>106</v>
      </c>
    </row>
    <row r="9" spans="1:11">
      <c r="B9" s="719"/>
      <c r="C9" s="720"/>
      <c r="D9" s="720"/>
      <c r="E9" s="720"/>
      <c r="F9" s="721"/>
      <c r="G9" s="721"/>
      <c r="H9" s="721"/>
      <c r="I9" s="20"/>
      <c r="J9" s="20" t="s">
        <v>107</v>
      </c>
      <c r="K9" s="21" t="s">
        <v>760</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2.25" customHeight="1">
      <c r="B12" s="33" t="str">
        <f>Equip.Info!A4</f>
        <v>EQSF002</v>
      </c>
      <c r="C12" s="730" t="str">
        <f>VLOOKUP(B12,Equip.Info!A:I,2,FALSE)</f>
        <v>Laptop completo, processador Intel Core i5, 16GB memória, Resolução 3.840x2.160 (4K), PV GPU de 4GB e Sistema Operacional.</v>
      </c>
      <c r="D12" s="730"/>
      <c r="E12" s="731"/>
      <c r="F12" s="107">
        <f>SUM(I18:I25)</f>
        <v>218.988</v>
      </c>
      <c r="G12" s="107">
        <v>1</v>
      </c>
      <c r="H12" s="107">
        <v>0</v>
      </c>
      <c r="I12" s="107">
        <f>IF(B12="","",VLOOKUP($B12,Equip.Info!$A:$I,8,FALSE))</f>
        <v>0.217</v>
      </c>
      <c r="J12" s="107">
        <f>IF(B12="","",VLOOKUP($B12,Equip.Info!$A:$I,9,FALSE))</f>
        <v>0.14369999999999999</v>
      </c>
      <c r="K12" s="118">
        <f>ROUND(F12*(G12*I12+H12*J12),4)</f>
        <v>47.520400000000002</v>
      </c>
    </row>
    <row r="13" spans="1:11" ht="29.25" customHeight="1">
      <c r="B13" s="33"/>
      <c r="C13" s="735"/>
      <c r="D13" s="735"/>
      <c r="E13" s="736"/>
      <c r="F13" s="108"/>
      <c r="G13" s="108"/>
      <c r="H13" s="108"/>
      <c r="I13" s="108" t="str">
        <f>IF(B13="","",VLOOKUP($B13,Equip.Info!$A:$I,8,FALSE))</f>
        <v/>
      </c>
      <c r="J13" s="108" t="str">
        <f>IF(B13="","",VLOOKUP($B13,Equip.Info!$A:$I,9,FALSE))</f>
        <v/>
      </c>
      <c r="K13" s="119"/>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47.520400000000002</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0.1</v>
      </c>
      <c r="G18" s="55">
        <f>INDEX(MO[],MATCH($B$8,MO[Descrição dos Produtos],0),MATCH(C18,MO[#Headers],0))</f>
        <v>1</v>
      </c>
      <c r="H18" s="52">
        <f>F18*G18*$K$7</f>
        <v>0.1</v>
      </c>
      <c r="I18" s="56">
        <f t="shared" ref="I18:I23" si="0">H18*182.49</f>
        <v>18.249000000000002</v>
      </c>
      <c r="J18" s="53">
        <f>IF(ISBLANK(B18),0,VLOOKUP(B18,'TC 10-2023'!B:Z,25,TRUE)/182.49)</f>
        <v>172.51148008110033</v>
      </c>
      <c r="K18" s="35">
        <f>ROUND(J18*I18,4)</f>
        <v>3148.1619999999998</v>
      </c>
    </row>
    <row r="19" spans="2:15" ht="15" customHeight="1">
      <c r="B19" s="37" t="str">
        <f>IF(ISBLANK(C19),0,VLOOKUP(C19,Categorias!$A$4:$B$83,2,FALSE))</f>
        <v>P8061</v>
      </c>
      <c r="C19" s="732" t="s">
        <v>35</v>
      </c>
      <c r="D19" s="732"/>
      <c r="E19" s="732"/>
      <c r="F19" s="54">
        <v>0.1</v>
      </c>
      <c r="G19" s="55">
        <f>INDEX(MO[],MATCH($B$8,MO[Descrição dos Produtos],0),MATCH(C19,MO[#Headers],0))</f>
        <v>1</v>
      </c>
      <c r="H19" s="52">
        <f t="shared" ref="H19:H23" si="1">F19*G19*$K$7</f>
        <v>0.1</v>
      </c>
      <c r="I19" s="56">
        <f t="shared" si="0"/>
        <v>18.249000000000002</v>
      </c>
      <c r="J19" s="53">
        <f>IF(ISBLANK(B19),0,VLOOKUP(B19,'TC 10-2023'!B:Z,25,TRUE)/182.49)</f>
        <v>174.03671434051179</v>
      </c>
      <c r="K19" s="35">
        <f t="shared" ref="K19:K23" si="2">ROUND(J19*I19,4)</f>
        <v>3175.9960000000001</v>
      </c>
    </row>
    <row r="20" spans="2:15" ht="15" customHeight="1">
      <c r="B20" s="37" t="str">
        <f>IF(ISBLANK(C20),0,VLOOKUP(C20,Categorias!$A$4:$B$83,2,FALSE))</f>
        <v>P8003</v>
      </c>
      <c r="C20" s="732" t="s">
        <v>3</v>
      </c>
      <c r="D20" s="732"/>
      <c r="E20" s="732"/>
      <c r="F20" s="54">
        <v>0.25</v>
      </c>
      <c r="G20" s="55">
        <f>INDEX(MO[],MATCH($B$8,MO[Descrição dos Produtos],0),MATCH(C20,MO[#Headers],0))</f>
        <v>1</v>
      </c>
      <c r="H20" s="52">
        <f t="shared" si="1"/>
        <v>0.25</v>
      </c>
      <c r="I20" s="56">
        <f t="shared" si="0"/>
        <v>45.622500000000002</v>
      </c>
      <c r="J20" s="53">
        <f>IF(ISBLANK(B20),0,VLOOKUP(B20,'TC 10-2023'!B:Z,25,TRUE)/182.49)</f>
        <v>105.29289276124719</v>
      </c>
      <c r="K20" s="35">
        <f t="shared" si="2"/>
        <v>4803.7250000000004</v>
      </c>
    </row>
    <row r="21" spans="2:15" ht="15" customHeight="1">
      <c r="B21" s="37" t="str">
        <f>IF(ISBLANK(C21),0,VLOOKUP(C21,Categorias!$A$4:$B$83,2,FALSE))</f>
        <v>P8047</v>
      </c>
      <c r="C21" s="105" t="s">
        <v>27</v>
      </c>
      <c r="D21" s="105"/>
      <c r="E21" s="105"/>
      <c r="F21" s="54">
        <v>0.25</v>
      </c>
      <c r="G21" s="55">
        <f>INDEX(MO[],MATCH($B$8,MO[Descrição dos Produtos],0),MATCH(C21,MO[#Headers],0))</f>
        <v>1</v>
      </c>
      <c r="H21" s="52">
        <f t="shared" si="1"/>
        <v>0.25</v>
      </c>
      <c r="I21" s="56">
        <f t="shared" si="0"/>
        <v>45.622500000000002</v>
      </c>
      <c r="J21" s="53">
        <f>IF(ISBLANK(B21),0,VLOOKUP(B21,'TC 10-2023'!B:Z,25,TRUE)/182.49)</f>
        <v>108.82941531042796</v>
      </c>
      <c r="K21" s="35">
        <f t="shared" si="2"/>
        <v>4965.07</v>
      </c>
    </row>
    <row r="22" spans="2:15">
      <c r="B22" s="37" t="str">
        <f>IF(ISBLANK(C22),0,VLOOKUP(C22,Categorias!$A$4:$B$83,2,FALSE))</f>
        <v>P8060</v>
      </c>
      <c r="C22" s="105" t="s">
        <v>34</v>
      </c>
      <c r="D22" s="105"/>
      <c r="E22" s="105"/>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5" t="s">
        <v>41</v>
      </c>
      <c r="D23" s="105"/>
      <c r="E23" s="105"/>
      <c r="F23" s="54">
        <v>0.25</v>
      </c>
      <c r="G23" s="55">
        <f>INDEX(MO[],MATCH($B$8,MO[Descrição dos Produtos],0),MATCH(C23,MO[#Headers],0))</f>
        <v>1</v>
      </c>
      <c r="H23" s="52">
        <f t="shared" si="1"/>
        <v>0.25</v>
      </c>
      <c r="I23" s="56">
        <f t="shared" si="0"/>
        <v>45.622500000000002</v>
      </c>
      <c r="J23" s="53">
        <f>IF(ISBLANK(B23),0,VLOOKUP(B23,'TC 10-2023'!B:Z,25,TRUE)/182.49)</f>
        <v>151.26779549564358</v>
      </c>
      <c r="K23" s="35">
        <f t="shared" si="2"/>
        <v>6901.2150000000001</v>
      </c>
    </row>
    <row r="24" spans="2:15">
      <c r="B24" s="37"/>
      <c r="C24" s="732"/>
      <c r="D24" s="732"/>
      <c r="E24" s="73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32470.838</v>
      </c>
    </row>
    <row r="27" spans="2:15">
      <c r="B27" s="44" t="s">
        <v>125</v>
      </c>
      <c r="C27" s="45"/>
      <c r="D27" s="45"/>
      <c r="E27" s="345">
        <v>1</v>
      </c>
      <c r="F27" s="44" t="s">
        <v>126</v>
      </c>
      <c r="G27" s="45"/>
      <c r="H27" s="45"/>
      <c r="I27" s="45"/>
      <c r="J27" s="63"/>
      <c r="K27" s="48">
        <f>K26+K16</f>
        <v>32518.358400000001</v>
      </c>
    </row>
    <row r="28" spans="2:15">
      <c r="B28" s="44" t="s">
        <v>127</v>
      </c>
      <c r="C28" s="45"/>
      <c r="D28" s="45"/>
      <c r="E28" s="345"/>
      <c r="F28" s="44"/>
      <c r="G28" s="45"/>
      <c r="H28" s="45"/>
      <c r="I28" s="45"/>
      <c r="J28" s="63"/>
      <c r="K28" s="48">
        <f>K27/E27</f>
        <v>32518.358400000001</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ht="15" customHeight="1">
      <c r="B31" s="37" t="str">
        <f>Mat.Info!$A$2</f>
        <v>MTSF001</v>
      </c>
      <c r="C31" s="4" t="str">
        <f>VLOOKUP(B31,Mat.Info!A1:H3,2,FALSE)</f>
        <v>Pacote Microsoft 365 Business Basic</v>
      </c>
      <c r="G31" s="543">
        <f>IF(B31="","",VLOOKUP(B31,Mat.Info!A2:H4,6,0))</f>
        <v>1</v>
      </c>
      <c r="H31" s="106" t="s">
        <v>299</v>
      </c>
      <c r="I31" s="106">
        <f>SUM(F12:F15)*G31</f>
        <v>218.988</v>
      </c>
      <c r="J31" s="106">
        <f>IF(B31="","",VLOOKUP(B31,Mat.Info!$A:$H,8,FALSE))</f>
        <v>0.16250000000000001</v>
      </c>
      <c r="K31" s="34">
        <f>ROUND(IF(B31="","",I31*J31),4)</f>
        <v>35.585599999999999</v>
      </c>
    </row>
    <row r="32" spans="2:15">
      <c r="B32" s="37"/>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35.585599999999999</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32553.944</v>
      </c>
    </row>
    <row r="50" spans="2:11">
      <c r="B50" s="44" t="s">
        <v>144</v>
      </c>
      <c r="C50" s="74"/>
      <c r="D50" s="74"/>
      <c r="E50" s="74"/>
      <c r="F50" s="74"/>
      <c r="G50" s="74"/>
      <c r="H50" s="74"/>
      <c r="I50" s="74"/>
      <c r="J50" s="76">
        <f ca="1">Dados!C17</f>
        <v>0.44600000000000001</v>
      </c>
      <c r="K50" s="75">
        <f ca="1">K49*J50</f>
        <v>14519.059024</v>
      </c>
    </row>
    <row r="51" spans="2:11">
      <c r="B51" s="64" t="s">
        <v>145</v>
      </c>
      <c r="C51" s="45"/>
      <c r="D51" s="45"/>
      <c r="E51" s="45"/>
      <c r="F51" s="45"/>
      <c r="G51" s="45"/>
      <c r="H51" s="45"/>
      <c r="I51" s="45"/>
      <c r="J51" s="45"/>
      <c r="K51" s="48">
        <f ca="1">ROUND(K50+K49,2)</f>
        <v>47073</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E9CDE-22D8-4C8A-9EBE-3334C64B7A09}">
  <sheetPr>
    <tabColor rgb="FF009999"/>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'Cronograma'!$D$33</f>
        <v>1</v>
      </c>
    </row>
    <row r="8" spans="1:11">
      <c r="B8" s="719" t="str">
        <f>CONCATENATE("",'Alocação MO'!C14)</f>
        <v>Apoio Documental Jurídico-Regulatório (ADJR)</v>
      </c>
      <c r="C8" s="720"/>
      <c r="D8" s="720"/>
      <c r="E8" s="720"/>
      <c r="F8" s="720"/>
      <c r="G8" s="720"/>
      <c r="H8" s="720"/>
      <c r="I8" s="18"/>
      <c r="J8" s="18" t="s">
        <v>105</v>
      </c>
      <c r="K8" s="19" t="s">
        <v>106</v>
      </c>
    </row>
    <row r="9" spans="1:11">
      <c r="B9" s="719"/>
      <c r="C9" s="720"/>
      <c r="D9" s="720"/>
      <c r="E9" s="720"/>
      <c r="F9" s="721"/>
      <c r="G9" s="721"/>
      <c r="H9" s="721"/>
      <c r="I9" s="20"/>
      <c r="J9" s="20" t="s">
        <v>107</v>
      </c>
      <c r="K9" s="21" t="s">
        <v>761</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33" t="str">
        <f>Equip.Info!A4</f>
        <v>EQSF002</v>
      </c>
      <c r="C12" s="730" t="str">
        <f>VLOOKUP(B12,Equip.Info!A:I,2,FALSE)</f>
        <v>Laptop completo, processador Intel Core i5, 16GB memória, Resolução 3.840x2.160 (4K), PV GPU de 4GB e Sistema Operacional.</v>
      </c>
      <c r="D12" s="730"/>
      <c r="E12" s="731"/>
      <c r="F12" s="107">
        <f>SUM(I18:I25)</f>
        <v>200.739</v>
      </c>
      <c r="G12" s="107">
        <v>1</v>
      </c>
      <c r="H12" s="107">
        <v>0</v>
      </c>
      <c r="I12" s="107">
        <f>IF(B12="","",VLOOKUP($B12,Equip.Info!$A:$I,8,FALSE))</f>
        <v>0.217</v>
      </c>
      <c r="J12" s="107">
        <f>IF(B12="","",VLOOKUP($B12,Equip.Info!$A:$I,9,FALSE))</f>
        <v>0.14369999999999999</v>
      </c>
      <c r="K12" s="118">
        <f>ROUND(F12*(G12*I12+H12*J12),4)</f>
        <v>43.560400000000001</v>
      </c>
    </row>
    <row r="13" spans="1:11" ht="39.75" customHeight="1">
      <c r="B13" s="33"/>
      <c r="C13" s="730"/>
      <c r="D13" s="730"/>
      <c r="E13" s="731"/>
      <c r="F13" s="108"/>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P8002</v>
      </c>
      <c r="C18" s="105" t="s">
        <v>2</v>
      </c>
      <c r="D18" s="105"/>
      <c r="E18" s="105"/>
      <c r="F18" s="54">
        <v>1</v>
      </c>
      <c r="G18" s="55">
        <f>INDEX(MO[],MATCH($B$8,MO[Descrição dos Produtos],0),MATCH(C18,MO[#Headers],0))</f>
        <v>1</v>
      </c>
      <c r="H18" s="52">
        <f>F18*G18*$K$7</f>
        <v>1</v>
      </c>
      <c r="I18" s="56">
        <f t="shared" ref="I18:I19" si="0">H18*182.49</f>
        <v>182.49</v>
      </c>
      <c r="J18" s="53">
        <f>IF(ISBLANK(B18),0,VLOOKUP(B18,'TC 10-2023'!B:Z,25,TRUE)/182.49)</f>
        <v>61.793906515425505</v>
      </c>
      <c r="K18" s="35">
        <f>ROUND(J18*I18,4)</f>
        <v>11276.77</v>
      </c>
    </row>
    <row r="19" spans="2:15" ht="15" customHeight="1">
      <c r="B19" s="37" t="str">
        <f>IF(ISBLANK(C19),0,VLOOKUP(C19,Categorias!$A$4:$B$83,2,FALSE))</f>
        <v>P8061</v>
      </c>
      <c r="C19" s="105" t="s">
        <v>35</v>
      </c>
      <c r="D19" s="105"/>
      <c r="E19" s="105"/>
      <c r="F19" s="54">
        <v>0.1</v>
      </c>
      <c r="G19" s="55">
        <f>INDEX(MO[],MATCH($B$8,MO[Descrição dos Produtos],0),MATCH(C19,MO[#Headers],0))</f>
        <v>1</v>
      </c>
      <c r="H19" s="52">
        <f t="shared" ref="H19" si="1">F19*G19*$K$7</f>
        <v>0.1</v>
      </c>
      <c r="I19" s="56">
        <f t="shared" si="0"/>
        <v>18.249000000000002</v>
      </c>
      <c r="J19" s="53">
        <f>IF(ISBLANK(B19),0,VLOOKUP(B19,'TC 10-2023'!B:Z,25,TRUE)/182.49)</f>
        <v>174.03671434051179</v>
      </c>
      <c r="K19" s="35">
        <f t="shared" ref="K19" si="2">ROUND(J19*I19,4)</f>
        <v>3175.9960000000001</v>
      </c>
    </row>
    <row r="20" spans="2:15" ht="15" customHeight="1">
      <c r="B20" s="37"/>
      <c r="C20" s="105"/>
      <c r="D20" s="105"/>
      <c r="E20" s="105"/>
      <c r="F20" s="54"/>
      <c r="G20" s="55"/>
      <c r="H20" s="52"/>
      <c r="I20" s="56"/>
      <c r="J20" s="53"/>
      <c r="K20" s="35"/>
    </row>
    <row r="21" spans="2:15" ht="15" customHeight="1">
      <c r="B21" s="37"/>
      <c r="F21" s="58"/>
      <c r="H21" s="97"/>
      <c r="I21" s="59"/>
      <c r="J21" s="53"/>
      <c r="K21" s="35"/>
    </row>
    <row r="22" spans="2:15" ht="15" customHeight="1">
      <c r="B22" s="37"/>
      <c r="F22" s="58"/>
      <c r="H22" s="97"/>
      <c r="I22" s="59"/>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14452.766</v>
      </c>
    </row>
    <row r="27" spans="2:15">
      <c r="B27" s="44" t="s">
        <v>125</v>
      </c>
      <c r="C27" s="45"/>
      <c r="D27" s="45"/>
      <c r="E27" s="345">
        <v>1</v>
      </c>
      <c r="F27" s="44" t="s">
        <v>126</v>
      </c>
      <c r="G27" s="45"/>
      <c r="H27" s="45"/>
      <c r="I27" s="45"/>
      <c r="J27" s="63"/>
      <c r="K27" s="48">
        <f>K26+K16</f>
        <v>14496.3264</v>
      </c>
    </row>
    <row r="28" spans="2:15">
      <c r="B28" s="44" t="s">
        <v>127</v>
      </c>
      <c r="C28" s="45"/>
      <c r="D28" s="45"/>
      <c r="E28" s="345"/>
      <c r="F28" s="44"/>
      <c r="G28" s="45"/>
      <c r="H28" s="45"/>
      <c r="I28" s="45"/>
      <c r="J28" s="63"/>
      <c r="K28" s="48">
        <f>K27/E27</f>
        <v>14496.3264</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tr">
        <f>Mat.Info!$A$2</f>
        <v>MTSF001</v>
      </c>
      <c r="C31" s="4" t="str">
        <f>VLOOKUP(B31,Mat.Info!A1:H3,2,FALSE)</f>
        <v>Pacote Microsoft 365 Business Basic</v>
      </c>
      <c r="G31" s="543">
        <f>IF(B31="","",VLOOKUP(B31,Mat.Info!A2:H4,6,0))</f>
        <v>1</v>
      </c>
      <c r="H31" s="106" t="s">
        <v>299</v>
      </c>
      <c r="I31" s="106">
        <f>SUM(F12:F15)*G31</f>
        <v>200.739</v>
      </c>
      <c r="J31" s="106">
        <f>IF(B31="","",VLOOKUP(B31,Mat.Info!$A:$H,8,FALSE))</f>
        <v>0.16250000000000001</v>
      </c>
      <c r="K31" s="34">
        <f>ROUND(IF(B31="","",I31*J31),4)</f>
        <v>32.620100000000001</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14528.9465</v>
      </c>
    </row>
    <row r="50" spans="2:11">
      <c r="B50" s="44" t="s">
        <v>144</v>
      </c>
      <c r="C50" s="74"/>
      <c r="D50" s="74"/>
      <c r="E50" s="74"/>
      <c r="F50" s="74"/>
      <c r="G50" s="74"/>
      <c r="H50" s="74"/>
      <c r="I50" s="74"/>
      <c r="J50" s="76">
        <f ca="1">Dados!$C$17</f>
        <v>0.44600000000000001</v>
      </c>
      <c r="K50" s="75">
        <f ca="1">K49*J50</f>
        <v>6479.9101390000005</v>
      </c>
    </row>
    <row r="51" spans="2:11">
      <c r="B51" s="64" t="s">
        <v>145</v>
      </c>
      <c r="C51" s="45"/>
      <c r="D51" s="45"/>
      <c r="E51" s="45"/>
      <c r="F51" s="45"/>
      <c r="G51" s="45"/>
      <c r="H51" s="45"/>
      <c r="I51" s="45"/>
      <c r="J51" s="45"/>
      <c r="K51" s="48">
        <f ca="1">ROUND(K50+K49,2)</f>
        <v>21008.86</v>
      </c>
    </row>
    <row r="52" spans="2:11" ht="7.5" customHeight="1"/>
    <row r="53" spans="2:11" ht="4.5" customHeight="1"/>
  </sheetData>
  <mergeCells count="10">
    <mergeCell ref="E44:G44"/>
    <mergeCell ref="H44:J44"/>
    <mergeCell ref="C13:E13"/>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6EDF464-C434-4AF2-BB6C-B4BE462D09DB}">
          <x14:formula1>
            <xm:f>Categorias!$A$4:$A$101</xm:f>
          </x14:formula1>
          <xm:sqref>C18:E20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E7587-DF55-46C2-9B8F-146F777EE0AB}">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'Cronograma'!$D$37</f>
        <v>2</v>
      </c>
    </row>
    <row r="8" spans="1:11">
      <c r="B8" s="719" t="str">
        <f>CONCATENATE("",'Alocação MO'!C5)</f>
        <v>Dimensão de Mercado e Demanda (EMD) - Pesquisa de Campo</v>
      </c>
      <c r="C8" s="720"/>
      <c r="D8" s="720"/>
      <c r="E8" s="720"/>
      <c r="F8" s="720"/>
      <c r="G8" s="720"/>
      <c r="H8" s="720"/>
      <c r="I8" s="18"/>
      <c r="J8" s="18" t="s">
        <v>105</v>
      </c>
      <c r="K8" s="19" t="s">
        <v>106</v>
      </c>
    </row>
    <row r="9" spans="1:11">
      <c r="B9" s="719"/>
      <c r="C9" s="720"/>
      <c r="D9" s="720"/>
      <c r="E9" s="720"/>
      <c r="F9" s="721"/>
      <c r="G9" s="721"/>
      <c r="H9" s="721"/>
      <c r="I9" s="20"/>
      <c r="J9" s="20" t="s">
        <v>107</v>
      </c>
      <c r="K9" s="21" t="s">
        <v>729</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Equip.Info!A4</f>
        <v>EQSF002</v>
      </c>
      <c r="C12" s="715" t="str">
        <f>VLOOKUP(B12,Equip.Info!A:I,2,FALSE)</f>
        <v>Laptop completo, processador Intel Core i5, 16GB memória, Resolução 3.840x2.160 (4K), PV GPU de 4GB e Sistema Operacional.</v>
      </c>
      <c r="D12" s="715"/>
      <c r="E12" s="716"/>
      <c r="F12" s="403">
        <f>SUM(I18:I25)</f>
        <v>10949.4</v>
      </c>
      <c r="G12" s="107">
        <v>1</v>
      </c>
      <c r="H12" s="107">
        <v>0</v>
      </c>
      <c r="I12" s="107">
        <f>IF(B12="","",VLOOKUP($B12,Equip.Info!$A:$I,8,FALSE))</f>
        <v>0.217</v>
      </c>
      <c r="J12" s="107">
        <f>IF(B12="","",VLOOKUP($B12,Equip.Info!$A:$I,9,FALSE))</f>
        <v>0.14369999999999999</v>
      </c>
      <c r="K12" s="118">
        <f>ROUND(F12*(G12*I12+H12*J12),4)</f>
        <v>2376.0198</v>
      </c>
    </row>
    <row r="13" spans="1:11" ht="39.75" customHeight="1">
      <c r="B13" s="33"/>
      <c r="C13" s="730"/>
      <c r="D13" s="730"/>
      <c r="E13" s="731"/>
      <c r="F13" s="484"/>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2376.0198</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P8025</v>
      </c>
      <c r="C18" s="105" t="s">
        <v>13</v>
      </c>
      <c r="D18" s="105"/>
      <c r="E18" s="105"/>
      <c r="F18" s="54">
        <v>1</v>
      </c>
      <c r="G18" s="55">
        <f>INDEX(MO[],MATCH($B$8,MO[Descrição dos Produtos],0),MATCH(C18,MO[#Headers],0))</f>
        <v>25</v>
      </c>
      <c r="H18" s="52">
        <f t="shared" ref="H18:H20" si="0">F18*G18*$K$7</f>
        <v>50</v>
      </c>
      <c r="I18" s="455">
        <f t="shared" ref="I18:I20" si="1">H18*182.49</f>
        <v>9124.5</v>
      </c>
      <c r="J18" s="53">
        <f>IF(ISBLANK(B18),0,VLOOKUP(B18,'TC 10-2023'!B:Z,25,TRUE)/182.49)</f>
        <v>20.922187517124225</v>
      </c>
      <c r="K18" s="35">
        <f t="shared" ref="K18:K20" si="2">ROUND(J18*I18,4)</f>
        <v>190904.5</v>
      </c>
    </row>
    <row r="19" spans="2:15" ht="15" customHeight="1">
      <c r="B19" s="37" t="str">
        <f>IF(ISBLANK(C19),0,VLOOKUP(C19,Categorias!$A$4:$B$83,2,FALSE))</f>
        <v>P8155</v>
      </c>
      <c r="C19" s="105" t="s">
        <v>69</v>
      </c>
      <c r="D19" s="105"/>
      <c r="E19" s="105"/>
      <c r="F19" s="54">
        <v>1</v>
      </c>
      <c r="G19" s="55">
        <f>INDEX(MO[],MATCH($B$8,MO[Descrição dos Produtos],0),MATCH(C19,MO[#Headers],0))</f>
        <v>4</v>
      </c>
      <c r="H19" s="52">
        <f t="shared" si="0"/>
        <v>8</v>
      </c>
      <c r="I19" s="455">
        <f t="shared" si="1"/>
        <v>1459.92</v>
      </c>
      <c r="J19" s="53">
        <f>IF(ISBLANK(B19),0,VLOOKUP(B19,'TC 10-2023'!B:Z,25,TRUE)/182.49)</f>
        <v>31.497561510219736</v>
      </c>
      <c r="K19" s="35">
        <f t="shared" si="2"/>
        <v>45983.92</v>
      </c>
    </row>
    <row r="20" spans="2:15" ht="15" customHeight="1">
      <c r="B20" s="37" t="s">
        <v>200</v>
      </c>
      <c r="C20" s="105" t="s">
        <v>35</v>
      </c>
      <c r="D20" s="105"/>
      <c r="E20" s="105"/>
      <c r="F20" s="54">
        <v>1</v>
      </c>
      <c r="G20" s="55">
        <f>INDEX(MO[],MATCH($B$8,MO[Descrição dos Produtos],0),MATCH(C20,MO[#Headers],0))</f>
        <v>1</v>
      </c>
      <c r="H20" s="52">
        <f t="shared" si="0"/>
        <v>2</v>
      </c>
      <c r="I20" s="56">
        <f t="shared" si="1"/>
        <v>364.98</v>
      </c>
      <c r="J20" s="53">
        <f>IF(ISBLANK(B20),0,VLOOKUP(B20,'TC 10-2023'!B:Z,25,TRUE)/182.49)</f>
        <v>174.03671434051179</v>
      </c>
      <c r="K20" s="35">
        <f t="shared" si="2"/>
        <v>63519.92</v>
      </c>
    </row>
    <row r="21" spans="2:15" ht="15" customHeight="1">
      <c r="B21" s="37"/>
      <c r="C21" s="732"/>
      <c r="D21" s="732"/>
      <c r="E21" s="732"/>
      <c r="F21" s="54"/>
      <c r="G21" s="55"/>
      <c r="H21" s="52"/>
      <c r="I21" s="56"/>
      <c r="J21" s="53"/>
      <c r="K21" s="35"/>
    </row>
    <row r="22" spans="2:15" ht="15" customHeight="1">
      <c r="B22" s="37"/>
      <c r="C22" s="732"/>
      <c r="D22" s="732"/>
      <c r="E22" s="732"/>
      <c r="F22" s="54"/>
      <c r="G22" s="55"/>
      <c r="H22" s="52"/>
      <c r="I22" s="56"/>
      <c r="J22" s="53"/>
      <c r="K22" s="35"/>
    </row>
    <row r="23" spans="2:15" ht="15" customHeight="1">
      <c r="B23" s="37"/>
      <c r="C23" s="732"/>
      <c r="D23" s="732"/>
      <c r="E23" s="732"/>
      <c r="F23" s="54"/>
      <c r="G23" s="55"/>
      <c r="H23" s="52"/>
      <c r="I23" s="56"/>
      <c r="J23" s="53"/>
      <c r="K23" s="35"/>
    </row>
    <row r="24" spans="2:15" ht="15" customHeight="1">
      <c r="B24" s="37"/>
      <c r="C24" s="732"/>
      <c r="D24" s="732"/>
      <c r="E24" s="732"/>
      <c r="F24" s="54"/>
      <c r="G24" s="55"/>
      <c r="H24" s="52"/>
      <c r="I24" s="56"/>
      <c r="J24" s="53"/>
      <c r="K24" s="35"/>
    </row>
    <row r="25" spans="2:15" ht="15" customHeight="1">
      <c r="B25" s="37"/>
      <c r="C25" s="732"/>
      <c r="D25" s="732"/>
      <c r="E25" s="732"/>
      <c r="F25" s="54"/>
      <c r="G25" s="55"/>
      <c r="H25" s="52"/>
      <c r="I25" s="56"/>
      <c r="J25" s="53"/>
      <c r="K25" s="35"/>
    </row>
    <row r="26" spans="2:15">
      <c r="B26" s="44" t="s">
        <v>124</v>
      </c>
      <c r="C26" s="45"/>
      <c r="D26" s="45"/>
      <c r="E26" s="45"/>
      <c r="F26" s="46"/>
      <c r="G26" s="46"/>
      <c r="H26" s="46"/>
      <c r="I26" s="46"/>
      <c r="J26" s="47"/>
      <c r="K26" s="48">
        <f>SUM(K18:K25)</f>
        <v>300408.33999999997</v>
      </c>
    </row>
    <row r="27" spans="2:15">
      <c r="B27" s="44" t="s">
        <v>125</v>
      </c>
      <c r="C27" s="45"/>
      <c r="D27" s="45"/>
      <c r="E27" s="345">
        <v>1</v>
      </c>
      <c r="F27" s="44" t="s">
        <v>126</v>
      </c>
      <c r="G27" s="45"/>
      <c r="H27" s="45"/>
      <c r="I27" s="45"/>
      <c r="J27" s="63"/>
      <c r="K27" s="48">
        <f>K26+K16</f>
        <v>302784.35979999998</v>
      </c>
    </row>
    <row r="28" spans="2:15">
      <c r="B28" s="44" t="s">
        <v>127</v>
      </c>
      <c r="C28" s="45"/>
      <c r="D28" s="45"/>
      <c r="E28" s="345"/>
      <c r="F28" s="44"/>
      <c r="G28" s="45"/>
      <c r="H28" s="45"/>
      <c r="I28" s="45"/>
      <c r="J28" s="63"/>
      <c r="K28" s="48">
        <f>K27/E27</f>
        <v>302784.35979999998</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402">
        <f>SUM(F12:F15)*G31</f>
        <v>10949.4</v>
      </c>
      <c r="J31" s="106">
        <f>IF(B31="","",VLOOKUP(B31,Mat.Info!$A:$H,8,FALSE))</f>
        <v>0.16250000000000001</v>
      </c>
      <c r="K31" s="34">
        <f>ROUND(IF(B31="","",I31*J31),4)</f>
        <v>1779.2774999999999</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1779.2774999999999</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304563.6373</v>
      </c>
    </row>
    <row r="50" spans="2:11">
      <c r="B50" s="44" t="s">
        <v>144</v>
      </c>
      <c r="C50" s="74"/>
      <c r="D50" s="74"/>
      <c r="E50" s="74"/>
      <c r="F50" s="74"/>
      <c r="G50" s="74"/>
      <c r="H50" s="74"/>
      <c r="I50" s="74"/>
      <c r="J50" s="76">
        <f ca="1">Dados!$C$17</f>
        <v>0.44600000000000001</v>
      </c>
      <c r="K50" s="75">
        <f ca="1">K49*J50</f>
        <v>135835.3822358</v>
      </c>
    </row>
    <row r="51" spans="2:11">
      <c r="B51" s="64" t="s">
        <v>145</v>
      </c>
      <c r="C51" s="45"/>
      <c r="D51" s="45"/>
      <c r="E51" s="45"/>
      <c r="F51" s="45"/>
      <c r="G51" s="45"/>
      <c r="H51" s="45"/>
      <c r="I51" s="45"/>
      <c r="J51" s="45"/>
      <c r="K51" s="48">
        <f ca="1">ROUND(K50+K49,2)</f>
        <v>440399.02</v>
      </c>
    </row>
    <row r="52" spans="2:11" ht="7.5" customHeight="1"/>
    <row r="53" spans="2:11" ht="4.5" customHeight="1"/>
  </sheetData>
  <mergeCells count="15">
    <mergeCell ref="H44:J44"/>
    <mergeCell ref="C13:E13"/>
    <mergeCell ref="C21:E21"/>
    <mergeCell ref="C22:E22"/>
    <mergeCell ref="C23:E23"/>
    <mergeCell ref="C24:E24"/>
    <mergeCell ref="C25:E25"/>
    <mergeCell ref="E44:G44"/>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A963809-E2CB-4583-A1C7-82B287402792}">
          <x14:formula1>
            <xm:f>Categorias!$A$4:$A$101</xm:f>
          </x14:formula1>
          <xm:sqref>C21:E25 C18:E19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9907E-CA86-4C09-9CC1-FDCF23802C63}">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'Cronograma'!$D$38</f>
        <v>3</v>
      </c>
    </row>
    <row r="8" spans="1:11">
      <c r="B8" s="719" t="str">
        <f>CONCATENATE("",'Alocação MO'!C6)</f>
        <v>Dimensão de Mercado e Demanda (EMD)</v>
      </c>
      <c r="C8" s="720"/>
      <c r="D8" s="720"/>
      <c r="E8" s="720"/>
      <c r="F8" s="720"/>
      <c r="G8" s="720"/>
      <c r="H8" s="720"/>
      <c r="I8" s="18"/>
      <c r="J8" s="18" t="s">
        <v>105</v>
      </c>
      <c r="K8" s="19" t="s">
        <v>106</v>
      </c>
    </row>
    <row r="9" spans="1:11">
      <c r="B9" s="719"/>
      <c r="C9" s="720"/>
      <c r="D9" s="720"/>
      <c r="E9" s="720"/>
      <c r="F9" s="721"/>
      <c r="G9" s="721"/>
      <c r="H9" s="721"/>
      <c r="I9" s="20"/>
      <c r="J9" s="20" t="s">
        <v>107</v>
      </c>
      <c r="K9" s="21" t="s">
        <v>762</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403">
        <f>SUM(I19:I21)</f>
        <v>1642.41</v>
      </c>
      <c r="G12" s="107">
        <v>1</v>
      </c>
      <c r="H12" s="107">
        <v>0</v>
      </c>
      <c r="I12" s="107">
        <f>IF(B12="","",VLOOKUP($B12,Equip.Info!$A:$I,8,FALSE))</f>
        <v>0.54349999999999998</v>
      </c>
      <c r="J12" s="107">
        <f>IF(B12="","",VLOOKUP($B12,Equip.Info!$A:$I,9,FALSE))</f>
        <v>0.3599</v>
      </c>
      <c r="K12" s="118">
        <f>ROUND(F12*(G12*I12+H12*J12),4)</f>
        <v>892.64980000000003</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484">
        <f>I22+I18</f>
        <v>410.60250000000002</v>
      </c>
      <c r="G13" s="108">
        <v>1</v>
      </c>
      <c r="H13" s="108">
        <v>0</v>
      </c>
      <c r="I13" s="108">
        <f>IF(B13="","",VLOOKUP($B13,Equip.Info!$A:$I,8,FALSE))</f>
        <v>0.217</v>
      </c>
      <c r="J13" s="108">
        <f>IF(B13="","",VLOOKUP($B13,Equip.Info!$A:$I,9,FALSE))</f>
        <v>0.14369999999999999</v>
      </c>
      <c r="K13" s="119">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981.75049999999999</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P8060</v>
      </c>
      <c r="C18" s="732" t="s">
        <v>34</v>
      </c>
      <c r="D18" s="732"/>
      <c r="E18" s="732"/>
      <c r="F18" s="54">
        <v>0.5</v>
      </c>
      <c r="G18" s="55">
        <f>INDEX(MO[],MATCH($B$8,MO[Descrição dos Produtos],0),MATCH(C18,MO[#Headers],0))</f>
        <v>1</v>
      </c>
      <c r="H18" s="52">
        <f>F18*G18*$K$7</f>
        <v>1.5</v>
      </c>
      <c r="I18" s="56">
        <f>H18*182.49</f>
        <v>273.73500000000001</v>
      </c>
      <c r="J18" s="53">
        <f>IF(ISBLANK(B18),0,VLOOKUP(B18,'TC 10-2023'!B:Z,25,TRUE)/182.49)</f>
        <v>207.71921749136939</v>
      </c>
      <c r="K18" s="35">
        <f>ROUND(J18*I18,4)</f>
        <v>56860.02</v>
      </c>
    </row>
    <row r="19" spans="2:15" ht="15" customHeight="1">
      <c r="B19" s="37" t="str">
        <f>IF(ISBLANK(C19),0,VLOOKUP(C19,Categorias!$A$4:$B$83,2,FALSE))</f>
        <v>P8067</v>
      </c>
      <c r="C19" s="732" t="s">
        <v>41</v>
      </c>
      <c r="D19" s="732"/>
      <c r="E19" s="732"/>
      <c r="F19" s="54">
        <v>1</v>
      </c>
      <c r="G19" s="55">
        <f>INDEX(MO[],MATCH($B$8,MO[Descrição dos Produtos],0),MATCH(C19,MO[#Headers],0))</f>
        <v>1</v>
      </c>
      <c r="H19" s="52">
        <f t="shared" ref="H19:H20" si="0">F19*G19*$K$7</f>
        <v>3</v>
      </c>
      <c r="I19" s="56">
        <f t="shared" ref="I19:I20" si="1">H19*182.49</f>
        <v>547.47</v>
      </c>
      <c r="J19" s="53">
        <f>IF(ISBLANK(B19),0,VLOOKUP(B19,'TC 10-2023'!B:Z,25,TRUE)/182.49)</f>
        <v>151.26779549564358</v>
      </c>
      <c r="K19" s="35">
        <f t="shared" ref="K19:K20" si="2">ROUND(J19*I19,4)</f>
        <v>82814.58</v>
      </c>
    </row>
    <row r="20" spans="2:15" ht="15" customHeight="1">
      <c r="B20" s="37" t="str">
        <f>IF(ISBLANK(C20),0,VLOOKUP(C20,Categorias!$A$4:$B$83,2,FALSE))</f>
        <v>P8066</v>
      </c>
      <c r="C20" s="732" t="s">
        <v>40</v>
      </c>
      <c r="D20" s="732"/>
      <c r="E20" s="732"/>
      <c r="F20" s="54">
        <v>1</v>
      </c>
      <c r="G20" s="55">
        <f>INDEX(MO[],MATCH($B$8,MO[Descrição dos Produtos],0),MATCH(C20,MO[#Headers],0))</f>
        <v>1</v>
      </c>
      <c r="H20" s="52">
        <f t="shared" si="0"/>
        <v>3</v>
      </c>
      <c r="I20" s="56">
        <f t="shared" si="1"/>
        <v>547.47</v>
      </c>
      <c r="J20" s="53">
        <f>IF(ISBLANK(B20),0,VLOOKUP(B20,'TC 10-2023'!B:Z,25,TRUE)/182.49)</f>
        <v>120.38555537289714</v>
      </c>
      <c r="K20" s="35">
        <f t="shared" si="2"/>
        <v>65907.48</v>
      </c>
    </row>
    <row r="21" spans="2:15" ht="15" customHeight="1">
      <c r="B21" s="37" t="str">
        <f>IF(ISBLANK(C21),0,VLOOKUP(C21,Categorias!$A$4:$B$83,2,FALSE))</f>
        <v>P8047</v>
      </c>
      <c r="C21" s="105" t="s">
        <v>27</v>
      </c>
      <c r="D21" s="105"/>
      <c r="E21" s="105"/>
      <c r="F21" s="54">
        <v>1</v>
      </c>
      <c r="G21" s="55">
        <f>INDEX(MO[],MATCH($B$8,MO[Descrição dos Produtos],0),MATCH(C21,MO[#Headers],0))</f>
        <v>1</v>
      </c>
      <c r="H21" s="52">
        <f t="shared" ref="H21:H22" si="3">F21*G21*$K$7</f>
        <v>3</v>
      </c>
      <c r="I21" s="56">
        <f t="shared" ref="I21:I22" si="4">H21*182.49</f>
        <v>547.47</v>
      </c>
      <c r="J21" s="53">
        <f>IF(ISBLANK(B21),0,VLOOKUP(B21,'TC 10-2023'!B:Z,25,TRUE)/182.49)</f>
        <v>108.82941531042796</v>
      </c>
      <c r="K21" s="35">
        <f t="shared" ref="K21:K22" si="5">ROUND(J21*I21,4)</f>
        <v>59580.84</v>
      </c>
    </row>
    <row r="22" spans="2:15" ht="15" customHeight="1">
      <c r="B22" s="37" t="str">
        <f>IF(ISBLANK(C22),0,VLOOKUP(C22,Categorias!$A$4:$B$83,2,FALSE))</f>
        <v>P8061</v>
      </c>
      <c r="C22" s="105" t="s">
        <v>35</v>
      </c>
      <c r="D22" s="105"/>
      <c r="E22" s="105"/>
      <c r="F22" s="54">
        <v>0.25</v>
      </c>
      <c r="G22" s="55">
        <f>INDEX(MO[],MATCH($B$8,MO[Descrição dos Produtos],0),MATCH(C22,MO[#Headers],0))</f>
        <v>1</v>
      </c>
      <c r="H22" s="52">
        <f t="shared" si="3"/>
        <v>0.75</v>
      </c>
      <c r="I22" s="56">
        <f t="shared" si="4"/>
        <v>136.86750000000001</v>
      </c>
      <c r="J22" s="53">
        <f>IF(ISBLANK(B22),0,VLOOKUP(B22,'TC 10-2023'!B:Z,25,TRUE)/182.49)</f>
        <v>174.03671434051179</v>
      </c>
      <c r="K22" s="35">
        <f t="shared" si="5"/>
        <v>23819.97</v>
      </c>
    </row>
    <row r="23" spans="2:15" ht="15" customHeight="1">
      <c r="B23" s="37"/>
      <c r="C23" s="732"/>
      <c r="D23" s="732"/>
      <c r="E23" s="732"/>
      <c r="F23" s="54"/>
      <c r="G23" s="55"/>
      <c r="H23" s="52"/>
      <c r="I23" s="56"/>
      <c r="J23" s="53"/>
      <c r="K23" s="35"/>
    </row>
    <row r="24" spans="2:15" ht="15" customHeight="1">
      <c r="B24" s="37"/>
      <c r="C24" s="732"/>
      <c r="D24" s="732"/>
      <c r="E24" s="732"/>
      <c r="F24" s="54"/>
      <c r="G24" s="55"/>
      <c r="H24" s="52"/>
      <c r="I24" s="56"/>
      <c r="J24" s="53"/>
      <c r="K24" s="35"/>
    </row>
    <row r="25" spans="2:15" ht="15" customHeight="1">
      <c r="B25" s="37"/>
      <c r="C25" s="732"/>
      <c r="D25" s="732"/>
      <c r="E25" s="732"/>
      <c r="F25" s="54"/>
      <c r="G25" s="55"/>
      <c r="H25" s="52"/>
      <c r="I25" s="56"/>
      <c r="J25" s="53"/>
      <c r="K25" s="35"/>
    </row>
    <row r="26" spans="2:15">
      <c r="B26" s="44" t="s">
        <v>124</v>
      </c>
      <c r="C26" s="45"/>
      <c r="D26" s="45"/>
      <c r="E26" s="45"/>
      <c r="F26" s="46"/>
      <c r="G26" s="46"/>
      <c r="H26" s="46"/>
      <c r="I26" s="46"/>
      <c r="J26" s="47"/>
      <c r="K26" s="48">
        <f>SUM(K18:K25)</f>
        <v>288982.89</v>
      </c>
    </row>
    <row r="27" spans="2:15">
      <c r="B27" s="44" t="s">
        <v>125</v>
      </c>
      <c r="C27" s="45"/>
      <c r="D27" s="45"/>
      <c r="E27" s="345">
        <v>1</v>
      </c>
      <c r="F27" s="44" t="s">
        <v>126</v>
      </c>
      <c r="G27" s="45"/>
      <c r="H27" s="45"/>
      <c r="I27" s="45"/>
      <c r="J27" s="63"/>
      <c r="K27" s="48">
        <f>K26+K16</f>
        <v>289964.64050000004</v>
      </c>
    </row>
    <row r="28" spans="2:15">
      <c r="B28" s="44" t="s">
        <v>127</v>
      </c>
      <c r="C28" s="45"/>
      <c r="D28" s="45"/>
      <c r="E28" s="345"/>
      <c r="F28" s="44"/>
      <c r="G28" s="45"/>
      <c r="H28" s="45"/>
      <c r="I28" s="45"/>
      <c r="J28" s="63"/>
      <c r="K28" s="48">
        <f>K27/E27</f>
        <v>289964.64050000004</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402">
        <f>SUM(F12:F15)*G31</f>
        <v>2053.0125000000003</v>
      </c>
      <c r="J31" s="106">
        <f>IF(B31="","",VLOOKUP(B31,Mat.Info!$A:$H,8,FALSE))</f>
        <v>0.16250000000000001</v>
      </c>
      <c r="K31" s="34">
        <f>ROUND(IF(B31="","",I31*J31),4)</f>
        <v>333.61450000000002</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333.61450000000002</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290298.25500000006</v>
      </c>
    </row>
    <row r="50" spans="2:11">
      <c r="B50" s="44" t="s">
        <v>144</v>
      </c>
      <c r="C50" s="74"/>
      <c r="D50" s="74"/>
      <c r="E50" s="74"/>
      <c r="F50" s="74"/>
      <c r="G50" s="74"/>
      <c r="H50" s="74"/>
      <c r="I50" s="74"/>
      <c r="J50" s="76">
        <f ca="1">Dados!$C$17</f>
        <v>0.44600000000000001</v>
      </c>
      <c r="K50" s="75">
        <f ca="1">K49*J50</f>
        <v>129473.02173000004</v>
      </c>
    </row>
    <row r="51" spans="2:11">
      <c r="B51" s="64" t="s">
        <v>145</v>
      </c>
      <c r="C51" s="45"/>
      <c r="D51" s="45"/>
      <c r="E51" s="45"/>
      <c r="F51" s="45"/>
      <c r="G51" s="45"/>
      <c r="H51" s="45"/>
      <c r="I51" s="45"/>
      <c r="J51" s="45"/>
      <c r="K51" s="48">
        <f ca="1">ROUND(K50+K49,2)</f>
        <v>419771.28</v>
      </c>
    </row>
    <row r="52" spans="2:11" ht="7.5" customHeight="1"/>
    <row r="53" spans="2:11" ht="4.5" customHeight="1"/>
  </sheetData>
  <mergeCells count="16">
    <mergeCell ref="C24:E24"/>
    <mergeCell ref="C25:E25"/>
    <mergeCell ref="E44:G44"/>
    <mergeCell ref="H44:J44"/>
    <mergeCell ref="B30:F30"/>
    <mergeCell ref="C23:E23"/>
    <mergeCell ref="B6:K6"/>
    <mergeCell ref="B8:H9"/>
    <mergeCell ref="F10:F11"/>
    <mergeCell ref="G10:H10"/>
    <mergeCell ref="I10:J10"/>
    <mergeCell ref="C12:E12"/>
    <mergeCell ref="C13:E13"/>
    <mergeCell ref="C18:E18"/>
    <mergeCell ref="C19:E19"/>
    <mergeCell ref="C20:E2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2139601-DE45-4797-A610-9FBBDF727149}">
          <x14:formula1>
            <xm:f>Categorias!$A$4:$A$101</xm:f>
          </x14:formula1>
          <xm:sqref>C18:E25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9A967-FB2A-4D4C-9457-6E1851E13E63}">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'Cronograma'!$D$39</f>
        <v>3</v>
      </c>
    </row>
    <row r="8" spans="1:11">
      <c r="B8" s="719" t="str">
        <f>CONCATENATE("",'Alocação MO'!C7)</f>
        <v>Dimensão de Engenharia (EEN)</v>
      </c>
      <c r="C8" s="720"/>
      <c r="D8" s="720"/>
      <c r="E8" s="720"/>
      <c r="F8" s="720"/>
      <c r="G8" s="720"/>
      <c r="H8" s="720"/>
      <c r="I8" s="18"/>
      <c r="J8" s="18" t="s">
        <v>105</v>
      </c>
      <c r="K8" s="19" t="s">
        <v>106</v>
      </c>
    </row>
    <row r="9" spans="1:11">
      <c r="B9" s="719"/>
      <c r="C9" s="720"/>
      <c r="D9" s="720"/>
      <c r="E9" s="720"/>
      <c r="F9" s="721"/>
      <c r="G9" s="721"/>
      <c r="H9" s="721"/>
      <c r="I9" s="20"/>
      <c r="J9" s="20" t="s">
        <v>107</v>
      </c>
      <c r="K9" s="21" t="s">
        <v>723</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107">
        <f>SUM(I19:I20)</f>
        <v>1094.94</v>
      </c>
      <c r="G12" s="107">
        <v>1</v>
      </c>
      <c r="H12" s="107">
        <v>0</v>
      </c>
      <c r="I12" s="107">
        <f>IF(B12="","",VLOOKUP($B12,Equip.Info!$A:$I,8,FALSE))</f>
        <v>0.54349999999999998</v>
      </c>
      <c r="J12" s="107">
        <f>IF(B12="","",VLOOKUP($B12,Equip.Info!$A:$I,9,FALSE))</f>
        <v>0.3599</v>
      </c>
      <c r="K12" s="118">
        <f>ROUND(F12*(G12*I12+H12*J12),4)</f>
        <v>595.09990000000005</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108">
        <f>I18+I21</f>
        <v>410.60250000000002</v>
      </c>
      <c r="G13" s="108">
        <v>1</v>
      </c>
      <c r="H13" s="108">
        <v>0</v>
      </c>
      <c r="I13" s="108">
        <f>IF(B13="","",VLOOKUP($B13,Equip.Info!$A:$I,8,FALSE))</f>
        <v>0.217</v>
      </c>
      <c r="J13" s="108">
        <f>IF(B13="","",VLOOKUP($B13,Equip.Info!$A:$I,9,FALSE))</f>
        <v>0.14369999999999999</v>
      </c>
      <c r="K13" s="119">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684.20060000000001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P8060</v>
      </c>
      <c r="C18" s="732" t="s">
        <v>34</v>
      </c>
      <c r="D18" s="732"/>
      <c r="E18" s="732"/>
      <c r="F18" s="54">
        <v>0.5</v>
      </c>
      <c r="G18" s="55">
        <f>INDEX(MO[],MATCH($B$8,MO[Descrição dos Produtos],0),MATCH(C18,MO[#Headers],0))</f>
        <v>1</v>
      </c>
      <c r="H18" s="52">
        <f>F18*G18*$K$7</f>
        <v>1.5</v>
      </c>
      <c r="I18" s="56">
        <f t="shared" ref="I18:I20" si="0">H18*182.49</f>
        <v>273.73500000000001</v>
      </c>
      <c r="J18" s="53">
        <f>IF(ISBLANK(B18),0,VLOOKUP(B18,'TC 10-2023'!B:Z,25,TRUE)/182.49)</f>
        <v>207.71921749136939</v>
      </c>
      <c r="K18" s="35">
        <f>ROUND(J18*I18,4)</f>
        <v>56860.02</v>
      </c>
    </row>
    <row r="19" spans="2:15" ht="15" customHeight="1">
      <c r="B19" s="37" t="str">
        <f>IF(ISBLANK(C19),0,VLOOKUP(C19,Categorias!$A$4:$B$83,2,FALSE))</f>
        <v>P8067</v>
      </c>
      <c r="C19" s="732" t="s">
        <v>41</v>
      </c>
      <c r="D19" s="732"/>
      <c r="E19" s="732"/>
      <c r="F19" s="54">
        <v>1</v>
      </c>
      <c r="G19" s="55">
        <f>INDEX(MO[],MATCH($B$8,MO[Descrição dos Produtos],0),MATCH(C19,MO[#Headers],0))</f>
        <v>1</v>
      </c>
      <c r="H19" s="52">
        <f t="shared" ref="H19:H20" si="1">F19*G19*$K$7</f>
        <v>3</v>
      </c>
      <c r="I19" s="56">
        <f t="shared" si="0"/>
        <v>547.47</v>
      </c>
      <c r="J19" s="53">
        <f>IF(ISBLANK(B19),0,VLOOKUP(B19,'TC 10-2023'!B:Z,25,TRUE)/182.49)</f>
        <v>151.26779549564358</v>
      </c>
      <c r="K19" s="35">
        <f t="shared" ref="K19:K20" si="2">ROUND(J19*I19,4)</f>
        <v>82814.58</v>
      </c>
    </row>
    <row r="20" spans="2:15" ht="15" customHeight="1">
      <c r="B20" s="37" t="str">
        <f>IF(ISBLANK(C20),0,VLOOKUP(C20,Categorias!$A$4:$B$83,2,FALSE))</f>
        <v>P8066</v>
      </c>
      <c r="C20" s="732" t="s">
        <v>40</v>
      </c>
      <c r="D20" s="732"/>
      <c r="E20" s="732"/>
      <c r="F20" s="54">
        <v>1</v>
      </c>
      <c r="G20" s="55">
        <f>INDEX(MO[],MATCH($B$8,MO[Descrição dos Produtos],0),MATCH(C20,MO[#Headers],0))</f>
        <v>1</v>
      </c>
      <c r="H20" s="52">
        <f t="shared" si="1"/>
        <v>3</v>
      </c>
      <c r="I20" s="56">
        <f t="shared" si="0"/>
        <v>547.47</v>
      </c>
      <c r="J20" s="53">
        <f>IF(ISBLANK(B20),0,VLOOKUP(B20,'TC 10-2023'!B:Z,25,TRUE)/182.49)</f>
        <v>120.38555537289714</v>
      </c>
      <c r="K20" s="35">
        <f t="shared" si="2"/>
        <v>65907.48</v>
      </c>
    </row>
    <row r="21" spans="2:15" ht="15" customHeight="1">
      <c r="B21" s="37" t="str">
        <f>IF(ISBLANK(C21),0,VLOOKUP(C21,Categorias!$A$4:$B$83,2,FALSE))</f>
        <v>P8061</v>
      </c>
      <c r="C21" s="105" t="s">
        <v>35</v>
      </c>
      <c r="D21" s="105"/>
      <c r="E21" s="105"/>
      <c r="F21" s="54">
        <v>0.25</v>
      </c>
      <c r="G21" s="55">
        <f>INDEX(MO[],MATCH($B$8,MO[Descrição dos Produtos],0),MATCH(C21,MO[#Headers],0))</f>
        <v>1</v>
      </c>
      <c r="H21" s="52">
        <f t="shared" ref="H21" si="3">F21*G21*$K$7</f>
        <v>0.75</v>
      </c>
      <c r="I21" s="56">
        <f t="shared" ref="I21" si="4">H21*182.49</f>
        <v>136.86750000000001</v>
      </c>
      <c r="J21" s="53">
        <f>IF(ISBLANK(B21),0,VLOOKUP(B21,'TC 10-2023'!B:Z,25,TRUE)/182.49)</f>
        <v>174.03671434051179</v>
      </c>
      <c r="K21" s="35">
        <f t="shared" ref="K21" si="5">ROUND(J21*I21,4)</f>
        <v>23819.97</v>
      </c>
    </row>
    <row r="22" spans="2:15" ht="15" customHeight="1">
      <c r="B22" s="37"/>
      <c r="F22" s="58"/>
      <c r="H22" s="97"/>
      <c r="I22" s="59"/>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229402.05000000002</v>
      </c>
    </row>
    <row r="27" spans="2:15">
      <c r="B27" s="44" t="s">
        <v>125</v>
      </c>
      <c r="C27" s="45"/>
      <c r="D27" s="45"/>
      <c r="E27" s="345">
        <v>1</v>
      </c>
      <c r="F27" s="44" t="s">
        <v>126</v>
      </c>
      <c r="G27" s="45"/>
      <c r="H27" s="45"/>
      <c r="I27" s="45"/>
      <c r="J27" s="63"/>
      <c r="K27" s="48">
        <f>K26+K16</f>
        <v>230086.25060000003</v>
      </c>
    </row>
    <row r="28" spans="2:15">
      <c r="B28" s="44" t="s">
        <v>127</v>
      </c>
      <c r="C28" s="45"/>
      <c r="D28" s="45"/>
      <c r="E28" s="345"/>
      <c r="F28" s="44"/>
      <c r="G28" s="45"/>
      <c r="H28" s="45"/>
      <c r="I28" s="45"/>
      <c r="J28" s="63"/>
      <c r="K28" s="48">
        <f>K27/E27</f>
        <v>230086.25060000003</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VLOOKUP(B31,Mat.Info!$A:$H,2,FALSE)</f>
        <v>Pacote Microsoft 365 Business Basic</v>
      </c>
      <c r="G31" s="543">
        <f>IF(B31="","",VLOOKUP(B31,Mat.Info!A2:H4,6,0))</f>
        <v>1</v>
      </c>
      <c r="H31" s="106" t="s">
        <v>299</v>
      </c>
      <c r="I31" s="106">
        <f>SUM(F12:F15)*G31</f>
        <v>1505.5425</v>
      </c>
      <c r="J31" s="106">
        <f>IF(B31="","",VLOOKUP(B31,Mat.Info!$A:$H,8,FALSE))</f>
        <v>0.16250000000000001</v>
      </c>
      <c r="K31" s="34">
        <f>ROUND(IF(B31="","",I31*J31),4)</f>
        <v>244.6507</v>
      </c>
    </row>
    <row r="32" spans="2:15">
      <c r="B32" s="37" t="str">
        <f>Mat.Info!A3</f>
        <v>MTSF002</v>
      </c>
      <c r="C32" s="4" t="str">
        <f>IF(B32="","",VLOOKUP(B32,Mat.Info!A2:H5,2,FALSE))</f>
        <v>Software CAD para MAC/Windows 64bits</v>
      </c>
      <c r="G32" s="543">
        <f>IF(B32="","",VLOOKUP(B32,Mat.Info!A3:H5,6,0))</f>
        <v>0.5</v>
      </c>
      <c r="H32" s="59" t="s">
        <v>299</v>
      </c>
      <c r="I32" s="59">
        <f>SUM($I$19:$I$20)*G32</f>
        <v>547.47</v>
      </c>
      <c r="J32" s="59">
        <f>IF(B32="","",VLOOKUP(B32,Mat.Info!$A:$H,8,FALSE))</f>
        <v>3.3740000000000001</v>
      </c>
      <c r="K32" s="35">
        <f>ROUND(IF(B32="","",I32*J32),4)</f>
        <v>1847.1638</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2091.8145</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232178.06510000004</v>
      </c>
    </row>
    <row r="50" spans="2:11">
      <c r="B50" s="44" t="s">
        <v>144</v>
      </c>
      <c r="C50" s="74"/>
      <c r="D50" s="74"/>
      <c r="E50" s="74"/>
      <c r="F50" s="74"/>
      <c r="G50" s="74"/>
      <c r="H50" s="74"/>
      <c r="I50" s="74"/>
      <c r="J50" s="76">
        <f ca="1">Dados!$C$17</f>
        <v>0.44600000000000001</v>
      </c>
      <c r="K50" s="75">
        <f ca="1">K49*J50</f>
        <v>103551.41703460002</v>
      </c>
    </row>
    <row r="51" spans="2:11">
      <c r="B51" s="64" t="s">
        <v>145</v>
      </c>
      <c r="C51" s="45"/>
      <c r="D51" s="45"/>
      <c r="E51" s="45"/>
      <c r="F51" s="45"/>
      <c r="G51" s="45"/>
      <c r="H51" s="45"/>
      <c r="I51" s="45"/>
      <c r="J51" s="45"/>
      <c r="K51" s="48">
        <f ca="1">ROUND(K50+K49,2)</f>
        <v>335729.48</v>
      </c>
    </row>
    <row r="52" spans="2:11" ht="7.5" customHeight="1"/>
    <row r="53" spans="2:11" ht="4.5" customHeight="1"/>
  </sheetData>
  <mergeCells count="13">
    <mergeCell ref="E44:G44"/>
    <mergeCell ref="H44:J44"/>
    <mergeCell ref="C13:E13"/>
    <mergeCell ref="C18:E18"/>
    <mergeCell ref="C19:E19"/>
    <mergeCell ref="C20:E20"/>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7A4467-7CCE-4897-839F-7F86EF78E99D}">
          <x14:formula1>
            <xm:f>Categorias!$A$4:$A$101</xm:f>
          </x14:formula1>
          <xm:sqref>C18:E21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79177-15B6-411C-9BFF-B93E299825D7}">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'Cronograma'!$D$40</f>
        <v>3</v>
      </c>
    </row>
    <row r="8" spans="1:11">
      <c r="B8" s="719" t="str">
        <f>CONCATENATE("",'Alocação MO'!C8)</f>
        <v>Dimensão Operacional (EOP)</v>
      </c>
      <c r="C8" s="720"/>
      <c r="D8" s="720"/>
      <c r="E8" s="720"/>
      <c r="F8" s="720"/>
      <c r="G8" s="720"/>
      <c r="H8" s="720"/>
      <c r="I8" s="18"/>
      <c r="J8" s="18" t="s">
        <v>105</v>
      </c>
      <c r="K8" s="19" t="s">
        <v>106</v>
      </c>
    </row>
    <row r="9" spans="1:11">
      <c r="B9" s="719"/>
      <c r="C9" s="720"/>
      <c r="D9" s="720"/>
      <c r="E9" s="720"/>
      <c r="F9" s="721"/>
      <c r="G9" s="721"/>
      <c r="H9" s="721"/>
      <c r="I9" s="20"/>
      <c r="J9" s="20" t="s">
        <v>107</v>
      </c>
      <c r="K9" s="21" t="s">
        <v>726</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403">
        <f>SUM(I19:I20)</f>
        <v>1094.94</v>
      </c>
      <c r="G12" s="107">
        <v>1</v>
      </c>
      <c r="H12" s="107">
        <v>0</v>
      </c>
      <c r="I12" s="107">
        <f>IF(B12="","",VLOOKUP($B12,Equip.Info!$A:$I,8,FALSE))</f>
        <v>0.54349999999999998</v>
      </c>
      <c r="J12" s="107">
        <f>IF(B12="","",VLOOKUP($B12,Equip.Info!$A:$I,9,FALSE))</f>
        <v>0.3599</v>
      </c>
      <c r="K12" s="118">
        <f>ROUND(F12*(G12*I12+H12*J12),4)</f>
        <v>595.09990000000005</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484">
        <f>I18+I21</f>
        <v>410.60250000000002</v>
      </c>
      <c r="G13" s="108">
        <v>1</v>
      </c>
      <c r="H13" s="108">
        <v>0</v>
      </c>
      <c r="I13" s="108">
        <f>IF(B13="","",VLOOKUP($B13,Equip.Info!$A:$I,8,FALSE))</f>
        <v>0.217</v>
      </c>
      <c r="J13" s="108">
        <f>IF(B13="","",VLOOKUP($B13,Equip.Info!$A:$I,9,FALSE))</f>
        <v>0.14369999999999999</v>
      </c>
      <c r="K13" s="119">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684.20060000000001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P8060</v>
      </c>
      <c r="C18" s="732" t="s">
        <v>34</v>
      </c>
      <c r="D18" s="732"/>
      <c r="E18" s="732"/>
      <c r="F18" s="54">
        <v>0.5</v>
      </c>
      <c r="G18" s="55">
        <f>INDEX(MO[],MATCH($B$8,MO[Descrição dos Produtos],0),MATCH(C18,MO[#Headers],0))</f>
        <v>1</v>
      </c>
      <c r="H18" s="52">
        <f>F18*G18*$K$7</f>
        <v>1.5</v>
      </c>
      <c r="I18" s="56">
        <f t="shared" ref="I18:I20" si="0">H18*182.49</f>
        <v>273.73500000000001</v>
      </c>
      <c r="J18" s="53">
        <f>IF(ISBLANK(B18),0,VLOOKUP(B18,'TC 10-2023'!B:Z,25,TRUE)/182.49)</f>
        <v>207.71921749136939</v>
      </c>
      <c r="K18" s="35">
        <f>ROUND(J18*I18,4)</f>
        <v>56860.02</v>
      </c>
    </row>
    <row r="19" spans="2:15" ht="15" customHeight="1">
      <c r="B19" s="37" t="str">
        <f>IF(ISBLANK(C19),0,VLOOKUP(C19,Categorias!$A$4:$B$83,2,FALSE))</f>
        <v>P8067</v>
      </c>
      <c r="C19" s="732" t="s">
        <v>41</v>
      </c>
      <c r="D19" s="732"/>
      <c r="E19" s="732"/>
      <c r="F19" s="54">
        <v>1</v>
      </c>
      <c r="G19" s="55">
        <f>INDEX(MO[],MATCH($B$8,MO[Descrição dos Produtos],0),MATCH(C19,MO[#Headers],0))</f>
        <v>1</v>
      </c>
      <c r="H19" s="52">
        <f t="shared" ref="H19:H20" si="1">F19*G19*$K$7</f>
        <v>3</v>
      </c>
      <c r="I19" s="56">
        <f t="shared" si="0"/>
        <v>547.47</v>
      </c>
      <c r="J19" s="53">
        <f>IF(ISBLANK(B19),0,VLOOKUP(B19,'TC 10-2023'!B:Z,25,TRUE)/182.49)</f>
        <v>151.26779549564358</v>
      </c>
      <c r="K19" s="35">
        <f t="shared" ref="K19:K20" si="2">ROUND(J19*I19,4)</f>
        <v>82814.58</v>
      </c>
    </row>
    <row r="20" spans="2:15" ht="15" customHeight="1">
      <c r="B20" s="37" t="str">
        <f>IF(ISBLANK(C20),0,VLOOKUP(C20,Categorias!$A$4:$B$83,2,FALSE))</f>
        <v>P8066</v>
      </c>
      <c r="C20" s="732" t="s">
        <v>40</v>
      </c>
      <c r="D20" s="732"/>
      <c r="E20" s="732"/>
      <c r="F20" s="54">
        <v>1</v>
      </c>
      <c r="G20" s="55">
        <f>INDEX(MO[],MATCH($B$8,MO[Descrição dos Produtos],0),MATCH(C20,MO[#Headers],0))</f>
        <v>1</v>
      </c>
      <c r="H20" s="52">
        <f t="shared" si="1"/>
        <v>3</v>
      </c>
      <c r="I20" s="56">
        <f t="shared" si="0"/>
        <v>547.47</v>
      </c>
      <c r="J20" s="53">
        <f>IF(ISBLANK(B20),0,VLOOKUP(B20,'TC 10-2023'!B:Z,25,TRUE)/182.49)</f>
        <v>120.38555537289714</v>
      </c>
      <c r="K20" s="35">
        <f t="shared" si="2"/>
        <v>65907.48</v>
      </c>
    </row>
    <row r="21" spans="2:15" ht="15" customHeight="1">
      <c r="B21" s="37" t="str">
        <f>IF(ISBLANK(C21),0,VLOOKUP(C21,Categorias!$A$4:$B$83,2,FALSE))</f>
        <v>P8061</v>
      </c>
      <c r="C21" s="105" t="s">
        <v>35</v>
      </c>
      <c r="D21" s="105"/>
      <c r="E21" s="105"/>
      <c r="F21" s="54">
        <v>0.25</v>
      </c>
      <c r="G21" s="55">
        <f>INDEX(MO[],MATCH($B$8,MO[Descrição dos Produtos],0),MATCH(C21,MO[#Headers],0))</f>
        <v>1</v>
      </c>
      <c r="H21" s="52">
        <f t="shared" ref="H21" si="3">F21*G21*$K$7</f>
        <v>0.75</v>
      </c>
      <c r="I21" s="56">
        <f t="shared" ref="I21" si="4">H21*182.49</f>
        <v>136.86750000000001</v>
      </c>
      <c r="J21" s="53">
        <f>IF(ISBLANK(B21),0,VLOOKUP(B21,'TC 10-2023'!B:Z,25,TRUE)/182.49)</f>
        <v>174.03671434051179</v>
      </c>
      <c r="K21" s="35">
        <f t="shared" ref="K21" si="5">ROUND(J21*I21,4)</f>
        <v>23819.97</v>
      </c>
    </row>
    <row r="22" spans="2:15" ht="15" customHeight="1">
      <c r="B22" s="37"/>
      <c r="F22" s="58"/>
      <c r="H22" s="97"/>
      <c r="I22" s="59"/>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229402.05000000002</v>
      </c>
    </row>
    <row r="27" spans="2:15">
      <c r="B27" s="44" t="s">
        <v>125</v>
      </c>
      <c r="C27" s="45"/>
      <c r="D27" s="45"/>
      <c r="E27" s="345">
        <v>1</v>
      </c>
      <c r="F27" s="44" t="s">
        <v>126</v>
      </c>
      <c r="G27" s="45"/>
      <c r="H27" s="45"/>
      <c r="I27" s="45"/>
      <c r="J27" s="63"/>
      <c r="K27" s="48">
        <f>K26+K16</f>
        <v>230086.25060000003</v>
      </c>
    </row>
    <row r="28" spans="2:15">
      <c r="B28" s="44" t="s">
        <v>127</v>
      </c>
      <c r="C28" s="45"/>
      <c r="D28" s="45"/>
      <c r="E28" s="345"/>
      <c r="F28" s="44"/>
      <c r="G28" s="45"/>
      <c r="H28" s="45"/>
      <c r="I28" s="45"/>
      <c r="J28" s="63"/>
      <c r="K28" s="48">
        <f>K27/E27</f>
        <v>230086.25060000003</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402">
        <f>SUM(F12:F15)*G31</f>
        <v>1505.5425</v>
      </c>
      <c r="J31" s="106">
        <f>IF(B31="","",VLOOKUP(B31,Mat.Info!$A:$H,8,FALSE))</f>
        <v>0.16250000000000001</v>
      </c>
      <c r="K31" s="34">
        <f>ROUND(IF(B31="","",I31*J31),4)</f>
        <v>244.6507</v>
      </c>
    </row>
    <row r="32" spans="2:15">
      <c r="B32" s="37"/>
      <c r="C32" s="4" t="str">
        <f>IF(B32="","",VLOOKUP(B32,Mat.Info!A2:H5,2,FALSE))</f>
        <v/>
      </c>
      <c r="G32" s="543" t="str">
        <f>IF(B32="","",VLOOKUP(B32,Mat.Info!A3:H5,6,0))</f>
        <v/>
      </c>
      <c r="H32" s="59"/>
      <c r="I32" s="59"/>
      <c r="J32" s="59"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244.6507</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230330.90130000003</v>
      </c>
    </row>
    <row r="50" spans="2:11">
      <c r="B50" s="44" t="s">
        <v>144</v>
      </c>
      <c r="C50" s="74"/>
      <c r="D50" s="74"/>
      <c r="E50" s="74"/>
      <c r="F50" s="74"/>
      <c r="G50" s="74"/>
      <c r="H50" s="74"/>
      <c r="I50" s="74"/>
      <c r="J50" s="76">
        <f ca="1">Dados!$C$17</f>
        <v>0.44600000000000001</v>
      </c>
      <c r="K50" s="75">
        <f ca="1">K49*J50</f>
        <v>102727.58197980002</v>
      </c>
    </row>
    <row r="51" spans="2:11">
      <c r="B51" s="64" t="s">
        <v>145</v>
      </c>
      <c r="C51" s="45"/>
      <c r="D51" s="45"/>
      <c r="E51" s="45"/>
      <c r="F51" s="45"/>
      <c r="G51" s="45"/>
      <c r="H51" s="45"/>
      <c r="I51" s="45"/>
      <c r="J51" s="45"/>
      <c r="K51" s="48">
        <f ca="1">ROUND(K50+K49,2)</f>
        <v>333058.48</v>
      </c>
    </row>
    <row r="52" spans="2:11" ht="7.5" customHeight="1"/>
    <row r="53" spans="2:11" ht="4.5" customHeight="1"/>
  </sheetData>
  <mergeCells count="13">
    <mergeCell ref="E44:G44"/>
    <mergeCell ref="H44:J44"/>
    <mergeCell ref="C13:E13"/>
    <mergeCell ref="C18:E18"/>
    <mergeCell ref="C19:E19"/>
    <mergeCell ref="C20:E20"/>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6C5892-8B49-42AA-87D7-92732D4269D9}">
          <x14:formula1>
            <xm:f>Categorias!$A$4:$A$101</xm:f>
          </x14:formula1>
          <xm:sqref>C18:E21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EB17-4261-47BE-B87E-64146DDBCA1D}">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'Cronograma'!$D$41</f>
        <v>2</v>
      </c>
    </row>
    <row r="8" spans="1:11">
      <c r="B8" s="719" t="str">
        <f>CONCATENATE("",'Alocação MO'!C9)</f>
        <v>Dimensão Socioambiental (EMA)</v>
      </c>
      <c r="C8" s="720"/>
      <c r="D8" s="720"/>
      <c r="E8" s="720"/>
      <c r="F8" s="720"/>
      <c r="G8" s="720"/>
      <c r="H8" s="720"/>
      <c r="I8" s="18"/>
      <c r="J8" s="18" t="s">
        <v>105</v>
      </c>
      <c r="K8" s="19" t="s">
        <v>106</v>
      </c>
    </row>
    <row r="9" spans="1:11">
      <c r="B9" s="719"/>
      <c r="C9" s="720"/>
      <c r="D9" s="720"/>
      <c r="E9" s="720"/>
      <c r="F9" s="721"/>
      <c r="G9" s="721"/>
      <c r="H9" s="721"/>
      <c r="I9" s="20"/>
      <c r="J9" s="20" t="s">
        <v>107</v>
      </c>
      <c r="K9" s="21" t="s">
        <v>763</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483" t="str">
        <f>Equip.Info!A3</f>
        <v>EQSF001</v>
      </c>
      <c r="C12" s="715" t="str">
        <f>VLOOKUP(B12,Equip.Info!A:I,2,FALSE)</f>
        <v>Desktop completo, processador Intel Core i5, 16GB memória, Resolução 3.840x2.160 (4K), PV GPU de 4GB e Sistema Operacional.</v>
      </c>
      <c r="D12" s="715"/>
      <c r="E12" s="716"/>
      <c r="F12" s="107">
        <f>SUM(I19:I22)</f>
        <v>729.96</v>
      </c>
      <c r="G12" s="107">
        <v>1</v>
      </c>
      <c r="H12" s="107">
        <v>0</v>
      </c>
      <c r="I12" s="107">
        <f>IF(B12="","",VLOOKUP($B12,Equip.Info!$A:$I,8,FALSE))</f>
        <v>0.54349999999999998</v>
      </c>
      <c r="J12" s="107">
        <f>IF(B12="","",VLOOKUP($B12,Equip.Info!$A:$I,9,FALSE))</f>
        <v>0.3599</v>
      </c>
      <c r="K12" s="118">
        <f>ROUND(F12*(G12*I12+H12*J12),4)</f>
        <v>396.73329999999999</v>
      </c>
    </row>
    <row r="13" spans="1:11" ht="39.75" customHeight="1">
      <c r="B13" s="33" t="str">
        <f>Equip.Info!A4</f>
        <v>EQSF002</v>
      </c>
      <c r="C13" s="730" t="str">
        <f>VLOOKUP(B13,Equip.Info!A:I,2,FALSE)</f>
        <v>Laptop completo, processador Intel Core i5, 16GB memória, Resolução 3.840x2.160 (4K), PV GPU de 4GB e Sistema Operacional.</v>
      </c>
      <c r="D13" s="730"/>
      <c r="E13" s="731"/>
      <c r="F13" s="108">
        <f>I18</f>
        <v>182.49</v>
      </c>
      <c r="G13" s="108">
        <v>1</v>
      </c>
      <c r="H13" s="108">
        <v>0</v>
      </c>
      <c r="I13" s="108">
        <f>IF(B13="","",VLOOKUP($B13,Equip.Info!$A:$I,8,FALSE))</f>
        <v>0.217</v>
      </c>
      <c r="J13" s="108">
        <f>IF(B13="","",VLOOKUP($B13,Equip.Info!$A:$I,9,FALSE))</f>
        <v>0.14369999999999999</v>
      </c>
      <c r="K13" s="119">
        <f>ROUND(F13*(G13*I13+H13*J13),4)</f>
        <v>39.600299999999997</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436.33359999999999</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0.5</v>
      </c>
      <c r="G18" s="55">
        <f>INDEX(MO[],MATCH($B$8,MO[Descrição dos Produtos],0),MATCH(C18,MO[#Headers],0))</f>
        <v>1</v>
      </c>
      <c r="H18" s="52">
        <f>F18*G18*$K$7</f>
        <v>1</v>
      </c>
      <c r="I18" s="56">
        <f t="shared" ref="I18:I20" si="0">H18*182.49</f>
        <v>182.49</v>
      </c>
      <c r="J18" s="53">
        <f>IF(ISBLANK(B18),0,VLOOKUP(B18,'TC 10-2023'!B:Z,25,TRUE)/182.49)</f>
        <v>172.51148008110033</v>
      </c>
      <c r="K18" s="35">
        <f>ROUND(J18*I18,4)</f>
        <v>31481.62</v>
      </c>
    </row>
    <row r="19" spans="2:15" ht="15" customHeight="1">
      <c r="B19" s="37" t="str">
        <f>IF(ISBLANK(C19),0,VLOOKUP(C19,Categorias!$A$4:$B$83,2,FALSE))</f>
        <v>P8059</v>
      </c>
      <c r="C19" s="732" t="s">
        <v>33</v>
      </c>
      <c r="D19" s="732"/>
      <c r="E19" s="732"/>
      <c r="F19" s="54">
        <v>1</v>
      </c>
      <c r="G19" s="55">
        <f>INDEX(MO[],MATCH($B$8,MO[Descrição dos Produtos],0),MATCH(C19,MO[#Headers],0))</f>
        <v>1</v>
      </c>
      <c r="H19" s="52">
        <f t="shared" ref="H19:H20" si="1">F19*G19*$K$7</f>
        <v>2</v>
      </c>
      <c r="I19" s="56">
        <f t="shared" si="0"/>
        <v>364.98</v>
      </c>
      <c r="J19" s="53">
        <f>IF(ISBLANK(B19),0,VLOOKUP(B19,'TC 10-2023'!B:Z,25,TRUE)/182.49)</f>
        <v>139.25875390432353</v>
      </c>
      <c r="K19" s="35">
        <f t="shared" ref="K19:K20" si="2">ROUND(J19*I19,4)</f>
        <v>50826.66</v>
      </c>
    </row>
    <row r="20" spans="2:15" ht="15" customHeight="1">
      <c r="B20" s="37" t="str">
        <f>IF(ISBLANK(C20),0,VLOOKUP(C20,Categorias!$A$4:$B$83,2,FALSE))</f>
        <v>P8058</v>
      </c>
      <c r="C20" s="105" t="s">
        <v>32</v>
      </c>
      <c r="D20" s="105"/>
      <c r="E20" s="105"/>
      <c r="F20" s="54">
        <v>1</v>
      </c>
      <c r="G20" s="55">
        <f>INDEX(MO[],MATCH($B$8,MO[Descrição dos Produtos],0),MATCH(C20,MO[#Headers],0))</f>
        <v>1</v>
      </c>
      <c r="H20" s="52">
        <f t="shared" si="1"/>
        <v>2</v>
      </c>
      <c r="I20" s="56">
        <f t="shared" si="0"/>
        <v>364.98</v>
      </c>
      <c r="J20" s="53">
        <f>IF(ISBLANK(B20),0,VLOOKUP(B20,'TC 10-2023'!B:Z,25,TRUE)/182.49)</f>
        <v>116.50780864704915</v>
      </c>
      <c r="K20" s="35">
        <f t="shared" si="2"/>
        <v>42523.02</v>
      </c>
    </row>
    <row r="21" spans="2:15" ht="15" customHeight="1">
      <c r="B21" s="37"/>
      <c r="C21" s="105"/>
      <c r="D21" s="105"/>
      <c r="E21" s="105"/>
      <c r="F21" s="54"/>
      <c r="G21" s="55"/>
      <c r="H21" s="52"/>
      <c r="I21" s="56"/>
      <c r="J21" s="53"/>
      <c r="K21" s="35"/>
    </row>
    <row r="22" spans="2:15" ht="15" customHeight="1">
      <c r="B22" s="37"/>
      <c r="C22" s="105"/>
      <c r="D22" s="105"/>
      <c r="E22" s="105"/>
      <c r="F22" s="54"/>
      <c r="G22" s="55"/>
      <c r="H22" s="52"/>
      <c r="I22" s="56"/>
      <c r="J22" s="53"/>
      <c r="K22" s="35"/>
    </row>
    <row r="23" spans="2:15" ht="15" customHeight="1">
      <c r="B23" s="37"/>
      <c r="C23" s="105"/>
      <c r="D23" s="105"/>
      <c r="E23" s="105"/>
      <c r="F23" s="54"/>
      <c r="G23" s="55"/>
      <c r="H23" s="52"/>
      <c r="I23" s="56"/>
      <c r="J23" s="53"/>
      <c r="K23" s="35"/>
    </row>
    <row r="24" spans="2:15" ht="15" customHeight="1">
      <c r="B24" s="37"/>
      <c r="C24" s="105"/>
      <c r="D24" s="105"/>
      <c r="E24" s="105"/>
      <c r="F24" s="54"/>
      <c r="G24" s="55"/>
      <c r="H24" s="52"/>
      <c r="I24" s="56"/>
      <c r="J24" s="53"/>
      <c r="K24" s="35"/>
    </row>
    <row r="25" spans="2:15" ht="15" customHeight="1">
      <c r="B25" s="37"/>
      <c r="C25" s="105"/>
      <c r="D25" s="105"/>
      <c r="E25" s="105"/>
      <c r="F25" s="54"/>
      <c r="G25" s="55"/>
      <c r="H25" s="52"/>
      <c r="I25" s="56"/>
      <c r="J25" s="53"/>
      <c r="K25" s="35"/>
    </row>
    <row r="26" spans="2:15">
      <c r="B26" s="44" t="s">
        <v>124</v>
      </c>
      <c r="C26" s="45"/>
      <c r="D26" s="45"/>
      <c r="E26" s="45"/>
      <c r="F26" s="46"/>
      <c r="G26" s="46"/>
      <c r="H26" s="46"/>
      <c r="I26" s="46"/>
      <c r="J26" s="47"/>
      <c r="K26" s="48">
        <f>SUM(K18:K25)</f>
        <v>124831.29999999999</v>
      </c>
    </row>
    <row r="27" spans="2:15">
      <c r="B27" s="44" t="s">
        <v>125</v>
      </c>
      <c r="C27" s="45"/>
      <c r="D27" s="45"/>
      <c r="E27" s="345">
        <v>1</v>
      </c>
      <c r="F27" s="44" t="s">
        <v>126</v>
      </c>
      <c r="G27" s="45"/>
      <c r="H27" s="45"/>
      <c r="I27" s="45"/>
      <c r="J27" s="63"/>
      <c r="K27" s="48">
        <f>K26+K16</f>
        <v>125267.63359999999</v>
      </c>
    </row>
    <row r="28" spans="2:15">
      <c r="B28" s="44" t="s">
        <v>127</v>
      </c>
      <c r="C28" s="45"/>
      <c r="D28" s="45"/>
      <c r="E28" s="345"/>
      <c r="F28" s="44"/>
      <c r="G28" s="45"/>
      <c r="H28" s="45"/>
      <c r="I28" s="45"/>
      <c r="J28" s="63"/>
      <c r="K28" s="48">
        <f>K27/E27</f>
        <v>125267.63359999999</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
        <v>664</v>
      </c>
      <c r="C31" s="4" t="str">
        <f>VLOOKUP(B31,Mat.Info!A1:H3,2,FALSE)</f>
        <v>Pacote Microsoft 365 Business Basic</v>
      </c>
      <c r="G31" s="543">
        <f>IF(B31="","",VLOOKUP(B31,Mat.Info!A2:H4,6,0))</f>
        <v>1</v>
      </c>
      <c r="H31" s="106" t="s">
        <v>299</v>
      </c>
      <c r="I31" s="106">
        <f>SUM(F12:F15)*G31</f>
        <v>912.45</v>
      </c>
      <c r="J31" s="106">
        <f>IF(B31="","",VLOOKUP(B31,Mat.Info!$A:$H,8,FALSE))</f>
        <v>0.16250000000000001</v>
      </c>
      <c r="K31" s="34">
        <f>ROUND(IF(B31="","",I31*J31),4)</f>
        <v>148.2731</v>
      </c>
    </row>
    <row r="32" spans="2:15">
      <c r="B32" s="37" t="s">
        <v>666</v>
      </c>
      <c r="C32" s="4" t="str">
        <f>IF(B32="","",VLOOKUP(B32,Mat.Info!A2:H5,2,FALSE))</f>
        <v>Software SIG para MAC/Windows 64bits</v>
      </c>
      <c r="G32" s="543">
        <f>IF(B32="","",VLOOKUP(B32,Mat.Info!A3:H5,6,0))</f>
        <v>0.5</v>
      </c>
      <c r="H32" s="59" t="s">
        <v>299</v>
      </c>
      <c r="I32" s="59">
        <f>SUM($I$19:$I$20)*G32</f>
        <v>364.98</v>
      </c>
      <c r="J32" s="59">
        <f>IF(B32="","",VLOOKUP(B32,Mat.Info!$A:$H,8,FALSE))</f>
        <v>4.4630000000000001</v>
      </c>
      <c r="K32" s="35">
        <f>ROUND(IF(B32="","",I32*J32),4)</f>
        <v>1628.9057</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1777.1788000000001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127044.81239999998</v>
      </c>
    </row>
    <row r="50" spans="2:11">
      <c r="B50" s="44" t="s">
        <v>144</v>
      </c>
      <c r="C50" s="74"/>
      <c r="D50" s="74"/>
      <c r="E50" s="74"/>
      <c r="F50" s="74"/>
      <c r="G50" s="74"/>
      <c r="H50" s="74"/>
      <c r="I50" s="74"/>
      <c r="J50" s="76">
        <f ca="1">Dados!$C$17</f>
        <v>0.44600000000000001</v>
      </c>
      <c r="K50" s="75">
        <f ca="1">K49*J50</f>
        <v>56661.986330399995</v>
      </c>
    </row>
    <row r="51" spans="2:11">
      <c r="B51" s="64" t="s">
        <v>145</v>
      </c>
      <c r="C51" s="45"/>
      <c r="D51" s="45"/>
      <c r="E51" s="45"/>
      <c r="F51" s="45"/>
      <c r="G51" s="45"/>
      <c r="H51" s="45"/>
      <c r="I51" s="45"/>
      <c r="J51" s="45"/>
      <c r="K51" s="48">
        <f ca="1">ROUND(K50+K49,2)</f>
        <v>183706.8</v>
      </c>
    </row>
    <row r="52" spans="2:11" ht="7.5" customHeight="1"/>
    <row r="53" spans="2:11" ht="4.5" customHeight="1"/>
  </sheetData>
  <mergeCells count="12">
    <mergeCell ref="H44:J44"/>
    <mergeCell ref="B6:K6"/>
    <mergeCell ref="B8:H9"/>
    <mergeCell ref="F10:F11"/>
    <mergeCell ref="G10:H10"/>
    <mergeCell ref="I10:J10"/>
    <mergeCell ref="C12:E12"/>
    <mergeCell ref="C13:E13"/>
    <mergeCell ref="C18:E18"/>
    <mergeCell ref="C19:E19"/>
    <mergeCell ref="E44:G44"/>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0E1D1BD-C31D-4E02-8E6D-8A426B62973A}">
          <x14:formula1>
            <xm:f>Categorias!$A$4:$A$101</xm:f>
          </x14:formula1>
          <xm:sqref>C18:E25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49230-174D-4148-BB89-C042E88AE613}">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'Cronograma'!$D$42</f>
        <v>1</v>
      </c>
    </row>
    <row r="8" spans="1:11">
      <c r="B8" s="719" t="str">
        <f>CONCATENATE("",'Alocação MO'!C10)</f>
        <v>Dimensão Econômico-Financeira (MEF)</v>
      </c>
      <c r="C8" s="720"/>
      <c r="D8" s="720"/>
      <c r="E8" s="720"/>
      <c r="F8" s="720"/>
      <c r="G8" s="720"/>
      <c r="H8" s="720"/>
      <c r="I8" s="18"/>
      <c r="J8" s="18" t="s">
        <v>105</v>
      </c>
      <c r="K8" s="19" t="s">
        <v>106</v>
      </c>
    </row>
    <row r="9" spans="1:11">
      <c r="B9" s="719"/>
      <c r="C9" s="720"/>
      <c r="D9" s="720"/>
      <c r="E9" s="720"/>
      <c r="F9" s="721"/>
      <c r="G9" s="721"/>
      <c r="H9" s="721"/>
      <c r="I9" s="20"/>
      <c r="J9" s="20" t="s">
        <v>107</v>
      </c>
      <c r="K9" s="21" t="s">
        <v>764</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33" t="str">
        <f>Equip.Info!A4</f>
        <v>EQSF002</v>
      </c>
      <c r="C12" s="730" t="str">
        <f>VLOOKUP(B12,Equip.Info!A:I,2,FALSE)</f>
        <v>Laptop completo, processador Intel Core i5, 16GB memória, Resolução 3.840x2.160 (4K), PV GPU de 4GB e Sistema Operacional.</v>
      </c>
      <c r="D12" s="730"/>
      <c r="E12" s="731"/>
      <c r="F12" s="107">
        <f>SUM(I18:I25)</f>
        <v>200.739</v>
      </c>
      <c r="G12" s="107">
        <v>1</v>
      </c>
      <c r="H12" s="107">
        <v>0</v>
      </c>
      <c r="I12" s="107">
        <f>IF(B12="","",VLOOKUP($B12,Equip.Info!$A:$I,8,FALSE))</f>
        <v>0.217</v>
      </c>
      <c r="J12" s="107">
        <f>IF(B12="","",VLOOKUP($B12,Equip.Info!$A:$I,9,FALSE))</f>
        <v>0.14369999999999999</v>
      </c>
      <c r="K12" s="118">
        <f>ROUND(F12*(G12*I12+H12*J12),4)</f>
        <v>43.560400000000001</v>
      </c>
    </row>
    <row r="13" spans="1:11" ht="39.75" customHeight="1">
      <c r="B13" s="33"/>
      <c r="C13" s="730"/>
      <c r="D13" s="730"/>
      <c r="E13" s="731"/>
      <c r="F13" s="108"/>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P8047</v>
      </c>
      <c r="C18" s="732" t="s">
        <v>27</v>
      </c>
      <c r="D18" s="732"/>
      <c r="E18" s="732"/>
      <c r="F18" s="54">
        <v>1</v>
      </c>
      <c r="G18" s="55">
        <f>INDEX(MO[],MATCH($B$8,MO[Descrição dos Produtos],0),MATCH(C18,MO[#Headers],0))</f>
        <v>1</v>
      </c>
      <c r="H18" s="52">
        <f>F18*G18*$K$7</f>
        <v>1</v>
      </c>
      <c r="I18" s="56">
        <f t="shared" ref="I18" si="0">H18*182.49</f>
        <v>182.49</v>
      </c>
      <c r="J18" s="53">
        <f>IF(ISBLANK(B18),0,VLOOKUP(B18,'TC 10-2023'!B:Z,25,TRUE)/182.49)</f>
        <v>108.82941531042796</v>
      </c>
      <c r="K18" s="35">
        <f>ROUND(J18*I18,4)</f>
        <v>19860.28</v>
      </c>
    </row>
    <row r="19" spans="2:15" ht="15" customHeight="1">
      <c r="B19" s="37" t="str">
        <f>IF(ISBLANK(C19),0,VLOOKUP(C19,Categorias!$A$4:$B$83,2,FALSE))</f>
        <v>P8061</v>
      </c>
      <c r="C19" s="105" t="s">
        <v>35</v>
      </c>
      <c r="D19" s="105"/>
      <c r="E19" s="105"/>
      <c r="F19" s="54">
        <v>0.1</v>
      </c>
      <c r="G19" s="55">
        <f>INDEX(MO[],MATCH($B$8,MO[Descrição dos Produtos],0),MATCH(C19,MO[#Headers],0))</f>
        <v>1</v>
      </c>
      <c r="H19" s="52">
        <f t="shared" ref="H19" si="1">F19*G19*$K$7</f>
        <v>0.1</v>
      </c>
      <c r="I19" s="56">
        <f t="shared" ref="I19" si="2">H19*182.49</f>
        <v>18.249000000000002</v>
      </c>
      <c r="J19" s="53">
        <f>IF(ISBLANK(B19),0,VLOOKUP(B19,'TC 10-2023'!B:Z,25,TRUE)/182.49)</f>
        <v>174.03671434051179</v>
      </c>
      <c r="K19" s="35">
        <f t="shared" ref="K19" si="3">ROUND(J19*I19,4)</f>
        <v>3175.9960000000001</v>
      </c>
    </row>
    <row r="20" spans="2:15" ht="15" customHeight="1">
      <c r="B20" s="37"/>
      <c r="C20" s="732"/>
      <c r="D20" s="732"/>
      <c r="E20" s="732"/>
      <c r="F20" s="54"/>
      <c r="G20" s="55"/>
      <c r="H20" s="52"/>
      <c r="I20" s="56"/>
      <c r="J20" s="53"/>
      <c r="K20" s="35"/>
    </row>
    <row r="21" spans="2:15" ht="15" customHeight="1">
      <c r="B21" s="37"/>
      <c r="F21" s="58"/>
      <c r="H21" s="97"/>
      <c r="I21" s="59"/>
      <c r="J21" s="53"/>
      <c r="K21" s="35"/>
    </row>
    <row r="22" spans="2:15" ht="15" customHeight="1">
      <c r="B22" s="37"/>
      <c r="C22" s="732"/>
      <c r="D22" s="732"/>
      <c r="E22" s="732"/>
      <c r="F22" s="54"/>
      <c r="G22" s="55"/>
      <c r="H22" s="52"/>
      <c r="I22" s="56"/>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23036.275999999998</v>
      </c>
    </row>
    <row r="27" spans="2:15">
      <c r="B27" s="44" t="s">
        <v>125</v>
      </c>
      <c r="C27" s="45"/>
      <c r="D27" s="45"/>
      <c r="E27" s="345">
        <v>1</v>
      </c>
      <c r="F27" s="44" t="s">
        <v>126</v>
      </c>
      <c r="G27" s="45"/>
      <c r="H27" s="45"/>
      <c r="I27" s="45"/>
      <c r="J27" s="63"/>
      <c r="K27" s="48">
        <f>K26+K16</f>
        <v>23079.836399999997</v>
      </c>
    </row>
    <row r="28" spans="2:15">
      <c r="B28" s="44" t="s">
        <v>127</v>
      </c>
      <c r="C28" s="45"/>
      <c r="D28" s="45"/>
      <c r="E28" s="345"/>
      <c r="F28" s="44"/>
      <c r="G28" s="45"/>
      <c r="H28" s="45"/>
      <c r="I28" s="45"/>
      <c r="J28" s="63"/>
      <c r="K28" s="48">
        <f>K27/E27</f>
        <v>23079.836399999997</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tr">
        <f>Mat.Info!$A$2</f>
        <v>MTSF001</v>
      </c>
      <c r="C31" s="4" t="str">
        <f>VLOOKUP(B31,Mat.Info!A1:H3,2,FALSE)</f>
        <v>Pacote Microsoft 365 Business Basic</v>
      </c>
      <c r="G31" s="543">
        <f>IF(B31="","",VLOOKUP(B31,Mat.Info!A2:H4,6,0))</f>
        <v>1</v>
      </c>
      <c r="H31" s="106" t="s">
        <v>299</v>
      </c>
      <c r="I31" s="106">
        <f>SUM(F12:F15)*G31</f>
        <v>200.739</v>
      </c>
      <c r="J31" s="106">
        <f>IF(B31="","",VLOOKUP(B31,Mat.Info!$A:$H,8,FALSE))</f>
        <v>0.16250000000000001</v>
      </c>
      <c r="K31" s="34">
        <f>ROUND(IF(B31="","",I31*J31),4)</f>
        <v>32.620100000000001</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23112.456499999997</v>
      </c>
    </row>
    <row r="50" spans="2:11">
      <c r="B50" s="44" t="s">
        <v>144</v>
      </c>
      <c r="C50" s="74"/>
      <c r="D50" s="74"/>
      <c r="E50" s="74"/>
      <c r="F50" s="74"/>
      <c r="G50" s="74"/>
      <c r="H50" s="74"/>
      <c r="I50" s="74"/>
      <c r="J50" s="76">
        <f ca="1">Dados!$C$17</f>
        <v>0.44600000000000001</v>
      </c>
      <c r="K50" s="75">
        <f ca="1">K49*J50</f>
        <v>10308.155598999998</v>
      </c>
    </row>
    <row r="51" spans="2:11">
      <c r="B51" s="64" t="s">
        <v>145</v>
      </c>
      <c r="C51" s="45"/>
      <c r="D51" s="45"/>
      <c r="E51" s="45"/>
      <c r="F51" s="45"/>
      <c r="G51" s="45"/>
      <c r="H51" s="45"/>
      <c r="I51" s="45"/>
      <c r="J51" s="45"/>
      <c r="K51" s="48">
        <f ca="1">ROUND(K50+K49,2)</f>
        <v>33420.61</v>
      </c>
    </row>
    <row r="52" spans="2:11" ht="7.5" customHeight="1"/>
    <row r="53" spans="2:11" ht="4.5" customHeight="1"/>
  </sheetData>
  <mergeCells count="13">
    <mergeCell ref="E44:G44"/>
    <mergeCell ref="H44:J44"/>
    <mergeCell ref="C13:E13"/>
    <mergeCell ref="C18:E18"/>
    <mergeCell ref="C22:E22"/>
    <mergeCell ref="B30:F30"/>
    <mergeCell ref="C20:E2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F7433DD-0CEC-40C4-B62A-5F0AB147834A}">
          <x14:formula1>
            <xm:f>Categorias!$A$4:$A$101</xm:f>
          </x14:formula1>
          <xm:sqref>C18:E20 C22:E22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5BA5B-FC59-4B35-B8A3-40C968BF1A0E}">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'Cronograma'!$D$43</f>
        <v>1</v>
      </c>
    </row>
    <row r="8" spans="1:11">
      <c r="B8" s="719" t="str">
        <f>CONCATENATE("", "",'Alocação MO'!C11)</f>
        <v>Apoio e revisão pós Audiência Pública</v>
      </c>
      <c r="C8" s="720"/>
      <c r="D8" s="720"/>
      <c r="E8" s="720"/>
      <c r="F8" s="720"/>
      <c r="G8" s="720"/>
      <c r="H8" s="720"/>
      <c r="I8" s="18"/>
      <c r="J8" s="18" t="s">
        <v>105</v>
      </c>
      <c r="K8" s="19" t="s">
        <v>106</v>
      </c>
    </row>
    <row r="9" spans="1:11">
      <c r="B9" s="719"/>
      <c r="C9" s="720"/>
      <c r="D9" s="720"/>
      <c r="E9" s="720"/>
      <c r="F9" s="721"/>
      <c r="G9" s="721"/>
      <c r="H9" s="721"/>
      <c r="I9" s="20"/>
      <c r="J9" s="20" t="s">
        <v>107</v>
      </c>
      <c r="K9" s="21" t="s">
        <v>765</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2.25" customHeight="1">
      <c r="B12" s="33" t="str">
        <f>Equip.Info!A4</f>
        <v>EQSF002</v>
      </c>
      <c r="C12" s="730" t="str">
        <f>VLOOKUP(B12,Equip.Info!A:I,2,FALSE)</f>
        <v>Laptop completo, processador Intel Core i5, 16GB memória, Resolução 3.840x2.160 (4K), PV GPU de 4GB e Sistema Operacional.</v>
      </c>
      <c r="D12" s="730"/>
      <c r="E12" s="731"/>
      <c r="F12" s="107">
        <f>SUM(I18:I25)</f>
        <v>729.96</v>
      </c>
      <c r="G12" s="107">
        <v>1</v>
      </c>
      <c r="H12" s="107">
        <v>0</v>
      </c>
      <c r="I12" s="107">
        <f>IF(B12="","",VLOOKUP($B12,Equip.Info!$A:$I,8,FALSE))</f>
        <v>0.217</v>
      </c>
      <c r="J12" s="107">
        <f>IF(B12="","",VLOOKUP($B12,Equip.Info!$A:$I,9,FALSE))</f>
        <v>0.14369999999999999</v>
      </c>
      <c r="K12" s="118">
        <f>ROUND(F12*(G12*I12+H12*J12),4)</f>
        <v>158.40129999999999</v>
      </c>
    </row>
    <row r="13" spans="1:11" ht="29.25" customHeight="1">
      <c r="B13" s="33"/>
      <c r="C13" s="735"/>
      <c r="D13" s="735"/>
      <c r="E13" s="736"/>
      <c r="F13" s="108"/>
      <c r="G13" s="108"/>
      <c r="H13" s="108"/>
      <c r="I13" s="108" t="str">
        <f>IF(B13="","",VLOOKUP($B13,Equip.Info!$A:$I,8,FALSE))</f>
        <v/>
      </c>
      <c r="J13" s="108" t="str">
        <f>IF(B13="","",VLOOKUP($B13,Equip.Info!$A:$I,9,FALSE))</f>
        <v/>
      </c>
      <c r="K13" s="119"/>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158.40129999999999</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0.25</v>
      </c>
      <c r="G18" s="55">
        <f>INDEX(MO[],MATCH($B$8,MO[Descrição dos Produtos],0),MATCH(C18,MO[#Headers],0))</f>
        <v>1</v>
      </c>
      <c r="H18" s="52">
        <f>F18*G18*$K$7</f>
        <v>0.25</v>
      </c>
      <c r="I18" s="56">
        <f t="shared" ref="I18:I23" si="0">H18*182.49</f>
        <v>45.622500000000002</v>
      </c>
      <c r="J18" s="53">
        <f>IF(ISBLANK(B18),0,VLOOKUP(B18,'TC 10-2023'!B:Z,25,TRUE)/182.49)</f>
        <v>172.51148008110033</v>
      </c>
      <c r="K18" s="35">
        <f>ROUND(J18*I18,4)</f>
        <v>7870.4049999999997</v>
      </c>
    </row>
    <row r="19" spans="2:15" ht="15" customHeight="1">
      <c r="B19" s="37" t="str">
        <f>IF(ISBLANK(C19),0,VLOOKUP(C19,Categorias!$A$4:$B$83,2,FALSE))</f>
        <v>P8061</v>
      </c>
      <c r="C19" s="732" t="s">
        <v>35</v>
      </c>
      <c r="D19" s="732"/>
      <c r="E19" s="732"/>
      <c r="F19" s="54">
        <v>0.25</v>
      </c>
      <c r="G19" s="55">
        <f>INDEX(MO[],MATCH($B$8,MO[Descrição dos Produtos],0),MATCH(C19,MO[#Headers],0))</f>
        <v>1</v>
      </c>
      <c r="H19" s="52">
        <f t="shared" ref="H19:H23" si="1">F19*G19*$K$7</f>
        <v>0.25</v>
      </c>
      <c r="I19" s="56">
        <f t="shared" si="0"/>
        <v>45.622500000000002</v>
      </c>
      <c r="J19" s="53">
        <f>IF(ISBLANK(B19),0,VLOOKUP(B19,'TC 10-2023'!B:Z,25,TRUE)/182.49)</f>
        <v>174.03671434051179</v>
      </c>
      <c r="K19" s="35">
        <f t="shared" ref="K19:K23" si="2">ROUND(J19*I19,4)</f>
        <v>7939.99</v>
      </c>
    </row>
    <row r="20" spans="2:15" ht="15" customHeight="1">
      <c r="B20" s="37" t="str">
        <f>IF(ISBLANK(C20),0,VLOOKUP(C20,Categorias!$A$4:$B$83,2,FALSE))</f>
        <v>P8003</v>
      </c>
      <c r="C20" s="732" t="s">
        <v>3</v>
      </c>
      <c r="D20" s="732"/>
      <c r="E20" s="732"/>
      <c r="F20" s="54">
        <v>1</v>
      </c>
      <c r="G20" s="55">
        <f>INDEX(MO[],MATCH($B$8,MO[Descrição dos Produtos],0),MATCH(C20,MO[#Headers],0))</f>
        <v>1</v>
      </c>
      <c r="H20" s="52">
        <f t="shared" si="1"/>
        <v>1</v>
      </c>
      <c r="I20" s="56">
        <f t="shared" si="0"/>
        <v>182.49</v>
      </c>
      <c r="J20" s="53">
        <f>IF(ISBLANK(B20),0,VLOOKUP(B20,'TC 10-2023'!B:Z,25,TRUE)/182.49)</f>
        <v>105.29289276124719</v>
      </c>
      <c r="K20" s="35">
        <f t="shared" si="2"/>
        <v>19214.900000000001</v>
      </c>
    </row>
    <row r="21" spans="2:15" ht="15" customHeight="1">
      <c r="B21" s="37" t="str">
        <f>IF(ISBLANK(C21),0,VLOOKUP(C21,Categorias!$A$4:$B$83,2,FALSE))</f>
        <v>P8047</v>
      </c>
      <c r="C21" s="105" t="s">
        <v>27</v>
      </c>
      <c r="D21" s="105"/>
      <c r="E21" s="105"/>
      <c r="F21" s="54">
        <v>1</v>
      </c>
      <c r="G21" s="55">
        <f>INDEX(MO[],MATCH($B$8,MO[Descrição dos Produtos],0),MATCH(C21,MO[#Headers],0))</f>
        <v>1</v>
      </c>
      <c r="H21" s="52">
        <f t="shared" si="1"/>
        <v>1</v>
      </c>
      <c r="I21" s="56">
        <f t="shared" si="0"/>
        <v>182.49</v>
      </c>
      <c r="J21" s="53">
        <f>IF(ISBLANK(B21),0,VLOOKUP(B21,'TC 10-2023'!B:Z,25,TRUE)/182.49)</f>
        <v>108.82941531042796</v>
      </c>
      <c r="K21" s="35">
        <f t="shared" si="2"/>
        <v>19860.28</v>
      </c>
    </row>
    <row r="22" spans="2:15">
      <c r="B22" s="37" t="str">
        <f>IF(ISBLANK(C22),0,VLOOKUP(C22,Categorias!$A$4:$B$83,2,FALSE))</f>
        <v>P8060</v>
      </c>
      <c r="C22" s="105" t="s">
        <v>34</v>
      </c>
      <c r="D22" s="105"/>
      <c r="E22" s="105"/>
      <c r="F22" s="54">
        <v>0.5</v>
      </c>
      <c r="G22" s="55">
        <f>INDEX(MO[],MATCH($B$8,MO[Descrição dos Produtos],0),MATCH(C22,MO[#Headers],0))</f>
        <v>1</v>
      </c>
      <c r="H22" s="52">
        <f t="shared" si="1"/>
        <v>0.5</v>
      </c>
      <c r="I22" s="56">
        <f t="shared" si="0"/>
        <v>91.245000000000005</v>
      </c>
      <c r="J22" s="53">
        <f>IF(ISBLANK(B22),0,VLOOKUP(B22,'TC 10-2023'!B:Z,25,TRUE)/182.49)</f>
        <v>207.71921749136939</v>
      </c>
      <c r="K22" s="35">
        <f t="shared" si="2"/>
        <v>18953.34</v>
      </c>
    </row>
    <row r="23" spans="2:15">
      <c r="B23" s="37" t="str">
        <f>IF(ISBLANK(C23),0,VLOOKUP(C23,Categorias!$A$4:$B$83,2,FALSE))</f>
        <v>P8067</v>
      </c>
      <c r="C23" s="105" t="s">
        <v>41</v>
      </c>
      <c r="D23" s="105"/>
      <c r="E23" s="105"/>
      <c r="F23" s="54">
        <v>0.5</v>
      </c>
      <c r="G23" s="55">
        <f>INDEX(MO[],MATCH($B$8,MO[Descrição dos Produtos],0),MATCH(C23,MO[#Headers],0))</f>
        <v>2</v>
      </c>
      <c r="H23" s="52">
        <f t="shared" si="1"/>
        <v>1</v>
      </c>
      <c r="I23" s="56">
        <f t="shared" si="0"/>
        <v>182.49</v>
      </c>
      <c r="J23" s="53">
        <f>IF(ISBLANK(B23),0,VLOOKUP(B23,'TC 10-2023'!B:Z,25,TRUE)/182.49)</f>
        <v>151.26779549564358</v>
      </c>
      <c r="K23" s="35">
        <f t="shared" si="2"/>
        <v>27604.86</v>
      </c>
    </row>
    <row r="24" spans="2:15">
      <c r="B24" s="37"/>
      <c r="C24" s="732"/>
      <c r="D24" s="732"/>
      <c r="E24" s="732"/>
      <c r="F24" s="54"/>
      <c r="G24" s="55"/>
      <c r="H24" s="52"/>
      <c r="I24" s="56"/>
      <c r="J24" s="53"/>
      <c r="K24" s="35"/>
    </row>
    <row r="25" spans="2:15" ht="15" customHeight="1">
      <c r="B25" s="37"/>
      <c r="C25" s="5"/>
      <c r="D25" s="5"/>
      <c r="E25" s="5"/>
      <c r="F25" s="60"/>
      <c r="G25" s="5"/>
      <c r="H25" s="60"/>
      <c r="I25" s="61"/>
      <c r="J25" s="53"/>
      <c r="K25" s="42"/>
    </row>
    <row r="26" spans="2:15">
      <c r="B26" s="44" t="s">
        <v>124</v>
      </c>
      <c r="C26" s="45"/>
      <c r="D26" s="45"/>
      <c r="E26" s="45"/>
      <c r="F26" s="46"/>
      <c r="G26" s="46"/>
      <c r="H26" s="46"/>
      <c r="I26" s="46"/>
      <c r="J26" s="47"/>
      <c r="K26" s="48">
        <f>SUM(K18:K25)</f>
        <v>101443.77499999999</v>
      </c>
    </row>
    <row r="27" spans="2:15">
      <c r="B27" s="44" t="s">
        <v>125</v>
      </c>
      <c r="C27" s="45"/>
      <c r="D27" s="45"/>
      <c r="E27" s="345">
        <v>1</v>
      </c>
      <c r="F27" s="44" t="s">
        <v>126</v>
      </c>
      <c r="G27" s="45"/>
      <c r="H27" s="45"/>
      <c r="I27" s="45"/>
      <c r="J27" s="63"/>
      <c r="K27" s="48">
        <f>K26+K16</f>
        <v>101602.17629999999</v>
      </c>
    </row>
    <row r="28" spans="2:15">
      <c r="B28" s="44" t="s">
        <v>127</v>
      </c>
      <c r="C28" s="45"/>
      <c r="D28" s="45"/>
      <c r="E28" s="345"/>
      <c r="F28" s="44"/>
      <c r="G28" s="45"/>
      <c r="H28" s="45"/>
      <c r="I28" s="45"/>
      <c r="J28" s="63"/>
      <c r="K28" s="48">
        <f>K27/E27</f>
        <v>101602.17629999999</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ht="15" customHeight="1">
      <c r="B31" s="37" t="str">
        <f>Mat.Info!$A$2</f>
        <v>MTSF001</v>
      </c>
      <c r="C31" s="4" t="str">
        <f>VLOOKUP(B31,Mat.Info!A1:H3,2,FALSE)</f>
        <v>Pacote Microsoft 365 Business Basic</v>
      </c>
      <c r="G31" s="543">
        <f>IF(B31="","",VLOOKUP(B31,Mat.Info!A2:H4,6,0))</f>
        <v>1</v>
      </c>
      <c r="H31" s="106" t="s">
        <v>299</v>
      </c>
      <c r="I31" s="106">
        <f>SUM(F12:F15)*G31</f>
        <v>729.96</v>
      </c>
      <c r="J31" s="106">
        <f>IF(B31="","",VLOOKUP(B31,Mat.Info!$A:$H,8,FALSE))</f>
        <v>0.16250000000000001</v>
      </c>
      <c r="K31" s="34">
        <f>ROUND(IF(B31="","",I31*J31),4)</f>
        <v>118.6185</v>
      </c>
    </row>
    <row r="32" spans="2:15">
      <c r="B32" s="37"/>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118.6185</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101720.79479999999</v>
      </c>
    </row>
    <row r="50" spans="2:11">
      <c r="B50" s="44" t="s">
        <v>144</v>
      </c>
      <c r="C50" s="74"/>
      <c r="D50" s="74"/>
      <c r="E50" s="74"/>
      <c r="F50" s="74"/>
      <c r="G50" s="74"/>
      <c r="H50" s="74"/>
      <c r="I50" s="74"/>
      <c r="J50" s="76">
        <f ca="1">Dados!C17</f>
        <v>0.44600000000000001</v>
      </c>
      <c r="K50" s="75">
        <f ca="1">K49*J50</f>
        <v>45367.474480799996</v>
      </c>
    </row>
    <row r="51" spans="2:11">
      <c r="B51" s="64" t="s">
        <v>145</v>
      </c>
      <c r="C51" s="45"/>
      <c r="D51" s="45"/>
      <c r="E51" s="45"/>
      <c r="F51" s="45"/>
      <c r="G51" s="45"/>
      <c r="H51" s="45"/>
      <c r="I51" s="45"/>
      <c r="J51" s="45"/>
      <c r="K51" s="48">
        <f ca="1">ROUND(K50+K49,2)</f>
        <v>147088.26999999999</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7E9C-0EE3-4792-AE8A-EB3A97D25513}">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'Cronograma'!$D$44</f>
        <v>1</v>
      </c>
    </row>
    <row r="8" spans="1:11">
      <c r="B8" s="719" t="str">
        <f>CONCATENATE("", "",'Alocação MO'!C12)</f>
        <v>Apoio a subsídios a questionamentos do órgão de controle externo</v>
      </c>
      <c r="C8" s="720"/>
      <c r="D8" s="720"/>
      <c r="E8" s="720"/>
      <c r="F8" s="720"/>
      <c r="G8" s="720"/>
      <c r="H8" s="720"/>
      <c r="I8" s="18"/>
      <c r="J8" s="18" t="s">
        <v>105</v>
      </c>
      <c r="K8" s="19" t="s">
        <v>106</v>
      </c>
    </row>
    <row r="9" spans="1:11">
      <c r="B9" s="719"/>
      <c r="C9" s="720"/>
      <c r="D9" s="720"/>
      <c r="E9" s="720"/>
      <c r="F9" s="721"/>
      <c r="G9" s="721"/>
      <c r="H9" s="721"/>
      <c r="I9" s="20"/>
      <c r="J9" s="20" t="s">
        <v>107</v>
      </c>
      <c r="K9" s="21" t="s">
        <v>766</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2.25" customHeight="1">
      <c r="B12" s="33" t="str">
        <f>Equip.Info!A4</f>
        <v>EQSF002</v>
      </c>
      <c r="C12" s="730" t="str">
        <f>VLOOKUP(B12,Equip.Info!A:I,2,FALSE)</f>
        <v>Laptop completo, processador Intel Core i5, 16GB memória, Resolução 3.840x2.160 (4K), PV GPU de 4GB e Sistema Operacional.</v>
      </c>
      <c r="D12" s="730"/>
      <c r="E12" s="731"/>
      <c r="F12" s="107">
        <f>SUM(I18:I25)</f>
        <v>374.10450000000003</v>
      </c>
      <c r="G12" s="107">
        <v>1</v>
      </c>
      <c r="H12" s="107">
        <v>0</v>
      </c>
      <c r="I12" s="107">
        <f>IF(B12="","",VLOOKUP($B12,Equip.Info!$A:$I,8,FALSE))</f>
        <v>0.217</v>
      </c>
      <c r="J12" s="107">
        <f>IF(B12="","",VLOOKUP($B12,Equip.Info!$A:$I,9,FALSE))</f>
        <v>0.14369999999999999</v>
      </c>
      <c r="K12" s="118">
        <f>ROUND(F12*(G12*I12+H12*J12),4)</f>
        <v>81.180700000000002</v>
      </c>
    </row>
    <row r="13" spans="1:11" ht="29.25" customHeight="1">
      <c r="B13" s="33"/>
      <c r="C13" s="735"/>
      <c r="D13" s="735"/>
      <c r="E13" s="736"/>
      <c r="F13" s="108"/>
      <c r="G13" s="108"/>
      <c r="H13" s="108"/>
      <c r="I13" s="108" t="str">
        <f>IF(B13="","",VLOOKUP($B13,Equip.Info!$A:$I,8,FALSE))</f>
        <v/>
      </c>
      <c r="J13" s="108" t="str">
        <f>IF(B13="","",VLOOKUP($B13,Equip.Info!$A:$I,9,FALSE))</f>
        <v/>
      </c>
      <c r="K13" s="119"/>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81.180700000000002</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0.15</v>
      </c>
      <c r="G18" s="55">
        <f>INDEX(MO[],MATCH($B$8,MO[Descrição dos Produtos],0),MATCH(C18,MO[#Headers],0))</f>
        <v>1</v>
      </c>
      <c r="H18" s="52">
        <f>F18*G18*$K$7</f>
        <v>0.15</v>
      </c>
      <c r="I18" s="56">
        <f t="shared" ref="I18:I23" si="0">H18*182.49</f>
        <v>27.3735</v>
      </c>
      <c r="J18" s="53">
        <f>IF(ISBLANK(B18),0,VLOOKUP(B18,'TC 10-2023'!B:Z,25,TRUE)/182.49)</f>
        <v>172.51148008110033</v>
      </c>
      <c r="K18" s="35">
        <f>ROUND(J18*I18,4)</f>
        <v>4722.2430000000004</v>
      </c>
    </row>
    <row r="19" spans="2:15" ht="15" customHeight="1">
      <c r="B19" s="37" t="str">
        <f>IF(ISBLANK(C19),0,VLOOKUP(C19,Categorias!$A$4:$B$83,2,FALSE))</f>
        <v>P8061</v>
      </c>
      <c r="C19" s="732" t="s">
        <v>35</v>
      </c>
      <c r="D19" s="732"/>
      <c r="E19" s="732"/>
      <c r="F19" s="54">
        <v>0.15</v>
      </c>
      <c r="G19" s="55">
        <f>INDEX(MO[],MATCH($B$8,MO[Descrição dos Produtos],0),MATCH(C19,MO[#Headers],0))</f>
        <v>1</v>
      </c>
      <c r="H19" s="52">
        <f t="shared" ref="H19:H23" si="1">F19*G19*$K$7</f>
        <v>0.15</v>
      </c>
      <c r="I19" s="56">
        <f t="shared" si="0"/>
        <v>27.3735</v>
      </c>
      <c r="J19" s="53">
        <f>IF(ISBLANK(B19),0,VLOOKUP(B19,'TC 10-2023'!B:Z,25,TRUE)/182.49)</f>
        <v>174.03671434051179</v>
      </c>
      <c r="K19" s="35">
        <f t="shared" ref="K19:K23" si="2">ROUND(J19*I19,4)</f>
        <v>4763.9939999999997</v>
      </c>
    </row>
    <row r="20" spans="2:15" ht="15" customHeight="1">
      <c r="B20" s="37" t="str">
        <f>IF(ISBLANK(C20),0,VLOOKUP(C20,Categorias!$A$4:$B$83,2,FALSE))</f>
        <v>P8003</v>
      </c>
      <c r="C20" s="732" t="s">
        <v>3</v>
      </c>
      <c r="D20" s="732"/>
      <c r="E20" s="732"/>
      <c r="F20" s="54">
        <v>0.5</v>
      </c>
      <c r="G20" s="55">
        <f>INDEX(MO[],MATCH($B$8,MO[Descrição dos Produtos],0),MATCH(C20,MO[#Headers],0))</f>
        <v>1</v>
      </c>
      <c r="H20" s="52">
        <f t="shared" si="1"/>
        <v>0.5</v>
      </c>
      <c r="I20" s="56">
        <f t="shared" si="0"/>
        <v>91.245000000000005</v>
      </c>
      <c r="J20" s="53">
        <f>IF(ISBLANK(B20),0,VLOOKUP(B20,'TC 10-2023'!B:Z,25,TRUE)/182.49)</f>
        <v>105.29289276124719</v>
      </c>
      <c r="K20" s="35">
        <f t="shared" si="2"/>
        <v>9607.4500000000007</v>
      </c>
    </row>
    <row r="21" spans="2:15" ht="15" customHeight="1">
      <c r="B21" s="37" t="str">
        <f>IF(ISBLANK(C21),0,VLOOKUP(C21,Categorias!$A$4:$B$83,2,FALSE))</f>
        <v>P8047</v>
      </c>
      <c r="C21" s="105" t="s">
        <v>27</v>
      </c>
      <c r="D21" s="105"/>
      <c r="E21" s="105"/>
      <c r="F21" s="54">
        <v>0.5</v>
      </c>
      <c r="G21" s="55">
        <f>INDEX(MO[],MATCH($B$8,MO[Descrição dos Produtos],0),MATCH(C21,MO[#Headers],0))</f>
        <v>1</v>
      </c>
      <c r="H21" s="52">
        <f t="shared" si="1"/>
        <v>0.5</v>
      </c>
      <c r="I21" s="56">
        <f t="shared" si="0"/>
        <v>91.245000000000005</v>
      </c>
      <c r="J21" s="53">
        <f>IF(ISBLANK(B21),0,VLOOKUP(B21,'TC 10-2023'!B:Z,25,TRUE)/182.49)</f>
        <v>108.82941531042796</v>
      </c>
      <c r="K21" s="35">
        <f t="shared" si="2"/>
        <v>9930.14</v>
      </c>
    </row>
    <row r="22" spans="2:15">
      <c r="B22" s="37" t="str">
        <f>IF(ISBLANK(C22),0,VLOOKUP(C22,Categorias!$A$4:$B$83,2,FALSE))</f>
        <v>P8060</v>
      </c>
      <c r="C22" s="105" t="s">
        <v>34</v>
      </c>
      <c r="D22" s="105"/>
      <c r="E22" s="105"/>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5" t="s">
        <v>41</v>
      </c>
      <c r="D23" s="105"/>
      <c r="E23" s="105"/>
      <c r="F23" s="54">
        <v>0.25</v>
      </c>
      <c r="G23" s="55">
        <f>INDEX(MO[],MATCH($B$8,MO[Descrição dos Produtos],0),MATCH(C23,MO[#Headers],0))</f>
        <v>2</v>
      </c>
      <c r="H23" s="52">
        <f t="shared" si="1"/>
        <v>0.5</v>
      </c>
      <c r="I23" s="56">
        <f t="shared" si="0"/>
        <v>91.245000000000005</v>
      </c>
      <c r="J23" s="53">
        <f>IF(ISBLANK(B23),0,VLOOKUP(B23,'TC 10-2023'!B:Z,25,TRUE)/182.49)</f>
        <v>151.26779549564358</v>
      </c>
      <c r="K23" s="35">
        <f t="shared" si="2"/>
        <v>13802.43</v>
      </c>
    </row>
    <row r="24" spans="2:15">
      <c r="B24" s="37"/>
      <c r="C24" s="732"/>
      <c r="D24" s="732"/>
      <c r="E24" s="73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52302.927000000003</v>
      </c>
    </row>
    <row r="27" spans="2:15">
      <c r="B27" s="44" t="s">
        <v>125</v>
      </c>
      <c r="C27" s="45"/>
      <c r="D27" s="45"/>
      <c r="E27" s="345">
        <v>1</v>
      </c>
      <c r="F27" s="44" t="s">
        <v>126</v>
      </c>
      <c r="G27" s="45"/>
      <c r="H27" s="45"/>
      <c r="I27" s="45"/>
      <c r="J27" s="63"/>
      <c r="K27" s="48">
        <f>K26+K16</f>
        <v>52384.1077</v>
      </c>
    </row>
    <row r="28" spans="2:15">
      <c r="B28" s="44" t="s">
        <v>127</v>
      </c>
      <c r="C28" s="45"/>
      <c r="D28" s="45"/>
      <c r="E28" s="345"/>
      <c r="F28" s="44"/>
      <c r="G28" s="45"/>
      <c r="H28" s="45"/>
      <c r="I28" s="45"/>
      <c r="J28" s="63"/>
      <c r="K28" s="48">
        <f>K27/E27</f>
        <v>52384.1077</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ht="15" customHeight="1">
      <c r="B31" s="37" t="str">
        <f>Mat.Info!$A$2</f>
        <v>MTSF001</v>
      </c>
      <c r="C31" s="4" t="str">
        <f>VLOOKUP(B31,Mat.Info!A1:H3,2,FALSE)</f>
        <v>Pacote Microsoft 365 Business Basic</v>
      </c>
      <c r="G31" s="543">
        <f>IF(B31="","",VLOOKUP(B31,Mat.Info!A2:H4,6,0))</f>
        <v>1</v>
      </c>
      <c r="H31" s="106" t="s">
        <v>299</v>
      </c>
      <c r="I31" s="106">
        <f>SUM(F12:F15)*G31</f>
        <v>374.10450000000003</v>
      </c>
      <c r="J31" s="106">
        <f>IF(B31="","",VLOOKUP(B31,Mat.Info!$A:$H,8,FALSE))</f>
        <v>0.16250000000000001</v>
      </c>
      <c r="K31" s="34">
        <f>ROUND(IF(B31="","",I31*J31),4)</f>
        <v>60.792000000000002</v>
      </c>
    </row>
    <row r="32" spans="2:15">
      <c r="B32" s="37"/>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60.792000000000002</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52444.899700000002</v>
      </c>
    </row>
    <row r="50" spans="2:11">
      <c r="B50" s="44" t="s">
        <v>144</v>
      </c>
      <c r="C50" s="74"/>
      <c r="D50" s="74"/>
      <c r="E50" s="74"/>
      <c r="F50" s="74"/>
      <c r="G50" s="74"/>
      <c r="H50" s="74"/>
      <c r="I50" s="74"/>
      <c r="J50" s="76">
        <f ca="1">Dados!C17</f>
        <v>0.44600000000000001</v>
      </c>
      <c r="K50" s="75">
        <f ca="1">K49*J50</f>
        <v>23390.4252662</v>
      </c>
    </row>
    <row r="51" spans="2:11">
      <c r="B51" s="64" t="s">
        <v>145</v>
      </c>
      <c r="C51" s="45"/>
      <c r="D51" s="45"/>
      <c r="E51" s="45"/>
      <c r="F51" s="45"/>
      <c r="G51" s="45"/>
      <c r="H51" s="45"/>
      <c r="I51" s="45"/>
      <c r="J51" s="45"/>
      <c r="K51" s="48">
        <f ca="1">ROUND(K50+K49,2)</f>
        <v>75835.320000000007</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E3DAD-C3BD-4952-A429-D97B5C36E63A}">
  <sheetPr>
    <tabColor rgb="FF002060"/>
    <pageSetUpPr fitToPage="1"/>
  </sheetPr>
  <dimension ref="A1:AU53"/>
  <sheetViews>
    <sheetView showGridLines="0" tabSelected="1" zoomScaleNormal="100" workbookViewId="0">
      <selection activeCell="E2" sqref="E2"/>
    </sheetView>
  </sheetViews>
  <sheetFormatPr defaultRowHeight="12.75"/>
  <cols>
    <col min="1" max="1" width="4.5703125" style="362" bestFit="1" customWidth="1"/>
    <col min="2" max="2" width="5.85546875" style="141" customWidth="1"/>
    <col min="3" max="3" width="5.140625" style="141" customWidth="1"/>
    <col min="4" max="4" width="41.42578125" style="141" customWidth="1"/>
    <col min="5" max="5" width="50.7109375" style="141" customWidth="1"/>
    <col min="6" max="6" width="18" style="182" hidden="1" customWidth="1"/>
    <col min="7" max="7" width="16.7109375" style="141" customWidth="1"/>
    <col min="8" max="8" width="10.5703125" style="369" customWidth="1"/>
    <col min="9" max="11" width="7" style="141" customWidth="1"/>
    <col min="12" max="12" width="9.28515625" style="141" customWidth="1"/>
    <col min="13" max="19" width="4.140625" style="366" customWidth="1"/>
    <col min="20" max="21" width="4.140625" style="140" customWidth="1"/>
    <col min="22" max="45" width="4.140625" style="366" customWidth="1"/>
    <col min="46" max="16384" width="9.140625" style="141"/>
  </cols>
  <sheetData>
    <row r="1" spans="1:47" s="120" customFormat="1" ht="15"/>
    <row r="2" spans="1:47" s="120" customFormat="1" ht="54" customHeight="1"/>
    <row r="3" spans="1:47">
      <c r="G3" s="362"/>
      <c r="H3" s="363"/>
      <c r="I3" s="364"/>
      <c r="J3" s="365"/>
      <c r="K3" s="365"/>
      <c r="L3" s="365"/>
      <c r="T3" s="366"/>
      <c r="U3" s="366"/>
    </row>
    <row r="4" spans="1:47" ht="29.25" customHeight="1">
      <c r="B4" s="671" t="s">
        <v>741</v>
      </c>
      <c r="C4" s="671"/>
      <c r="D4" s="671"/>
      <c r="E4" s="671"/>
      <c r="F4" s="671"/>
      <c r="G4" s="671"/>
      <c r="H4" s="671"/>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row>
    <row r="5" spans="1:47" ht="15">
      <c r="B5" s="592"/>
      <c r="C5" s="592"/>
      <c r="D5" s="593"/>
      <c r="E5" s="593"/>
      <c r="F5" s="592"/>
      <c r="G5" s="593"/>
      <c r="H5" s="594"/>
      <c r="I5" s="593"/>
      <c r="J5" s="593"/>
      <c r="K5" s="593"/>
      <c r="L5" s="593"/>
      <c r="M5" s="595"/>
      <c r="N5" s="595"/>
      <c r="O5" s="595"/>
      <c r="P5" s="595"/>
      <c r="Q5" s="595"/>
      <c r="R5" s="595"/>
      <c r="S5" s="595"/>
      <c r="T5" s="595"/>
      <c r="U5" s="595"/>
      <c r="V5" s="595"/>
      <c r="W5" s="595"/>
      <c r="X5" s="595"/>
      <c r="Y5" s="595"/>
      <c r="Z5" s="595"/>
      <c r="AA5" s="596"/>
      <c r="AB5" s="596"/>
      <c r="AC5" s="596"/>
      <c r="AD5" s="596"/>
      <c r="AE5" s="596"/>
      <c r="AF5" s="596"/>
      <c r="AG5" s="596"/>
      <c r="AH5" s="596"/>
      <c r="AI5" s="596"/>
      <c r="AJ5" s="596"/>
      <c r="AK5" s="596"/>
      <c r="AL5" s="596"/>
      <c r="AM5" s="596"/>
      <c r="AN5" s="596"/>
      <c r="AO5" s="596"/>
      <c r="AP5" s="596"/>
      <c r="AQ5" s="596"/>
      <c r="AR5" s="596"/>
      <c r="AS5" s="596"/>
    </row>
    <row r="6" spans="1:47" ht="41.25" customHeight="1">
      <c r="B6" s="678" t="s">
        <v>771</v>
      </c>
      <c r="C6" s="679"/>
      <c r="D6" s="675" t="s">
        <v>335</v>
      </c>
      <c r="E6" s="675" t="s">
        <v>776</v>
      </c>
      <c r="F6" s="349"/>
      <c r="G6" s="675" t="s">
        <v>336</v>
      </c>
      <c r="H6" s="676" t="s">
        <v>164</v>
      </c>
      <c r="I6" s="677" t="s">
        <v>337</v>
      </c>
      <c r="J6" s="677"/>
      <c r="K6" s="677"/>
      <c r="L6" s="392" t="s">
        <v>572</v>
      </c>
      <c r="M6" s="672" t="s">
        <v>571</v>
      </c>
      <c r="N6" s="673"/>
      <c r="O6" s="673"/>
      <c r="P6" s="673"/>
      <c r="Q6" s="673"/>
      <c r="R6" s="673"/>
      <c r="S6" s="673"/>
      <c r="T6" s="673"/>
      <c r="U6" s="673"/>
      <c r="V6" s="673"/>
      <c r="W6" s="673"/>
      <c r="X6" s="673"/>
      <c r="Y6" s="674"/>
      <c r="Z6" s="574" t="s">
        <v>265</v>
      </c>
      <c r="AA6" s="672" t="s">
        <v>697</v>
      </c>
      <c r="AB6" s="673"/>
      <c r="AC6" s="674"/>
      <c r="AD6" s="672" t="s">
        <v>698</v>
      </c>
      <c r="AE6" s="673"/>
      <c r="AF6" s="674"/>
      <c r="AG6" s="672" t="s">
        <v>699</v>
      </c>
      <c r="AH6" s="674"/>
      <c r="AI6" s="672" t="s">
        <v>700</v>
      </c>
      <c r="AJ6" s="673"/>
      <c r="AK6" s="674"/>
      <c r="AL6" s="575" t="s">
        <v>701</v>
      </c>
      <c r="AM6" s="574" t="s">
        <v>265</v>
      </c>
      <c r="AN6" s="575" t="s">
        <v>702</v>
      </c>
      <c r="AO6" s="668" t="s">
        <v>703</v>
      </c>
      <c r="AP6" s="669"/>
      <c r="AQ6" s="670"/>
      <c r="AR6" s="575" t="s">
        <v>704</v>
      </c>
      <c r="AS6" s="575" t="s">
        <v>705</v>
      </c>
    </row>
    <row r="7" spans="1:47" ht="18.75" customHeight="1">
      <c r="B7" s="680"/>
      <c r="C7" s="681"/>
      <c r="D7" s="675"/>
      <c r="E7" s="675"/>
      <c r="F7" s="349"/>
      <c r="G7" s="675"/>
      <c r="H7" s="676"/>
      <c r="I7" s="376" t="s">
        <v>338</v>
      </c>
      <c r="J7" s="393" t="s">
        <v>339</v>
      </c>
      <c r="K7" s="376" t="s">
        <v>577</v>
      </c>
      <c r="L7" s="376" t="s">
        <v>339</v>
      </c>
      <c r="M7" s="350">
        <v>1</v>
      </c>
      <c r="N7" s="350">
        <v>2</v>
      </c>
      <c r="O7" s="350">
        <v>3</v>
      </c>
      <c r="P7" s="350">
        <v>4</v>
      </c>
      <c r="Q7" s="350">
        <v>5</v>
      </c>
      <c r="R7" s="350">
        <v>6</v>
      </c>
      <c r="S7" s="350">
        <v>7</v>
      </c>
      <c r="T7" s="350">
        <v>8</v>
      </c>
      <c r="U7" s="350">
        <v>9</v>
      </c>
      <c r="V7" s="350">
        <v>10</v>
      </c>
      <c r="W7" s="350">
        <v>11</v>
      </c>
      <c r="X7" s="350">
        <v>12</v>
      </c>
      <c r="Y7" s="350">
        <v>13</v>
      </c>
      <c r="Z7" s="350">
        <v>14</v>
      </c>
      <c r="AA7" s="350">
        <v>15</v>
      </c>
      <c r="AB7" s="350">
        <v>16</v>
      </c>
      <c r="AC7" s="350">
        <v>17</v>
      </c>
      <c r="AD7" s="350">
        <v>18</v>
      </c>
      <c r="AE7" s="350">
        <v>19</v>
      </c>
      <c r="AF7" s="350">
        <v>20</v>
      </c>
      <c r="AG7" s="350">
        <v>21</v>
      </c>
      <c r="AH7" s="350">
        <v>22</v>
      </c>
      <c r="AI7" s="350">
        <v>23</v>
      </c>
      <c r="AJ7" s="350">
        <v>24</v>
      </c>
      <c r="AK7" s="350">
        <v>25</v>
      </c>
      <c r="AL7" s="350">
        <v>26</v>
      </c>
      <c r="AM7" s="350">
        <v>27</v>
      </c>
      <c r="AN7" s="350">
        <v>28</v>
      </c>
      <c r="AO7" s="350">
        <v>29</v>
      </c>
      <c r="AP7" s="350">
        <v>30</v>
      </c>
      <c r="AQ7" s="350">
        <v>31</v>
      </c>
      <c r="AR7" s="350">
        <v>32</v>
      </c>
      <c r="AS7" s="350">
        <v>33</v>
      </c>
    </row>
    <row r="8" spans="1:47" ht="21.75" customHeight="1">
      <c r="B8" s="691">
        <f>Resumo!B11</f>
        <v>1</v>
      </c>
      <c r="C8" s="692"/>
      <c r="D8" s="622" t="str">
        <f>'Alocação MO'!C4</f>
        <v>Plano de Trabalho</v>
      </c>
      <c r="E8" s="576" t="s">
        <v>524</v>
      </c>
      <c r="F8" s="577">
        <f ca="1">G8</f>
        <v>251896.57</v>
      </c>
      <c r="G8" s="578">
        <f ca="1">ROUND(VLOOKUP(B8,Recursos!B:J,9,FALSE)*H8,2)</f>
        <v>251896.57</v>
      </c>
      <c r="H8" s="579">
        <v>1</v>
      </c>
      <c r="I8" s="372">
        <v>1</v>
      </c>
      <c r="J8" s="372">
        <v>1</v>
      </c>
      <c r="K8" s="373">
        <f>(J8+I8)-1</f>
        <v>1</v>
      </c>
      <c r="L8" s="374">
        <v>1</v>
      </c>
      <c r="M8" s="394">
        <f t="shared" ref="M8:V32" si="0">IF(M$7=$K8,0,IF($K8+$L8=M$7,1,IF(AND(M$7&lt;=$K8+$L8,M$7&gt;=$I8),0,"")))</f>
        <v>0</v>
      </c>
      <c r="N8" s="395">
        <f t="shared" si="0"/>
        <v>1</v>
      </c>
      <c r="O8" s="395" t="str">
        <f t="shared" si="0"/>
        <v/>
      </c>
      <c r="P8" s="395" t="str">
        <f t="shared" si="0"/>
        <v/>
      </c>
      <c r="Q8" s="395" t="str">
        <f t="shared" si="0"/>
        <v/>
      </c>
      <c r="R8" s="395" t="str">
        <f t="shared" si="0"/>
        <v/>
      </c>
      <c r="S8" s="395" t="str">
        <f t="shared" si="0"/>
        <v/>
      </c>
      <c r="T8" s="395" t="str">
        <f t="shared" si="0"/>
        <v/>
      </c>
      <c r="U8" s="395" t="str">
        <f t="shared" si="0"/>
        <v/>
      </c>
      <c r="V8" s="395" t="str">
        <f t="shared" si="0"/>
        <v/>
      </c>
      <c r="W8" s="395" t="str">
        <f t="shared" ref="W8:AF32" si="1">IF(W$7=$K8,0,IF($K8+$L8=W$7,1,IF(AND(W$7&lt;=$K8+$L8,W$7&gt;=$I8),0,"")))</f>
        <v/>
      </c>
      <c r="X8" s="395" t="str">
        <f t="shared" si="1"/>
        <v/>
      </c>
      <c r="Y8" s="395" t="str">
        <f t="shared" si="1"/>
        <v/>
      </c>
      <c r="Z8" s="395" t="str">
        <f t="shared" si="1"/>
        <v/>
      </c>
      <c r="AA8" s="395" t="str">
        <f t="shared" si="1"/>
        <v/>
      </c>
      <c r="AB8" s="395" t="str">
        <f t="shared" si="1"/>
        <v/>
      </c>
      <c r="AC8" s="395" t="str">
        <f t="shared" si="1"/>
        <v/>
      </c>
      <c r="AD8" s="395" t="str">
        <f t="shared" si="1"/>
        <v/>
      </c>
      <c r="AE8" s="395" t="str">
        <f t="shared" si="1"/>
        <v/>
      </c>
      <c r="AF8" s="395" t="str">
        <f t="shared" si="1"/>
        <v/>
      </c>
      <c r="AG8" s="395" t="str">
        <f t="shared" ref="AG8:AS27" si="2">IF(AG$7=$K8,0,IF($K8+$L8=AG$7,1,IF(AND(AG$7&lt;=$K8+$L8,AG$7&gt;=$I8),0,"")))</f>
        <v/>
      </c>
      <c r="AH8" s="395" t="str">
        <f t="shared" si="2"/>
        <v/>
      </c>
      <c r="AI8" s="395" t="str">
        <f t="shared" si="2"/>
        <v/>
      </c>
      <c r="AJ8" s="395" t="str">
        <f t="shared" si="2"/>
        <v/>
      </c>
      <c r="AK8" s="395" t="str">
        <f t="shared" si="2"/>
        <v/>
      </c>
      <c r="AL8" s="395" t="str">
        <f t="shared" si="2"/>
        <v/>
      </c>
      <c r="AM8" s="395" t="str">
        <f t="shared" si="2"/>
        <v/>
      </c>
      <c r="AN8" s="395" t="str">
        <f t="shared" si="2"/>
        <v/>
      </c>
      <c r="AO8" s="395" t="str">
        <f t="shared" si="2"/>
        <v/>
      </c>
      <c r="AP8" s="395" t="str">
        <f t="shared" si="2"/>
        <v/>
      </c>
      <c r="AQ8" s="395" t="str">
        <f t="shared" si="2"/>
        <v/>
      </c>
      <c r="AR8" s="395" t="str">
        <f t="shared" si="2"/>
        <v/>
      </c>
      <c r="AS8" s="396" t="str">
        <f t="shared" si="2"/>
        <v/>
      </c>
      <c r="AT8" s="141">
        <v>1</v>
      </c>
      <c r="AU8" s="215" t="s">
        <v>329</v>
      </c>
    </row>
    <row r="9" spans="1:47" ht="23.25" customHeight="1">
      <c r="A9" s="362" t="s">
        <v>721</v>
      </c>
      <c r="B9" s="685" t="str">
        <f>"2. "&amp;'Cronograma'!C5</f>
        <v>2. EVTEA - Segmento 1 - Brasília (DF) - Luziânia (GO)</v>
      </c>
      <c r="C9" s="625" t="s">
        <v>721</v>
      </c>
      <c r="D9" s="688" t="s">
        <v>316</v>
      </c>
      <c r="E9" s="580" t="s">
        <v>600</v>
      </c>
      <c r="F9" s="683">
        <f ca="1">SUM(G9:G10)</f>
        <v>939371.16999999993</v>
      </c>
      <c r="G9" s="581">
        <f ca="1">ROUND(SUMIFS(Recursos!J:J,Recursos!A:A,C9),2)</f>
        <v>513823.61</v>
      </c>
      <c r="H9" s="582">
        <f ca="1">G9/$F$9</f>
        <v>0.54698677839985232</v>
      </c>
      <c r="I9" s="370">
        <v>1</v>
      </c>
      <c r="J9" s="370">
        <v>2</v>
      </c>
      <c r="K9" s="508">
        <f>(J9+I9)-1</f>
        <v>2</v>
      </c>
      <c r="L9" s="370">
        <v>1</v>
      </c>
      <c r="M9" s="397">
        <f t="shared" si="0"/>
        <v>0</v>
      </c>
      <c r="N9" s="397">
        <f t="shared" si="0"/>
        <v>0</v>
      </c>
      <c r="O9" s="397">
        <f t="shared" si="0"/>
        <v>1</v>
      </c>
      <c r="P9" s="397" t="str">
        <f t="shared" si="0"/>
        <v/>
      </c>
      <c r="Q9" s="397" t="str">
        <f t="shared" si="0"/>
        <v/>
      </c>
      <c r="R9" s="397" t="str">
        <f t="shared" si="0"/>
        <v/>
      </c>
      <c r="S9" s="397" t="str">
        <f t="shared" si="0"/>
        <v/>
      </c>
      <c r="T9" s="397" t="str">
        <f t="shared" si="0"/>
        <v/>
      </c>
      <c r="U9" s="397" t="str">
        <f t="shared" si="0"/>
        <v/>
      </c>
      <c r="V9" s="397" t="str">
        <f t="shared" si="0"/>
        <v/>
      </c>
      <c r="W9" s="397" t="str">
        <f t="shared" si="1"/>
        <v/>
      </c>
      <c r="X9" s="397" t="str">
        <f t="shared" si="1"/>
        <v/>
      </c>
      <c r="Y9" s="397" t="str">
        <f t="shared" si="1"/>
        <v/>
      </c>
      <c r="Z9" s="397" t="str">
        <f t="shared" si="1"/>
        <v/>
      </c>
      <c r="AA9" s="397" t="str">
        <f t="shared" si="1"/>
        <v/>
      </c>
      <c r="AB9" s="397" t="str">
        <f t="shared" si="1"/>
        <v/>
      </c>
      <c r="AC9" s="397" t="str">
        <f t="shared" si="1"/>
        <v/>
      </c>
      <c r="AD9" s="397" t="str">
        <f t="shared" si="1"/>
        <v/>
      </c>
      <c r="AE9" s="397" t="str">
        <f t="shared" si="1"/>
        <v/>
      </c>
      <c r="AF9" s="397" t="str">
        <f t="shared" si="1"/>
        <v/>
      </c>
      <c r="AG9" s="397" t="str">
        <f t="shared" si="2"/>
        <v/>
      </c>
      <c r="AH9" s="397" t="str">
        <f t="shared" si="2"/>
        <v/>
      </c>
      <c r="AI9" s="397" t="str">
        <f t="shared" si="2"/>
        <v/>
      </c>
      <c r="AJ9" s="397" t="str">
        <f t="shared" si="2"/>
        <v/>
      </c>
      <c r="AK9" s="397" t="str">
        <f t="shared" si="2"/>
        <v/>
      </c>
      <c r="AL9" s="397" t="str">
        <f t="shared" si="2"/>
        <v/>
      </c>
      <c r="AM9" s="397" t="str">
        <f t="shared" si="2"/>
        <v/>
      </c>
      <c r="AN9" s="397" t="str">
        <f t="shared" si="2"/>
        <v/>
      </c>
      <c r="AO9" s="397" t="str">
        <f t="shared" si="2"/>
        <v/>
      </c>
      <c r="AP9" s="397" t="str">
        <f t="shared" si="2"/>
        <v/>
      </c>
      <c r="AQ9" s="397" t="str">
        <f t="shared" si="2"/>
        <v/>
      </c>
      <c r="AR9" s="397" t="str">
        <f t="shared" si="2"/>
        <v/>
      </c>
      <c r="AS9" s="398" t="str">
        <f t="shared" si="2"/>
        <v/>
      </c>
      <c r="AT9" s="141">
        <v>2</v>
      </c>
      <c r="AU9" s="519" t="s">
        <v>330</v>
      </c>
    </row>
    <row r="10" spans="1:47" ht="23.25" customHeight="1">
      <c r="A10" s="362" t="s">
        <v>722</v>
      </c>
      <c r="B10" s="686"/>
      <c r="C10" s="626" t="s">
        <v>722</v>
      </c>
      <c r="D10" s="689"/>
      <c r="E10" s="583" t="s">
        <v>573</v>
      </c>
      <c r="F10" s="684"/>
      <c r="G10" s="584">
        <f ca="1">ROUND(SUMIFS(Recursos!J:J,Recursos!A:A,C10),2)</f>
        <v>425547.56</v>
      </c>
      <c r="H10" s="585">
        <f t="shared" ref="H10" ca="1" si="3">G10/$F$9</f>
        <v>0.45301322160014773</v>
      </c>
      <c r="I10" s="509">
        <v>2</v>
      </c>
      <c r="J10" s="509">
        <v>3</v>
      </c>
      <c r="K10" s="510">
        <f t="shared" ref="K10:K32" si="4">(J10+I10)-1</f>
        <v>4</v>
      </c>
      <c r="L10" s="509">
        <v>2</v>
      </c>
      <c r="M10" s="453" t="str">
        <f t="shared" si="0"/>
        <v/>
      </c>
      <c r="N10" s="453">
        <f t="shared" si="0"/>
        <v>0</v>
      </c>
      <c r="O10" s="453">
        <f t="shared" si="0"/>
        <v>0</v>
      </c>
      <c r="P10" s="453">
        <f t="shared" si="0"/>
        <v>0</v>
      </c>
      <c r="Q10" s="453">
        <f t="shared" si="0"/>
        <v>0</v>
      </c>
      <c r="R10" s="453">
        <f t="shared" si="0"/>
        <v>1</v>
      </c>
      <c r="S10" s="453" t="str">
        <f t="shared" si="0"/>
        <v/>
      </c>
      <c r="T10" s="453" t="str">
        <f t="shared" si="0"/>
        <v/>
      </c>
      <c r="U10" s="453" t="str">
        <f t="shared" si="0"/>
        <v/>
      </c>
      <c r="V10" s="453" t="str">
        <f t="shared" si="0"/>
        <v/>
      </c>
      <c r="W10" s="453" t="str">
        <f t="shared" si="1"/>
        <v/>
      </c>
      <c r="X10" s="453" t="str">
        <f t="shared" si="1"/>
        <v/>
      </c>
      <c r="Y10" s="453" t="str">
        <f t="shared" si="1"/>
        <v/>
      </c>
      <c r="Z10" s="453" t="str">
        <f t="shared" si="1"/>
        <v/>
      </c>
      <c r="AA10" s="453" t="str">
        <f t="shared" si="1"/>
        <v/>
      </c>
      <c r="AB10" s="453" t="str">
        <f t="shared" si="1"/>
        <v/>
      </c>
      <c r="AC10" s="453" t="str">
        <f t="shared" si="1"/>
        <v/>
      </c>
      <c r="AD10" s="453" t="str">
        <f t="shared" si="1"/>
        <v/>
      </c>
      <c r="AE10" s="453" t="str">
        <f t="shared" si="1"/>
        <v/>
      </c>
      <c r="AF10" s="453" t="str">
        <f t="shared" si="1"/>
        <v/>
      </c>
      <c r="AG10" s="453" t="str">
        <f t="shared" si="2"/>
        <v/>
      </c>
      <c r="AH10" s="453" t="str">
        <f t="shared" si="2"/>
        <v/>
      </c>
      <c r="AI10" s="453" t="str">
        <f t="shared" si="2"/>
        <v/>
      </c>
      <c r="AJ10" s="453" t="str">
        <f t="shared" si="2"/>
        <v/>
      </c>
      <c r="AK10" s="453" t="str">
        <f t="shared" si="2"/>
        <v/>
      </c>
      <c r="AL10" s="453" t="str">
        <f t="shared" si="2"/>
        <v/>
      </c>
      <c r="AM10" s="453" t="str">
        <f t="shared" si="2"/>
        <v/>
      </c>
      <c r="AN10" s="453" t="str">
        <f t="shared" si="2"/>
        <v/>
      </c>
      <c r="AO10" s="453" t="str">
        <f t="shared" si="2"/>
        <v/>
      </c>
      <c r="AP10" s="453" t="str">
        <f t="shared" si="2"/>
        <v/>
      </c>
      <c r="AQ10" s="453" t="str">
        <f t="shared" si="2"/>
        <v/>
      </c>
      <c r="AR10" s="453" t="str">
        <f t="shared" si="2"/>
        <v/>
      </c>
      <c r="AS10" s="454" t="str">
        <f t="shared" si="2"/>
        <v/>
      </c>
      <c r="AT10" s="141">
        <f>AT9</f>
        <v>2</v>
      </c>
      <c r="AU10" s="215" t="str">
        <f t="shared" ref="AU10:AU21" si="5">AU9</f>
        <v>RCD-AP</v>
      </c>
    </row>
    <row r="11" spans="1:47" ht="23.25" customHeight="1">
      <c r="A11" s="362" t="s">
        <v>551</v>
      </c>
      <c r="B11" s="686"/>
      <c r="C11" s="627" t="s">
        <v>551</v>
      </c>
      <c r="D11" s="623" t="s">
        <v>525</v>
      </c>
      <c r="E11" s="583" t="s">
        <v>573</v>
      </c>
      <c r="F11" s="620">
        <f ca="1">SUM(G11)</f>
        <v>229595.94</v>
      </c>
      <c r="G11" s="584">
        <f ca="1">ROUND(VLOOKUP(C11,Recursos!B:J,9,FALSE),2)</f>
        <v>229595.94</v>
      </c>
      <c r="H11" s="585">
        <f ca="1">G11/$F$11</f>
        <v>1</v>
      </c>
      <c r="I11" s="509">
        <v>3</v>
      </c>
      <c r="J11" s="509">
        <v>2</v>
      </c>
      <c r="K11" s="509">
        <f t="shared" ref="K11:K19" si="6">(J11+I11)-1</f>
        <v>4</v>
      </c>
      <c r="L11" s="509">
        <v>2</v>
      </c>
      <c r="M11" s="453" t="str">
        <f t="shared" ref="M11:V19" si="7">IF(M$7=$K11,0,IF($K11+$L11=M$7,1,IF(AND(M$7&lt;=$K11+$L11,M$7&gt;=$I11),0,"")))</f>
        <v/>
      </c>
      <c r="N11" s="453" t="str">
        <f t="shared" si="7"/>
        <v/>
      </c>
      <c r="O11" s="453">
        <f t="shared" si="7"/>
        <v>0</v>
      </c>
      <c r="P11" s="453">
        <f t="shared" si="7"/>
        <v>0</v>
      </c>
      <c r="Q11" s="453">
        <f t="shared" si="7"/>
        <v>0</v>
      </c>
      <c r="R11" s="453">
        <f t="shared" si="7"/>
        <v>1</v>
      </c>
      <c r="S11" s="453" t="str">
        <f t="shared" si="7"/>
        <v/>
      </c>
      <c r="T11" s="453" t="str">
        <f t="shared" si="7"/>
        <v/>
      </c>
      <c r="U11" s="453" t="str">
        <f t="shared" si="7"/>
        <v/>
      </c>
      <c r="V11" s="453" t="str">
        <f t="shared" si="7"/>
        <v/>
      </c>
      <c r="W11" s="453" t="str">
        <f t="shared" si="1"/>
        <v/>
      </c>
      <c r="X11" s="453" t="str">
        <f t="shared" si="1"/>
        <v/>
      </c>
      <c r="Y11" s="453" t="str">
        <f t="shared" si="1"/>
        <v/>
      </c>
      <c r="Z11" s="453" t="str">
        <f t="shared" si="1"/>
        <v/>
      </c>
      <c r="AA11" s="453" t="str">
        <f t="shared" si="1"/>
        <v/>
      </c>
      <c r="AB11" s="453" t="str">
        <f t="shared" si="1"/>
        <v/>
      </c>
      <c r="AC11" s="453" t="str">
        <f t="shared" si="1"/>
        <v/>
      </c>
      <c r="AD11" s="453" t="str">
        <f t="shared" si="1"/>
        <v/>
      </c>
      <c r="AE11" s="453" t="str">
        <f t="shared" si="1"/>
        <v/>
      </c>
      <c r="AF11" s="453" t="str">
        <f t="shared" si="1"/>
        <v/>
      </c>
      <c r="AG11" s="453" t="str">
        <f t="shared" si="2"/>
        <v/>
      </c>
      <c r="AH11" s="453" t="str">
        <f t="shared" si="2"/>
        <v/>
      </c>
      <c r="AI11" s="453" t="str">
        <f t="shared" si="2"/>
        <v/>
      </c>
      <c r="AJ11" s="453" t="str">
        <f t="shared" si="2"/>
        <v/>
      </c>
      <c r="AK11" s="453" t="str">
        <f t="shared" si="2"/>
        <v/>
      </c>
      <c r="AL11" s="453" t="str">
        <f t="shared" si="2"/>
        <v/>
      </c>
      <c r="AM11" s="453" t="str">
        <f t="shared" si="2"/>
        <v/>
      </c>
      <c r="AN11" s="453" t="str">
        <f t="shared" si="2"/>
        <v/>
      </c>
      <c r="AO11" s="453" t="str">
        <f t="shared" si="2"/>
        <v/>
      </c>
      <c r="AP11" s="453" t="str">
        <f t="shared" si="2"/>
        <v/>
      </c>
      <c r="AQ11" s="453" t="str">
        <f t="shared" si="2"/>
        <v/>
      </c>
      <c r="AR11" s="453" t="str">
        <f t="shared" si="2"/>
        <v/>
      </c>
      <c r="AS11" s="454" t="str">
        <f t="shared" si="2"/>
        <v/>
      </c>
      <c r="AT11" s="141">
        <f t="shared" ref="AT11:AT19" si="8">AT10</f>
        <v>2</v>
      </c>
      <c r="AU11" s="519" t="s">
        <v>330</v>
      </c>
    </row>
    <row r="12" spans="1:47" ht="23.25" customHeight="1">
      <c r="A12" s="362" t="s">
        <v>747</v>
      </c>
      <c r="B12" s="686"/>
      <c r="C12" s="682" t="s">
        <v>747</v>
      </c>
      <c r="D12" s="690" t="s">
        <v>317</v>
      </c>
      <c r="E12" s="583" t="s">
        <v>600</v>
      </c>
      <c r="F12" s="684">
        <f ca="1">SUM(G12:G13)</f>
        <v>247949.46000000002</v>
      </c>
      <c r="G12" s="584">
        <f ca="1">ROUND(VLOOKUP(C12,Recursos!B:J,9,FALSE)*0.2,2)</f>
        <v>49589.89</v>
      </c>
      <c r="H12" s="585">
        <f ca="1">G12/$F$12</f>
        <v>0.19999999193384005</v>
      </c>
      <c r="I12" s="509">
        <v>4</v>
      </c>
      <c r="J12" s="509">
        <v>0.5</v>
      </c>
      <c r="K12" s="510">
        <f t="shared" si="6"/>
        <v>3.5</v>
      </c>
      <c r="L12" s="509">
        <v>0.5</v>
      </c>
      <c r="M12" s="453" t="str">
        <f t="shared" si="7"/>
        <v/>
      </c>
      <c r="N12" s="453" t="str">
        <f t="shared" si="7"/>
        <v/>
      </c>
      <c r="O12" s="453" t="str">
        <f t="shared" si="7"/>
        <v/>
      </c>
      <c r="P12" s="453">
        <f t="shared" si="7"/>
        <v>1</v>
      </c>
      <c r="Q12" s="453" t="str">
        <f t="shared" si="7"/>
        <v/>
      </c>
      <c r="R12" s="453" t="str">
        <f t="shared" si="7"/>
        <v/>
      </c>
      <c r="S12" s="453" t="str">
        <f t="shared" si="7"/>
        <v/>
      </c>
      <c r="T12" s="453" t="str">
        <f t="shared" si="7"/>
        <v/>
      </c>
      <c r="U12" s="453" t="str">
        <f t="shared" si="7"/>
        <v/>
      </c>
      <c r="V12" s="453" t="str">
        <f t="shared" si="7"/>
        <v/>
      </c>
      <c r="W12" s="453" t="str">
        <f t="shared" si="1"/>
        <v/>
      </c>
      <c r="X12" s="453" t="str">
        <f t="shared" si="1"/>
        <v/>
      </c>
      <c r="Y12" s="453" t="str">
        <f t="shared" si="1"/>
        <v/>
      </c>
      <c r="Z12" s="453" t="str">
        <f t="shared" si="1"/>
        <v/>
      </c>
      <c r="AA12" s="453" t="str">
        <f t="shared" si="1"/>
        <v/>
      </c>
      <c r="AB12" s="453" t="str">
        <f t="shared" si="1"/>
        <v/>
      </c>
      <c r="AC12" s="453" t="str">
        <f t="shared" si="1"/>
        <v/>
      </c>
      <c r="AD12" s="453" t="str">
        <f t="shared" si="1"/>
        <v/>
      </c>
      <c r="AE12" s="453" t="str">
        <f t="shared" si="1"/>
        <v/>
      </c>
      <c r="AF12" s="453" t="str">
        <f t="shared" si="1"/>
        <v/>
      </c>
      <c r="AG12" s="453" t="str">
        <f t="shared" si="2"/>
        <v/>
      </c>
      <c r="AH12" s="453" t="str">
        <f t="shared" si="2"/>
        <v/>
      </c>
      <c r="AI12" s="453" t="str">
        <f t="shared" si="2"/>
        <v/>
      </c>
      <c r="AJ12" s="453" t="str">
        <f t="shared" si="2"/>
        <v/>
      </c>
      <c r="AK12" s="453" t="str">
        <f t="shared" si="2"/>
        <v/>
      </c>
      <c r="AL12" s="453" t="str">
        <f t="shared" si="2"/>
        <v/>
      </c>
      <c r="AM12" s="453" t="str">
        <f t="shared" si="2"/>
        <v/>
      </c>
      <c r="AN12" s="453" t="str">
        <f t="shared" si="2"/>
        <v/>
      </c>
      <c r="AO12" s="453" t="str">
        <f t="shared" si="2"/>
        <v/>
      </c>
      <c r="AP12" s="453" t="str">
        <f t="shared" si="2"/>
        <v/>
      </c>
      <c r="AQ12" s="453" t="str">
        <f t="shared" si="2"/>
        <v/>
      </c>
      <c r="AR12" s="453" t="str">
        <f t="shared" si="2"/>
        <v/>
      </c>
      <c r="AS12" s="454" t="str">
        <f t="shared" si="2"/>
        <v/>
      </c>
      <c r="AT12" s="141">
        <f t="shared" si="8"/>
        <v>2</v>
      </c>
      <c r="AU12" s="519" t="s">
        <v>575</v>
      </c>
    </row>
    <row r="13" spans="1:47" ht="23.25" customHeight="1">
      <c r="A13" s="362" t="s">
        <v>747</v>
      </c>
      <c r="B13" s="686"/>
      <c r="C13" s="682"/>
      <c r="D13" s="690"/>
      <c r="E13" s="583" t="s">
        <v>573</v>
      </c>
      <c r="F13" s="684"/>
      <c r="G13" s="584">
        <f ca="1">ROUND(VLOOKUP(C12,Recursos!B:J,9,FALSE),2)-G12</f>
        <v>198359.57</v>
      </c>
      <c r="H13" s="585">
        <f ca="1">G13/$F$12</f>
        <v>0.8000000080661599</v>
      </c>
      <c r="I13" s="509">
        <v>4</v>
      </c>
      <c r="J13" s="509">
        <v>2</v>
      </c>
      <c r="K13" s="509">
        <f t="shared" si="6"/>
        <v>5</v>
      </c>
      <c r="L13" s="509">
        <v>1</v>
      </c>
      <c r="M13" s="453" t="str">
        <f t="shared" si="7"/>
        <v/>
      </c>
      <c r="N13" s="453" t="str">
        <f t="shared" si="7"/>
        <v/>
      </c>
      <c r="O13" s="453" t="str">
        <f t="shared" si="7"/>
        <v/>
      </c>
      <c r="P13" s="453">
        <f t="shared" si="7"/>
        <v>0</v>
      </c>
      <c r="Q13" s="453">
        <f t="shared" si="7"/>
        <v>0</v>
      </c>
      <c r="R13" s="453">
        <f t="shared" si="7"/>
        <v>1</v>
      </c>
      <c r="S13" s="453" t="str">
        <f t="shared" si="7"/>
        <v/>
      </c>
      <c r="T13" s="453" t="str">
        <f t="shared" si="7"/>
        <v/>
      </c>
      <c r="U13" s="453" t="str">
        <f t="shared" si="7"/>
        <v/>
      </c>
      <c r="V13" s="453" t="str">
        <f t="shared" si="7"/>
        <v/>
      </c>
      <c r="W13" s="453" t="str">
        <f t="shared" si="1"/>
        <v/>
      </c>
      <c r="X13" s="453" t="str">
        <f t="shared" si="1"/>
        <v/>
      </c>
      <c r="Y13" s="453" t="str">
        <f t="shared" si="1"/>
        <v/>
      </c>
      <c r="Z13" s="453" t="str">
        <f t="shared" si="1"/>
        <v/>
      </c>
      <c r="AA13" s="453" t="str">
        <f t="shared" si="1"/>
        <v/>
      </c>
      <c r="AB13" s="453" t="str">
        <f t="shared" si="1"/>
        <v/>
      </c>
      <c r="AC13" s="453" t="str">
        <f t="shared" si="1"/>
        <v/>
      </c>
      <c r="AD13" s="453" t="str">
        <f t="shared" si="1"/>
        <v/>
      </c>
      <c r="AE13" s="453" t="str">
        <f t="shared" si="1"/>
        <v/>
      </c>
      <c r="AF13" s="453" t="str">
        <f t="shared" si="1"/>
        <v/>
      </c>
      <c r="AG13" s="453" t="str">
        <f t="shared" si="2"/>
        <v/>
      </c>
      <c r="AH13" s="453" t="str">
        <f t="shared" si="2"/>
        <v/>
      </c>
      <c r="AI13" s="453" t="str">
        <f t="shared" si="2"/>
        <v/>
      </c>
      <c r="AJ13" s="453" t="str">
        <f t="shared" si="2"/>
        <v/>
      </c>
      <c r="AK13" s="453" t="str">
        <f t="shared" si="2"/>
        <v/>
      </c>
      <c r="AL13" s="453" t="str">
        <f t="shared" si="2"/>
        <v/>
      </c>
      <c r="AM13" s="453" t="str">
        <f t="shared" si="2"/>
        <v/>
      </c>
      <c r="AN13" s="453" t="str">
        <f t="shared" si="2"/>
        <v/>
      </c>
      <c r="AO13" s="453" t="str">
        <f t="shared" si="2"/>
        <v/>
      </c>
      <c r="AP13" s="453" t="str">
        <f t="shared" si="2"/>
        <v/>
      </c>
      <c r="AQ13" s="453" t="str">
        <f t="shared" si="2"/>
        <v/>
      </c>
      <c r="AR13" s="453" t="str">
        <f t="shared" si="2"/>
        <v/>
      </c>
      <c r="AS13" s="454" t="str">
        <f t="shared" si="2"/>
        <v/>
      </c>
      <c r="AT13" s="141">
        <f t="shared" si="8"/>
        <v>2</v>
      </c>
      <c r="AU13" s="519" t="s">
        <v>330</v>
      </c>
    </row>
    <row r="14" spans="1:47" ht="23.25" customHeight="1">
      <c r="A14" s="362" t="s">
        <v>748</v>
      </c>
      <c r="B14" s="686"/>
      <c r="C14" s="588" t="s">
        <v>748</v>
      </c>
      <c r="D14" s="623" t="str">
        <f>'Cronograma'!C15</f>
        <v>Dimensão Socioambiental (EMA)</v>
      </c>
      <c r="E14" s="583" t="s">
        <v>573</v>
      </c>
      <c r="F14" s="620">
        <f t="shared" ref="F14:F19" ca="1" si="9">SUM(G14)</f>
        <v>170721.67</v>
      </c>
      <c r="G14" s="584">
        <f ca="1">ROUND(VLOOKUP(C14,Recursos!B:J,9,FALSE),2)</f>
        <v>170721.67</v>
      </c>
      <c r="H14" s="585">
        <f ca="1">G14/$F$14</f>
        <v>1</v>
      </c>
      <c r="I14" s="509">
        <v>2</v>
      </c>
      <c r="J14" s="509">
        <v>2</v>
      </c>
      <c r="K14" s="509">
        <f t="shared" si="6"/>
        <v>3</v>
      </c>
      <c r="L14" s="509">
        <v>2</v>
      </c>
      <c r="M14" s="453" t="str">
        <f t="shared" si="7"/>
        <v/>
      </c>
      <c r="N14" s="453">
        <f t="shared" si="7"/>
        <v>0</v>
      </c>
      <c r="O14" s="453">
        <f t="shared" si="7"/>
        <v>0</v>
      </c>
      <c r="P14" s="453">
        <f t="shared" si="7"/>
        <v>0</v>
      </c>
      <c r="Q14" s="453">
        <f t="shared" si="7"/>
        <v>1</v>
      </c>
      <c r="R14" s="453" t="str">
        <f t="shared" si="7"/>
        <v/>
      </c>
      <c r="S14" s="453" t="str">
        <f t="shared" si="7"/>
        <v/>
      </c>
      <c r="T14" s="453" t="str">
        <f t="shared" si="7"/>
        <v/>
      </c>
      <c r="U14" s="453" t="str">
        <f t="shared" si="7"/>
        <v/>
      </c>
      <c r="V14" s="453" t="str">
        <f t="shared" si="7"/>
        <v/>
      </c>
      <c r="W14" s="453" t="str">
        <f t="shared" si="1"/>
        <v/>
      </c>
      <c r="X14" s="453" t="str">
        <f t="shared" si="1"/>
        <v/>
      </c>
      <c r="Y14" s="453" t="str">
        <f t="shared" si="1"/>
        <v/>
      </c>
      <c r="Z14" s="453" t="str">
        <f t="shared" si="1"/>
        <v/>
      </c>
      <c r="AA14" s="453" t="str">
        <f t="shared" si="1"/>
        <v/>
      </c>
      <c r="AB14" s="453" t="str">
        <f t="shared" si="1"/>
        <v/>
      </c>
      <c r="AC14" s="453" t="str">
        <f t="shared" si="1"/>
        <v/>
      </c>
      <c r="AD14" s="453" t="str">
        <f t="shared" si="1"/>
        <v/>
      </c>
      <c r="AE14" s="453" t="str">
        <f t="shared" si="1"/>
        <v/>
      </c>
      <c r="AF14" s="453" t="str">
        <f t="shared" si="1"/>
        <v/>
      </c>
      <c r="AG14" s="453" t="str">
        <f t="shared" si="2"/>
        <v/>
      </c>
      <c r="AH14" s="453" t="str">
        <f t="shared" si="2"/>
        <v/>
      </c>
      <c r="AI14" s="453" t="str">
        <f t="shared" si="2"/>
        <v/>
      </c>
      <c r="AJ14" s="453" t="str">
        <f t="shared" si="2"/>
        <v/>
      </c>
      <c r="AK14" s="453" t="str">
        <f t="shared" si="2"/>
        <v/>
      </c>
      <c r="AL14" s="453" t="str">
        <f t="shared" si="2"/>
        <v/>
      </c>
      <c r="AM14" s="453" t="str">
        <f t="shared" si="2"/>
        <v/>
      </c>
      <c r="AN14" s="453" t="str">
        <f t="shared" si="2"/>
        <v/>
      </c>
      <c r="AO14" s="453" t="str">
        <f t="shared" si="2"/>
        <v/>
      </c>
      <c r="AP14" s="453" t="str">
        <f t="shared" si="2"/>
        <v/>
      </c>
      <c r="AQ14" s="453" t="str">
        <f t="shared" si="2"/>
        <v/>
      </c>
      <c r="AR14" s="453" t="str">
        <f t="shared" si="2"/>
        <v/>
      </c>
      <c r="AS14" s="454" t="str">
        <f t="shared" si="2"/>
        <v/>
      </c>
      <c r="AT14" s="141">
        <f t="shared" si="8"/>
        <v>2</v>
      </c>
      <c r="AU14" s="519" t="s">
        <v>330</v>
      </c>
    </row>
    <row r="15" spans="1:47" ht="23.25" customHeight="1">
      <c r="A15" s="362" t="s">
        <v>749</v>
      </c>
      <c r="B15" s="686"/>
      <c r="C15" s="588" t="s">
        <v>749</v>
      </c>
      <c r="D15" s="623" t="str">
        <f>'Cronograma'!C16</f>
        <v>Dimensão Econômico-Financeira (MEF)</v>
      </c>
      <c r="E15" s="583" t="s">
        <v>573</v>
      </c>
      <c r="F15" s="620">
        <f t="shared" ca="1" si="9"/>
        <v>39196.9</v>
      </c>
      <c r="G15" s="584">
        <f ca="1">ROUND(VLOOKUP(C15,Recursos!B:J,9,FALSE),2)</f>
        <v>39196.9</v>
      </c>
      <c r="H15" s="585">
        <f ca="1">G15/$F$15</f>
        <v>1</v>
      </c>
      <c r="I15" s="509">
        <v>6</v>
      </c>
      <c r="J15" s="509">
        <v>1</v>
      </c>
      <c r="K15" s="509">
        <f t="shared" si="6"/>
        <v>6</v>
      </c>
      <c r="L15" s="509">
        <v>1</v>
      </c>
      <c r="M15" s="453" t="str">
        <f t="shared" si="7"/>
        <v/>
      </c>
      <c r="N15" s="453" t="str">
        <f t="shared" si="7"/>
        <v/>
      </c>
      <c r="O15" s="453" t="str">
        <f t="shared" si="7"/>
        <v/>
      </c>
      <c r="P15" s="453" t="str">
        <f t="shared" si="7"/>
        <v/>
      </c>
      <c r="Q15" s="453" t="str">
        <f t="shared" si="7"/>
        <v/>
      </c>
      <c r="R15" s="453">
        <f t="shared" si="7"/>
        <v>0</v>
      </c>
      <c r="S15" s="453">
        <f t="shared" si="7"/>
        <v>1</v>
      </c>
      <c r="T15" s="453" t="str">
        <f t="shared" si="7"/>
        <v/>
      </c>
      <c r="U15" s="453" t="str">
        <f t="shared" si="7"/>
        <v/>
      </c>
      <c r="V15" s="453" t="str">
        <f t="shared" si="7"/>
        <v/>
      </c>
      <c r="W15" s="453" t="str">
        <f t="shared" si="1"/>
        <v/>
      </c>
      <c r="X15" s="453" t="str">
        <f t="shared" si="1"/>
        <v/>
      </c>
      <c r="Y15" s="453" t="str">
        <f t="shared" si="1"/>
        <v/>
      </c>
      <c r="Z15" s="453" t="str">
        <f t="shared" si="1"/>
        <v/>
      </c>
      <c r="AA15" s="453" t="str">
        <f t="shared" si="1"/>
        <v/>
      </c>
      <c r="AB15" s="453" t="str">
        <f t="shared" si="1"/>
        <v/>
      </c>
      <c r="AC15" s="453" t="str">
        <f t="shared" si="1"/>
        <v/>
      </c>
      <c r="AD15" s="453" t="str">
        <f t="shared" si="1"/>
        <v/>
      </c>
      <c r="AE15" s="453" t="str">
        <f t="shared" si="1"/>
        <v/>
      </c>
      <c r="AF15" s="453" t="str">
        <f t="shared" si="1"/>
        <v/>
      </c>
      <c r="AG15" s="453" t="str">
        <f t="shared" si="2"/>
        <v/>
      </c>
      <c r="AH15" s="453" t="str">
        <f t="shared" si="2"/>
        <v/>
      </c>
      <c r="AI15" s="453" t="str">
        <f t="shared" si="2"/>
        <v/>
      </c>
      <c r="AJ15" s="453" t="str">
        <f t="shared" si="2"/>
        <v/>
      </c>
      <c r="AK15" s="453" t="str">
        <f t="shared" si="2"/>
        <v/>
      </c>
      <c r="AL15" s="453" t="str">
        <f t="shared" si="2"/>
        <v/>
      </c>
      <c r="AM15" s="453" t="str">
        <f t="shared" si="2"/>
        <v/>
      </c>
      <c r="AN15" s="453" t="str">
        <f t="shared" si="2"/>
        <v/>
      </c>
      <c r="AO15" s="453" t="str">
        <f t="shared" si="2"/>
        <v/>
      </c>
      <c r="AP15" s="453" t="str">
        <f t="shared" si="2"/>
        <v/>
      </c>
      <c r="AQ15" s="453" t="str">
        <f t="shared" si="2"/>
        <v/>
      </c>
      <c r="AR15" s="453" t="str">
        <f t="shared" si="2"/>
        <v/>
      </c>
      <c r="AS15" s="454" t="str">
        <f t="shared" si="2"/>
        <v/>
      </c>
      <c r="AT15" s="141">
        <f t="shared" si="8"/>
        <v>2</v>
      </c>
      <c r="AU15" s="367" t="s">
        <v>330</v>
      </c>
    </row>
    <row r="16" spans="1:47" ht="28.5" customHeight="1">
      <c r="A16" s="362" t="s">
        <v>750</v>
      </c>
      <c r="B16" s="686"/>
      <c r="C16" s="588" t="s">
        <v>750</v>
      </c>
      <c r="D16" s="623" t="str">
        <f>'Cronograma'!C17</f>
        <v>Apoio e revisão pós Audiência Pública</v>
      </c>
      <c r="E16" s="590" t="s">
        <v>688</v>
      </c>
      <c r="F16" s="620">
        <f t="shared" ca="1" si="9"/>
        <v>157517.43</v>
      </c>
      <c r="G16" s="584">
        <f ca="1">ROUND(VLOOKUP(C16,Recursos!B:J,9,FALSE),2)</f>
        <v>157517.43</v>
      </c>
      <c r="H16" s="585">
        <f ca="1">G16/$F$16</f>
        <v>1</v>
      </c>
      <c r="I16" s="509">
        <v>18</v>
      </c>
      <c r="J16" s="509">
        <v>1</v>
      </c>
      <c r="K16" s="509">
        <f t="shared" si="6"/>
        <v>18</v>
      </c>
      <c r="L16" s="509">
        <v>1</v>
      </c>
      <c r="M16" s="453" t="str">
        <f t="shared" si="7"/>
        <v/>
      </c>
      <c r="N16" s="453" t="str">
        <f t="shared" si="7"/>
        <v/>
      </c>
      <c r="O16" s="453" t="str">
        <f t="shared" si="7"/>
        <v/>
      </c>
      <c r="P16" s="453" t="str">
        <f t="shared" si="7"/>
        <v/>
      </c>
      <c r="Q16" s="453" t="str">
        <f t="shared" si="7"/>
        <v/>
      </c>
      <c r="R16" s="453" t="str">
        <f t="shared" si="7"/>
        <v/>
      </c>
      <c r="S16" s="453" t="str">
        <f t="shared" si="7"/>
        <v/>
      </c>
      <c r="T16" s="453" t="str">
        <f t="shared" si="7"/>
        <v/>
      </c>
      <c r="U16" s="453" t="str">
        <f t="shared" si="7"/>
        <v/>
      </c>
      <c r="V16" s="453" t="str">
        <f t="shared" si="7"/>
        <v/>
      </c>
      <c r="W16" s="453" t="str">
        <f t="shared" si="1"/>
        <v/>
      </c>
      <c r="X16" s="453" t="str">
        <f t="shared" si="1"/>
        <v/>
      </c>
      <c r="Y16" s="453" t="str">
        <f t="shared" si="1"/>
        <v/>
      </c>
      <c r="Z16" s="453" t="str">
        <f t="shared" si="1"/>
        <v/>
      </c>
      <c r="AA16" s="453" t="str">
        <f t="shared" si="1"/>
        <v/>
      </c>
      <c r="AB16" s="453" t="str">
        <f t="shared" si="1"/>
        <v/>
      </c>
      <c r="AC16" s="453" t="str">
        <f t="shared" si="1"/>
        <v/>
      </c>
      <c r="AD16" s="453">
        <f t="shared" si="1"/>
        <v>0</v>
      </c>
      <c r="AE16" s="453">
        <f t="shared" si="1"/>
        <v>1</v>
      </c>
      <c r="AF16" s="453" t="str">
        <f t="shared" si="1"/>
        <v/>
      </c>
      <c r="AG16" s="453" t="str">
        <f t="shared" si="2"/>
        <v/>
      </c>
      <c r="AH16" s="453" t="str">
        <f t="shared" si="2"/>
        <v/>
      </c>
      <c r="AI16" s="453" t="str">
        <f t="shared" si="2"/>
        <v/>
      </c>
      <c r="AJ16" s="453" t="str">
        <f t="shared" si="2"/>
        <v/>
      </c>
      <c r="AK16" s="453" t="str">
        <f t="shared" si="2"/>
        <v/>
      </c>
      <c r="AL16" s="453" t="str">
        <f t="shared" si="2"/>
        <v/>
      </c>
      <c r="AM16" s="453" t="str">
        <f t="shared" si="2"/>
        <v/>
      </c>
      <c r="AN16" s="453" t="str">
        <f t="shared" si="2"/>
        <v/>
      </c>
      <c r="AO16" s="453" t="str">
        <f t="shared" si="2"/>
        <v/>
      </c>
      <c r="AP16" s="453" t="str">
        <f t="shared" si="2"/>
        <v/>
      </c>
      <c r="AQ16" s="453" t="str">
        <f t="shared" si="2"/>
        <v/>
      </c>
      <c r="AR16" s="453" t="str">
        <f t="shared" si="2"/>
        <v/>
      </c>
      <c r="AS16" s="454" t="str">
        <f t="shared" si="2"/>
        <v/>
      </c>
      <c r="AT16" s="141">
        <f t="shared" si="8"/>
        <v>2</v>
      </c>
      <c r="AU16" s="367" t="s">
        <v>696</v>
      </c>
    </row>
    <row r="17" spans="1:47" ht="28.5" customHeight="1">
      <c r="A17" s="362" t="s">
        <v>751</v>
      </c>
      <c r="B17" s="686"/>
      <c r="C17" s="588" t="s">
        <v>751</v>
      </c>
      <c r="D17" s="623" t="str">
        <f>'Cronograma'!C18</f>
        <v>Apoio a subsídios a questionamentos do órgão de controle externo</v>
      </c>
      <c r="E17" s="590" t="s">
        <v>689</v>
      </c>
      <c r="F17" s="620">
        <f t="shared" ca="1" si="9"/>
        <v>75835.320000000007</v>
      </c>
      <c r="G17" s="584">
        <f ca="1">ROUND(VLOOKUP(C17,Recursos!B:J,9,FALSE),2)</f>
        <v>75835.320000000007</v>
      </c>
      <c r="H17" s="585">
        <f ca="1">G17/$F$17</f>
        <v>1</v>
      </c>
      <c r="I17" s="509">
        <v>23</v>
      </c>
      <c r="J17" s="509">
        <v>1</v>
      </c>
      <c r="K17" s="509">
        <f t="shared" si="6"/>
        <v>23</v>
      </c>
      <c r="L17" s="509">
        <v>1</v>
      </c>
      <c r="M17" s="453" t="str">
        <f t="shared" si="7"/>
        <v/>
      </c>
      <c r="N17" s="453" t="str">
        <f t="shared" si="7"/>
        <v/>
      </c>
      <c r="O17" s="453" t="str">
        <f t="shared" si="7"/>
        <v/>
      </c>
      <c r="P17" s="453" t="str">
        <f t="shared" si="7"/>
        <v/>
      </c>
      <c r="Q17" s="453" t="str">
        <f t="shared" si="7"/>
        <v/>
      </c>
      <c r="R17" s="453" t="str">
        <f t="shared" si="7"/>
        <v/>
      </c>
      <c r="S17" s="453" t="str">
        <f t="shared" si="7"/>
        <v/>
      </c>
      <c r="T17" s="453" t="str">
        <f t="shared" si="7"/>
        <v/>
      </c>
      <c r="U17" s="453" t="str">
        <f t="shared" si="7"/>
        <v/>
      </c>
      <c r="V17" s="453" t="str">
        <f t="shared" si="7"/>
        <v/>
      </c>
      <c r="W17" s="453" t="str">
        <f t="shared" si="1"/>
        <v/>
      </c>
      <c r="X17" s="453" t="str">
        <f t="shared" si="1"/>
        <v/>
      </c>
      <c r="Y17" s="453" t="str">
        <f t="shared" si="1"/>
        <v/>
      </c>
      <c r="Z17" s="453" t="str">
        <f t="shared" si="1"/>
        <v/>
      </c>
      <c r="AA17" s="453" t="str">
        <f t="shared" si="1"/>
        <v/>
      </c>
      <c r="AB17" s="453" t="str">
        <f t="shared" si="1"/>
        <v/>
      </c>
      <c r="AC17" s="453" t="str">
        <f t="shared" si="1"/>
        <v/>
      </c>
      <c r="AD17" s="453" t="str">
        <f t="shared" si="1"/>
        <v/>
      </c>
      <c r="AE17" s="453" t="str">
        <f t="shared" si="1"/>
        <v/>
      </c>
      <c r="AF17" s="453" t="str">
        <f t="shared" si="1"/>
        <v/>
      </c>
      <c r="AG17" s="453" t="str">
        <f t="shared" si="2"/>
        <v/>
      </c>
      <c r="AH17" s="453" t="str">
        <f t="shared" si="2"/>
        <v/>
      </c>
      <c r="AI17" s="453">
        <f t="shared" si="2"/>
        <v>0</v>
      </c>
      <c r="AJ17" s="453">
        <f t="shared" si="2"/>
        <v>1</v>
      </c>
      <c r="AK17" s="453" t="str">
        <f t="shared" si="2"/>
        <v/>
      </c>
      <c r="AL17" s="453" t="str">
        <f t="shared" si="2"/>
        <v/>
      </c>
      <c r="AM17" s="453" t="str">
        <f t="shared" si="2"/>
        <v/>
      </c>
      <c r="AN17" s="453" t="str">
        <f t="shared" si="2"/>
        <v/>
      </c>
      <c r="AO17" s="453" t="str">
        <f t="shared" si="2"/>
        <v/>
      </c>
      <c r="AP17" s="453" t="str">
        <f t="shared" si="2"/>
        <v/>
      </c>
      <c r="AQ17" s="453" t="str">
        <f t="shared" si="2"/>
        <v/>
      </c>
      <c r="AR17" s="453" t="str">
        <f t="shared" si="2"/>
        <v/>
      </c>
      <c r="AS17" s="454" t="str">
        <f t="shared" si="2"/>
        <v/>
      </c>
      <c r="AT17" s="141">
        <f t="shared" si="8"/>
        <v>2</v>
      </c>
      <c r="AU17" s="215" t="s">
        <v>692</v>
      </c>
    </row>
    <row r="18" spans="1:47" ht="28.5" customHeight="1">
      <c r="A18" s="362" t="s">
        <v>752</v>
      </c>
      <c r="B18" s="686"/>
      <c r="C18" s="588" t="s">
        <v>752</v>
      </c>
      <c r="D18" s="623" t="str">
        <f>'Cronograma'!C19</f>
        <v>Apoio a subsídios a questionamentos do processo licitatório</v>
      </c>
      <c r="E18" s="590" t="s">
        <v>690</v>
      </c>
      <c r="F18" s="620">
        <f t="shared" ca="1" si="9"/>
        <v>47073</v>
      </c>
      <c r="G18" s="584">
        <f ca="1">ROUND(VLOOKUP(C18,Recursos!B:J,9,FALSE),2)</f>
        <v>47073</v>
      </c>
      <c r="H18" s="585">
        <f ca="1">G18/$F$18</f>
        <v>1</v>
      </c>
      <c r="I18" s="509">
        <v>29</v>
      </c>
      <c r="J18" s="509">
        <v>1</v>
      </c>
      <c r="K18" s="509">
        <f t="shared" si="6"/>
        <v>29</v>
      </c>
      <c r="L18" s="509">
        <v>1</v>
      </c>
      <c r="M18" s="453" t="str">
        <f t="shared" si="7"/>
        <v/>
      </c>
      <c r="N18" s="453" t="str">
        <f t="shared" si="7"/>
        <v/>
      </c>
      <c r="O18" s="453" t="str">
        <f t="shared" si="7"/>
        <v/>
      </c>
      <c r="P18" s="453" t="str">
        <f t="shared" si="7"/>
        <v/>
      </c>
      <c r="Q18" s="453" t="str">
        <f t="shared" si="7"/>
        <v/>
      </c>
      <c r="R18" s="453" t="str">
        <f t="shared" si="7"/>
        <v/>
      </c>
      <c r="S18" s="453" t="str">
        <f t="shared" si="7"/>
        <v/>
      </c>
      <c r="T18" s="453" t="str">
        <f t="shared" si="7"/>
        <v/>
      </c>
      <c r="U18" s="453" t="str">
        <f t="shared" si="7"/>
        <v/>
      </c>
      <c r="V18" s="453" t="str">
        <f t="shared" si="7"/>
        <v/>
      </c>
      <c r="W18" s="453" t="str">
        <f t="shared" si="1"/>
        <v/>
      </c>
      <c r="X18" s="453" t="str">
        <f t="shared" si="1"/>
        <v/>
      </c>
      <c r="Y18" s="453" t="str">
        <f t="shared" si="1"/>
        <v/>
      </c>
      <c r="Z18" s="453" t="str">
        <f t="shared" si="1"/>
        <v/>
      </c>
      <c r="AA18" s="453" t="str">
        <f t="shared" si="1"/>
        <v/>
      </c>
      <c r="AB18" s="453" t="str">
        <f t="shared" si="1"/>
        <v/>
      </c>
      <c r="AC18" s="453" t="str">
        <f t="shared" si="1"/>
        <v/>
      </c>
      <c r="AD18" s="453" t="str">
        <f t="shared" si="1"/>
        <v/>
      </c>
      <c r="AE18" s="453" t="str">
        <f t="shared" si="1"/>
        <v/>
      </c>
      <c r="AF18" s="453" t="str">
        <f t="shared" si="1"/>
        <v/>
      </c>
      <c r="AG18" s="453" t="str">
        <f t="shared" si="2"/>
        <v/>
      </c>
      <c r="AH18" s="453" t="str">
        <f t="shared" si="2"/>
        <v/>
      </c>
      <c r="AI18" s="453" t="str">
        <f t="shared" si="2"/>
        <v/>
      </c>
      <c r="AJ18" s="453" t="str">
        <f t="shared" si="2"/>
        <v/>
      </c>
      <c r="AK18" s="453" t="str">
        <f t="shared" si="2"/>
        <v/>
      </c>
      <c r="AL18" s="453" t="str">
        <f t="shared" si="2"/>
        <v/>
      </c>
      <c r="AM18" s="453" t="str">
        <f t="shared" si="2"/>
        <v/>
      </c>
      <c r="AN18" s="453" t="str">
        <f t="shared" si="2"/>
        <v/>
      </c>
      <c r="AO18" s="453">
        <f t="shared" si="2"/>
        <v>0</v>
      </c>
      <c r="AP18" s="453">
        <f t="shared" si="2"/>
        <v>1</v>
      </c>
      <c r="AQ18" s="453" t="str">
        <f t="shared" si="2"/>
        <v/>
      </c>
      <c r="AR18" s="453" t="str">
        <f t="shared" si="2"/>
        <v/>
      </c>
      <c r="AS18" s="454" t="str">
        <f t="shared" si="2"/>
        <v/>
      </c>
      <c r="AT18" s="141">
        <f t="shared" si="8"/>
        <v>2</v>
      </c>
      <c r="AU18" s="215" t="s">
        <v>693</v>
      </c>
    </row>
    <row r="19" spans="1:47" ht="23.25" customHeight="1">
      <c r="A19" s="362" t="s">
        <v>753</v>
      </c>
      <c r="B19" s="687"/>
      <c r="C19" s="589" t="s">
        <v>753</v>
      </c>
      <c r="D19" s="624" t="str">
        <f>'Cronograma'!C20</f>
        <v>Apoio Documental Jurídico-Regulatório (ADJR)</v>
      </c>
      <c r="E19" s="591" t="s">
        <v>573</v>
      </c>
      <c r="F19" s="621">
        <f t="shared" ca="1" si="9"/>
        <v>21008.86</v>
      </c>
      <c r="G19" s="586">
        <f ca="1">ROUND(VLOOKUP(C19,Recursos!B:J,9,FALSE),2)</f>
        <v>21008.86</v>
      </c>
      <c r="H19" s="587">
        <f ca="1">G19/$F$19</f>
        <v>1</v>
      </c>
      <c r="I19" s="371">
        <v>5</v>
      </c>
      <c r="J19" s="371">
        <v>1</v>
      </c>
      <c r="K19" s="371">
        <f t="shared" si="6"/>
        <v>5</v>
      </c>
      <c r="L19" s="371">
        <v>1</v>
      </c>
      <c r="M19" s="399" t="str">
        <f t="shared" si="7"/>
        <v/>
      </c>
      <c r="N19" s="399" t="str">
        <f t="shared" si="7"/>
        <v/>
      </c>
      <c r="O19" s="399" t="str">
        <f t="shared" si="7"/>
        <v/>
      </c>
      <c r="P19" s="399" t="str">
        <f t="shared" si="7"/>
        <v/>
      </c>
      <c r="Q19" s="399">
        <f t="shared" si="7"/>
        <v>0</v>
      </c>
      <c r="R19" s="399">
        <f t="shared" si="7"/>
        <v>1</v>
      </c>
      <c r="S19" s="399" t="str">
        <f t="shared" si="7"/>
        <v/>
      </c>
      <c r="T19" s="399" t="str">
        <f t="shared" si="7"/>
        <v/>
      </c>
      <c r="U19" s="399" t="str">
        <f t="shared" si="7"/>
        <v/>
      </c>
      <c r="V19" s="399" t="str">
        <f t="shared" si="7"/>
        <v/>
      </c>
      <c r="W19" s="399" t="str">
        <f t="shared" si="1"/>
        <v/>
      </c>
      <c r="X19" s="399" t="str">
        <f t="shared" si="1"/>
        <v/>
      </c>
      <c r="Y19" s="399" t="str">
        <f t="shared" si="1"/>
        <v/>
      </c>
      <c r="Z19" s="399" t="str">
        <f t="shared" si="1"/>
        <v/>
      </c>
      <c r="AA19" s="399" t="str">
        <f t="shared" si="1"/>
        <v/>
      </c>
      <c r="AB19" s="399" t="str">
        <f t="shared" si="1"/>
        <v/>
      </c>
      <c r="AC19" s="399" t="str">
        <f t="shared" si="1"/>
        <v/>
      </c>
      <c r="AD19" s="399" t="str">
        <f t="shared" si="1"/>
        <v/>
      </c>
      <c r="AE19" s="399" t="str">
        <f t="shared" si="1"/>
        <v/>
      </c>
      <c r="AF19" s="399" t="str">
        <f t="shared" si="1"/>
        <v/>
      </c>
      <c r="AG19" s="399" t="str">
        <f t="shared" si="2"/>
        <v/>
      </c>
      <c r="AH19" s="399" t="str">
        <f t="shared" si="2"/>
        <v/>
      </c>
      <c r="AI19" s="399" t="str">
        <f t="shared" si="2"/>
        <v/>
      </c>
      <c r="AJ19" s="399" t="str">
        <f t="shared" si="2"/>
        <v/>
      </c>
      <c r="AK19" s="399" t="str">
        <f t="shared" si="2"/>
        <v/>
      </c>
      <c r="AL19" s="399" t="str">
        <f t="shared" si="2"/>
        <v/>
      </c>
      <c r="AM19" s="399" t="str">
        <f t="shared" si="2"/>
        <v/>
      </c>
      <c r="AN19" s="399" t="str">
        <f t="shared" si="2"/>
        <v/>
      </c>
      <c r="AO19" s="399" t="str">
        <f t="shared" si="2"/>
        <v/>
      </c>
      <c r="AP19" s="399" t="str">
        <f t="shared" si="2"/>
        <v/>
      </c>
      <c r="AQ19" s="399" t="str">
        <f t="shared" si="2"/>
        <v/>
      </c>
      <c r="AR19" s="399" t="str">
        <f t="shared" si="2"/>
        <v/>
      </c>
      <c r="AS19" s="400" t="str">
        <f t="shared" si="2"/>
        <v/>
      </c>
      <c r="AT19" s="141">
        <f t="shared" si="8"/>
        <v>2</v>
      </c>
      <c r="AU19" s="215" t="s">
        <v>330</v>
      </c>
    </row>
    <row r="20" spans="1:47" ht="23.25" customHeight="1">
      <c r="A20" s="362" t="s">
        <v>754</v>
      </c>
      <c r="B20" s="685" t="str">
        <f>"3. "&amp;'Cronograma'!C6</f>
        <v>3. EVTEA - Segmento 2 - Rio Grande (RS) - Pelotas (RS)</v>
      </c>
      <c r="C20" s="625" t="s">
        <v>754</v>
      </c>
      <c r="D20" s="688" t="s">
        <v>316</v>
      </c>
      <c r="E20" s="580" t="s">
        <v>600</v>
      </c>
      <c r="F20" s="683">
        <f ca="1">SUM(G20:G21)</f>
        <v>939371.16999999993</v>
      </c>
      <c r="G20" s="581">
        <f ca="1">ROUND(SUMIFS(Recursos!J:J,Recursos!A:A,C20),2)</f>
        <v>513823.61</v>
      </c>
      <c r="H20" s="582">
        <f ca="1">G20/$F$20</f>
        <v>0.54698677839985232</v>
      </c>
      <c r="I20" s="370">
        <v>3</v>
      </c>
      <c r="J20" s="370">
        <v>2</v>
      </c>
      <c r="K20" s="508">
        <f t="shared" si="4"/>
        <v>4</v>
      </c>
      <c r="L20" s="370">
        <v>1</v>
      </c>
      <c r="M20" s="397" t="str">
        <f t="shared" si="0"/>
        <v/>
      </c>
      <c r="N20" s="397" t="str">
        <f t="shared" si="0"/>
        <v/>
      </c>
      <c r="O20" s="397">
        <f t="shared" si="0"/>
        <v>0</v>
      </c>
      <c r="P20" s="397">
        <f t="shared" si="0"/>
        <v>0</v>
      </c>
      <c r="Q20" s="397">
        <f t="shared" si="0"/>
        <v>1</v>
      </c>
      <c r="R20" s="397" t="str">
        <f t="shared" si="0"/>
        <v/>
      </c>
      <c r="S20" s="397" t="str">
        <f t="shared" si="0"/>
        <v/>
      </c>
      <c r="T20" s="397" t="str">
        <f t="shared" si="0"/>
        <v/>
      </c>
      <c r="U20" s="397" t="str">
        <f t="shared" si="0"/>
        <v/>
      </c>
      <c r="V20" s="397" t="str">
        <f t="shared" si="0"/>
        <v/>
      </c>
      <c r="W20" s="397" t="str">
        <f t="shared" si="1"/>
        <v/>
      </c>
      <c r="X20" s="397" t="str">
        <f t="shared" si="1"/>
        <v/>
      </c>
      <c r="Y20" s="397" t="str">
        <f t="shared" si="1"/>
        <v/>
      </c>
      <c r="Z20" s="397" t="str">
        <f t="shared" si="1"/>
        <v/>
      </c>
      <c r="AA20" s="397" t="str">
        <f t="shared" si="1"/>
        <v/>
      </c>
      <c r="AB20" s="397" t="str">
        <f t="shared" si="1"/>
        <v/>
      </c>
      <c r="AC20" s="397" t="str">
        <f t="shared" si="1"/>
        <v/>
      </c>
      <c r="AD20" s="397" t="str">
        <f t="shared" si="1"/>
        <v/>
      </c>
      <c r="AE20" s="397" t="str">
        <f t="shared" si="1"/>
        <v/>
      </c>
      <c r="AF20" s="397" t="str">
        <f t="shared" si="1"/>
        <v/>
      </c>
      <c r="AG20" s="397" t="str">
        <f t="shared" si="2"/>
        <v/>
      </c>
      <c r="AH20" s="397" t="str">
        <f t="shared" si="2"/>
        <v/>
      </c>
      <c r="AI20" s="397" t="str">
        <f t="shared" si="2"/>
        <v/>
      </c>
      <c r="AJ20" s="397" t="str">
        <f t="shared" si="2"/>
        <v/>
      </c>
      <c r="AK20" s="397" t="str">
        <f t="shared" si="2"/>
        <v/>
      </c>
      <c r="AL20" s="397" t="str">
        <f t="shared" si="2"/>
        <v/>
      </c>
      <c r="AM20" s="397" t="str">
        <f t="shared" si="2"/>
        <v/>
      </c>
      <c r="AN20" s="397" t="str">
        <f t="shared" si="2"/>
        <v/>
      </c>
      <c r="AO20" s="397" t="str">
        <f t="shared" si="2"/>
        <v/>
      </c>
      <c r="AP20" s="397" t="str">
        <f t="shared" si="2"/>
        <v/>
      </c>
      <c r="AQ20" s="397" t="str">
        <f t="shared" si="2"/>
        <v/>
      </c>
      <c r="AR20" s="397" t="str">
        <f t="shared" si="2"/>
        <v/>
      </c>
      <c r="AS20" s="398" t="str">
        <f t="shared" si="2"/>
        <v/>
      </c>
      <c r="AT20" s="141">
        <v>3</v>
      </c>
      <c r="AU20" s="215" t="str">
        <f>AU10</f>
        <v>RCD-AP</v>
      </c>
    </row>
    <row r="21" spans="1:47" ht="23.25" customHeight="1">
      <c r="A21" s="362" t="s">
        <v>755</v>
      </c>
      <c r="B21" s="686"/>
      <c r="C21" s="626" t="s">
        <v>755</v>
      </c>
      <c r="D21" s="689"/>
      <c r="E21" s="583" t="s">
        <v>573</v>
      </c>
      <c r="F21" s="684"/>
      <c r="G21" s="584">
        <f ca="1">ROUND(SUMIFS(Recursos!J:J,Recursos!A:A,C21),2)</f>
        <v>425547.56</v>
      </c>
      <c r="H21" s="585">
        <f ca="1">G21/$F$20</f>
        <v>0.45301322160014773</v>
      </c>
      <c r="I21" s="509">
        <v>4</v>
      </c>
      <c r="J21" s="509">
        <v>3</v>
      </c>
      <c r="K21" s="510">
        <f t="shared" si="4"/>
        <v>6</v>
      </c>
      <c r="L21" s="509">
        <v>2</v>
      </c>
      <c r="M21" s="453" t="str">
        <f t="shared" si="0"/>
        <v/>
      </c>
      <c r="N21" s="453" t="str">
        <f t="shared" si="0"/>
        <v/>
      </c>
      <c r="O21" s="453" t="str">
        <f t="shared" si="0"/>
        <v/>
      </c>
      <c r="P21" s="453">
        <f t="shared" si="0"/>
        <v>0</v>
      </c>
      <c r="Q21" s="453">
        <f t="shared" si="0"/>
        <v>0</v>
      </c>
      <c r="R21" s="453">
        <f t="shared" si="0"/>
        <v>0</v>
      </c>
      <c r="S21" s="453">
        <f t="shared" si="0"/>
        <v>0</v>
      </c>
      <c r="T21" s="453">
        <f t="shared" si="0"/>
        <v>1</v>
      </c>
      <c r="U21" s="453" t="str">
        <f t="shared" si="0"/>
        <v/>
      </c>
      <c r="V21" s="453" t="str">
        <f t="shared" si="0"/>
        <v/>
      </c>
      <c r="W21" s="453" t="str">
        <f t="shared" si="1"/>
        <v/>
      </c>
      <c r="X21" s="453" t="str">
        <f t="shared" si="1"/>
        <v/>
      </c>
      <c r="Y21" s="453" t="str">
        <f t="shared" si="1"/>
        <v/>
      </c>
      <c r="Z21" s="453" t="str">
        <f t="shared" si="1"/>
        <v/>
      </c>
      <c r="AA21" s="453" t="str">
        <f t="shared" si="1"/>
        <v/>
      </c>
      <c r="AB21" s="453" t="str">
        <f t="shared" si="1"/>
        <v/>
      </c>
      <c r="AC21" s="453" t="str">
        <f t="shared" si="1"/>
        <v/>
      </c>
      <c r="AD21" s="453" t="str">
        <f t="shared" si="1"/>
        <v/>
      </c>
      <c r="AE21" s="453" t="str">
        <f t="shared" si="1"/>
        <v/>
      </c>
      <c r="AF21" s="453" t="str">
        <f t="shared" si="1"/>
        <v/>
      </c>
      <c r="AG21" s="453" t="str">
        <f t="shared" si="2"/>
        <v/>
      </c>
      <c r="AH21" s="453" t="str">
        <f t="shared" si="2"/>
        <v/>
      </c>
      <c r="AI21" s="453" t="str">
        <f t="shared" si="2"/>
        <v/>
      </c>
      <c r="AJ21" s="453" t="str">
        <f t="shared" si="2"/>
        <v/>
      </c>
      <c r="AK21" s="453" t="str">
        <f t="shared" si="2"/>
        <v/>
      </c>
      <c r="AL21" s="453" t="str">
        <f t="shared" si="2"/>
        <v/>
      </c>
      <c r="AM21" s="453" t="str">
        <f t="shared" si="2"/>
        <v/>
      </c>
      <c r="AN21" s="453" t="str">
        <f t="shared" si="2"/>
        <v/>
      </c>
      <c r="AO21" s="453" t="str">
        <f t="shared" si="2"/>
        <v/>
      </c>
      <c r="AP21" s="453" t="str">
        <f t="shared" si="2"/>
        <v/>
      </c>
      <c r="AQ21" s="453" t="str">
        <f t="shared" si="2"/>
        <v/>
      </c>
      <c r="AR21" s="453" t="str">
        <f t="shared" si="2"/>
        <v/>
      </c>
      <c r="AS21" s="454" t="str">
        <f t="shared" si="2"/>
        <v/>
      </c>
      <c r="AT21" s="141">
        <f t="shared" ref="AT21:AT41" si="10">AT20</f>
        <v>3</v>
      </c>
      <c r="AU21" s="215" t="str">
        <f t="shared" si="5"/>
        <v>RCD-AP</v>
      </c>
    </row>
    <row r="22" spans="1:47" ht="23.25" customHeight="1">
      <c r="A22" s="362" t="s">
        <v>713</v>
      </c>
      <c r="B22" s="686"/>
      <c r="C22" s="627" t="s">
        <v>713</v>
      </c>
      <c r="D22" s="623" t="s">
        <v>525</v>
      </c>
      <c r="E22" s="583" t="s">
        <v>573</v>
      </c>
      <c r="F22" s="620">
        <f ca="1">SUM(G22)</f>
        <v>229595.94</v>
      </c>
      <c r="G22" s="584">
        <f ca="1">ROUND(VLOOKUP(C22,Recursos!B:J,9,FALSE),2)</f>
        <v>229595.94</v>
      </c>
      <c r="H22" s="585">
        <f ca="1">G22/$F22</f>
        <v>1</v>
      </c>
      <c r="I22" s="509">
        <v>5</v>
      </c>
      <c r="J22" s="509">
        <v>2</v>
      </c>
      <c r="K22" s="509">
        <f t="shared" ref="K22:K30" si="11">(J22+I22)-1</f>
        <v>6</v>
      </c>
      <c r="L22" s="509">
        <v>2</v>
      </c>
      <c r="M22" s="453" t="str">
        <f t="shared" ref="M22:V30" si="12">IF(M$7=$K22,0,IF($K22+$L22=M$7,1,IF(AND(M$7&lt;=$K22+$L22,M$7&gt;=$I22),0,"")))</f>
        <v/>
      </c>
      <c r="N22" s="453" t="str">
        <f t="shared" si="12"/>
        <v/>
      </c>
      <c r="O22" s="453" t="str">
        <f t="shared" si="12"/>
        <v/>
      </c>
      <c r="P22" s="453" t="str">
        <f t="shared" si="12"/>
        <v/>
      </c>
      <c r="Q22" s="453">
        <f t="shared" si="12"/>
        <v>0</v>
      </c>
      <c r="R22" s="453">
        <f t="shared" si="12"/>
        <v>0</v>
      </c>
      <c r="S22" s="453">
        <f t="shared" si="12"/>
        <v>0</v>
      </c>
      <c r="T22" s="453">
        <f t="shared" si="12"/>
        <v>1</v>
      </c>
      <c r="U22" s="453" t="str">
        <f t="shared" si="12"/>
        <v/>
      </c>
      <c r="V22" s="453" t="str">
        <f t="shared" si="12"/>
        <v/>
      </c>
      <c r="W22" s="453" t="str">
        <f t="shared" si="1"/>
        <v/>
      </c>
      <c r="X22" s="453" t="str">
        <f t="shared" si="1"/>
        <v/>
      </c>
      <c r="Y22" s="453" t="str">
        <f t="shared" si="1"/>
        <v/>
      </c>
      <c r="Z22" s="453" t="str">
        <f t="shared" si="1"/>
        <v/>
      </c>
      <c r="AA22" s="453" t="str">
        <f t="shared" si="1"/>
        <v/>
      </c>
      <c r="AB22" s="453" t="str">
        <f t="shared" si="1"/>
        <v/>
      </c>
      <c r="AC22" s="453" t="str">
        <f t="shared" si="1"/>
        <v/>
      </c>
      <c r="AD22" s="453" t="str">
        <f t="shared" si="1"/>
        <v/>
      </c>
      <c r="AE22" s="453" t="str">
        <f t="shared" si="1"/>
        <v/>
      </c>
      <c r="AF22" s="453" t="str">
        <f t="shared" si="1"/>
        <v/>
      </c>
      <c r="AG22" s="453" t="str">
        <f t="shared" si="2"/>
        <v/>
      </c>
      <c r="AH22" s="453" t="str">
        <f t="shared" si="2"/>
        <v/>
      </c>
      <c r="AI22" s="453" t="str">
        <f t="shared" si="2"/>
        <v/>
      </c>
      <c r="AJ22" s="453" t="str">
        <f t="shared" si="2"/>
        <v/>
      </c>
      <c r="AK22" s="453" t="str">
        <f t="shared" si="2"/>
        <v/>
      </c>
      <c r="AL22" s="453" t="str">
        <f t="shared" si="2"/>
        <v/>
      </c>
      <c r="AM22" s="453" t="str">
        <f t="shared" si="2"/>
        <v/>
      </c>
      <c r="AN22" s="453" t="str">
        <f t="shared" si="2"/>
        <v/>
      </c>
      <c r="AO22" s="453" t="str">
        <f t="shared" si="2"/>
        <v/>
      </c>
      <c r="AP22" s="453" t="str">
        <f t="shared" si="2"/>
        <v/>
      </c>
      <c r="AQ22" s="453" t="str">
        <f t="shared" si="2"/>
        <v/>
      </c>
      <c r="AR22" s="453" t="str">
        <f t="shared" si="2"/>
        <v/>
      </c>
      <c r="AS22" s="454" t="str">
        <f t="shared" si="2"/>
        <v/>
      </c>
      <c r="AT22" s="141">
        <f t="shared" si="10"/>
        <v>3</v>
      </c>
      <c r="AU22" s="215" t="str">
        <f t="shared" ref="AU22:AU30" si="13">AU11</f>
        <v>RCD-AP</v>
      </c>
    </row>
    <row r="23" spans="1:47" ht="23.25" customHeight="1">
      <c r="A23" s="362" t="s">
        <v>725</v>
      </c>
      <c r="B23" s="686"/>
      <c r="C23" s="682" t="s">
        <v>725</v>
      </c>
      <c r="D23" s="690" t="s">
        <v>317</v>
      </c>
      <c r="E23" s="583" t="s">
        <v>600</v>
      </c>
      <c r="F23" s="684">
        <f ca="1">SUM(G23:G24)</f>
        <v>247949.46000000002</v>
      </c>
      <c r="G23" s="584">
        <f ca="1">ROUND(VLOOKUP(C23,Recursos!B:J,9,FALSE)*0.2,2)</f>
        <v>49589.89</v>
      </c>
      <c r="H23" s="585">
        <f t="shared" ref="H23:H41" ca="1" si="14">G23/$F23</f>
        <v>0.19999999193384005</v>
      </c>
      <c r="I23" s="509">
        <v>6</v>
      </c>
      <c r="J23" s="509">
        <v>0.5</v>
      </c>
      <c r="K23" s="509">
        <f t="shared" si="11"/>
        <v>5.5</v>
      </c>
      <c r="L23" s="509">
        <v>0.5</v>
      </c>
      <c r="M23" s="453" t="str">
        <f t="shared" si="12"/>
        <v/>
      </c>
      <c r="N23" s="453" t="str">
        <f t="shared" si="12"/>
        <v/>
      </c>
      <c r="O23" s="453" t="str">
        <f t="shared" si="12"/>
        <v/>
      </c>
      <c r="P23" s="453" t="str">
        <f t="shared" si="12"/>
        <v/>
      </c>
      <c r="Q23" s="453" t="str">
        <f t="shared" si="12"/>
        <v/>
      </c>
      <c r="R23" s="453">
        <f t="shared" si="12"/>
        <v>1</v>
      </c>
      <c r="S23" s="453" t="str">
        <f t="shared" si="12"/>
        <v/>
      </c>
      <c r="T23" s="453" t="str">
        <f t="shared" si="12"/>
        <v/>
      </c>
      <c r="U23" s="453" t="str">
        <f t="shared" si="12"/>
        <v/>
      </c>
      <c r="V23" s="453" t="str">
        <f t="shared" si="12"/>
        <v/>
      </c>
      <c r="W23" s="453" t="str">
        <f t="shared" si="1"/>
        <v/>
      </c>
      <c r="X23" s="453" t="str">
        <f t="shared" si="1"/>
        <v/>
      </c>
      <c r="Y23" s="453" t="str">
        <f t="shared" si="1"/>
        <v/>
      </c>
      <c r="Z23" s="453" t="str">
        <f t="shared" si="1"/>
        <v/>
      </c>
      <c r="AA23" s="453" t="str">
        <f t="shared" si="1"/>
        <v/>
      </c>
      <c r="AB23" s="453" t="str">
        <f t="shared" si="1"/>
        <v/>
      </c>
      <c r="AC23" s="453" t="str">
        <f t="shared" si="1"/>
        <v/>
      </c>
      <c r="AD23" s="453" t="str">
        <f t="shared" si="1"/>
        <v/>
      </c>
      <c r="AE23" s="453" t="str">
        <f t="shared" si="1"/>
        <v/>
      </c>
      <c r="AF23" s="453" t="str">
        <f t="shared" si="1"/>
        <v/>
      </c>
      <c r="AG23" s="453" t="str">
        <f t="shared" si="2"/>
        <v/>
      </c>
      <c r="AH23" s="453" t="str">
        <f t="shared" si="2"/>
        <v/>
      </c>
      <c r="AI23" s="453" t="str">
        <f t="shared" si="2"/>
        <v/>
      </c>
      <c r="AJ23" s="453" t="str">
        <f t="shared" si="2"/>
        <v/>
      </c>
      <c r="AK23" s="453" t="str">
        <f t="shared" si="2"/>
        <v/>
      </c>
      <c r="AL23" s="453" t="str">
        <f t="shared" si="2"/>
        <v/>
      </c>
      <c r="AM23" s="453" t="str">
        <f t="shared" si="2"/>
        <v/>
      </c>
      <c r="AN23" s="453" t="str">
        <f t="shared" si="2"/>
        <v/>
      </c>
      <c r="AO23" s="453" t="str">
        <f t="shared" si="2"/>
        <v/>
      </c>
      <c r="AP23" s="453" t="str">
        <f t="shared" si="2"/>
        <v/>
      </c>
      <c r="AQ23" s="453" t="str">
        <f t="shared" si="2"/>
        <v/>
      </c>
      <c r="AR23" s="453" t="str">
        <f t="shared" si="2"/>
        <v/>
      </c>
      <c r="AS23" s="454" t="str">
        <f t="shared" si="2"/>
        <v/>
      </c>
      <c r="AT23" s="141">
        <f t="shared" si="10"/>
        <v>3</v>
      </c>
      <c r="AU23" s="519" t="str">
        <f t="shared" si="13"/>
        <v>RCD</v>
      </c>
    </row>
    <row r="24" spans="1:47" ht="23.25" customHeight="1">
      <c r="A24" s="362" t="s">
        <v>725</v>
      </c>
      <c r="B24" s="686"/>
      <c r="C24" s="682"/>
      <c r="D24" s="690"/>
      <c r="E24" s="583" t="s">
        <v>573</v>
      </c>
      <c r="F24" s="684"/>
      <c r="G24" s="584">
        <f ca="1">ROUND(VLOOKUP(C23,Recursos!B:J,9,FALSE),2)-G23</f>
        <v>198359.57</v>
      </c>
      <c r="H24" s="585">
        <f ca="1">G24/$F23</f>
        <v>0.8000000080661599</v>
      </c>
      <c r="I24" s="509">
        <v>6</v>
      </c>
      <c r="J24" s="509">
        <v>2</v>
      </c>
      <c r="K24" s="509">
        <f t="shared" si="11"/>
        <v>7</v>
      </c>
      <c r="L24" s="509">
        <v>1</v>
      </c>
      <c r="M24" s="453" t="str">
        <f t="shared" si="12"/>
        <v/>
      </c>
      <c r="N24" s="453" t="str">
        <f t="shared" si="12"/>
        <v/>
      </c>
      <c r="O24" s="453" t="str">
        <f t="shared" si="12"/>
        <v/>
      </c>
      <c r="P24" s="453" t="str">
        <f t="shared" si="12"/>
        <v/>
      </c>
      <c r="Q24" s="453" t="str">
        <f t="shared" si="12"/>
        <v/>
      </c>
      <c r="R24" s="453">
        <f t="shared" si="12"/>
        <v>0</v>
      </c>
      <c r="S24" s="453">
        <f t="shared" si="12"/>
        <v>0</v>
      </c>
      <c r="T24" s="453">
        <f t="shared" si="12"/>
        <v>1</v>
      </c>
      <c r="U24" s="453" t="str">
        <f t="shared" si="12"/>
        <v/>
      </c>
      <c r="V24" s="453" t="str">
        <f t="shared" si="12"/>
        <v/>
      </c>
      <c r="W24" s="453" t="str">
        <f t="shared" si="1"/>
        <v/>
      </c>
      <c r="X24" s="453" t="str">
        <f t="shared" si="1"/>
        <v/>
      </c>
      <c r="Y24" s="453" t="str">
        <f t="shared" si="1"/>
        <v/>
      </c>
      <c r="Z24" s="453" t="str">
        <f t="shared" si="1"/>
        <v/>
      </c>
      <c r="AA24" s="453" t="str">
        <f t="shared" si="1"/>
        <v/>
      </c>
      <c r="AB24" s="453" t="str">
        <f t="shared" si="1"/>
        <v/>
      </c>
      <c r="AC24" s="453" t="str">
        <f t="shared" si="1"/>
        <v/>
      </c>
      <c r="AD24" s="453" t="str">
        <f t="shared" si="1"/>
        <v/>
      </c>
      <c r="AE24" s="453" t="str">
        <f t="shared" si="1"/>
        <v/>
      </c>
      <c r="AF24" s="453" t="str">
        <f t="shared" si="1"/>
        <v/>
      </c>
      <c r="AG24" s="453" t="str">
        <f t="shared" si="2"/>
        <v/>
      </c>
      <c r="AH24" s="453" t="str">
        <f t="shared" si="2"/>
        <v/>
      </c>
      <c r="AI24" s="453" t="str">
        <f t="shared" si="2"/>
        <v/>
      </c>
      <c r="AJ24" s="453" t="str">
        <f t="shared" si="2"/>
        <v/>
      </c>
      <c r="AK24" s="453" t="str">
        <f t="shared" si="2"/>
        <v/>
      </c>
      <c r="AL24" s="453" t="str">
        <f t="shared" si="2"/>
        <v/>
      </c>
      <c r="AM24" s="453" t="str">
        <f t="shared" si="2"/>
        <v/>
      </c>
      <c r="AN24" s="453" t="str">
        <f t="shared" si="2"/>
        <v/>
      </c>
      <c r="AO24" s="453" t="str">
        <f t="shared" si="2"/>
        <v/>
      </c>
      <c r="AP24" s="453" t="str">
        <f t="shared" si="2"/>
        <v/>
      </c>
      <c r="AQ24" s="453" t="str">
        <f t="shared" si="2"/>
        <v/>
      </c>
      <c r="AR24" s="453" t="str">
        <f t="shared" si="2"/>
        <v/>
      </c>
      <c r="AS24" s="454" t="str">
        <f t="shared" si="2"/>
        <v/>
      </c>
      <c r="AT24" s="141">
        <f t="shared" si="10"/>
        <v>3</v>
      </c>
      <c r="AU24" s="519" t="str">
        <f t="shared" si="13"/>
        <v>RCD-AP</v>
      </c>
    </row>
    <row r="25" spans="1:47" ht="23.25" customHeight="1">
      <c r="A25" s="362" t="s">
        <v>756</v>
      </c>
      <c r="B25" s="686"/>
      <c r="C25" s="627" t="s">
        <v>756</v>
      </c>
      <c r="D25" s="623" t="str">
        <f>'Cronograma'!C28</f>
        <v>Dimensão Socioambiental (EMA)</v>
      </c>
      <c r="E25" s="583" t="s">
        <v>573</v>
      </c>
      <c r="F25" s="620">
        <f t="shared" ref="F25:F30" ca="1" si="15">SUM(G25)</f>
        <v>170721.67</v>
      </c>
      <c r="G25" s="584">
        <f ca="1">ROUND(VLOOKUP(C25,Recursos!B:J,9,FALSE),2)</f>
        <v>170721.67</v>
      </c>
      <c r="H25" s="585">
        <f t="shared" ca="1" si="14"/>
        <v>1</v>
      </c>
      <c r="I25" s="509">
        <v>4</v>
      </c>
      <c r="J25" s="509">
        <v>2</v>
      </c>
      <c r="K25" s="509">
        <f t="shared" si="11"/>
        <v>5</v>
      </c>
      <c r="L25" s="509">
        <v>2</v>
      </c>
      <c r="M25" s="453" t="str">
        <f t="shared" si="12"/>
        <v/>
      </c>
      <c r="N25" s="453" t="str">
        <f t="shared" si="12"/>
        <v/>
      </c>
      <c r="O25" s="453" t="str">
        <f t="shared" si="12"/>
        <v/>
      </c>
      <c r="P25" s="453">
        <f t="shared" si="12"/>
        <v>0</v>
      </c>
      <c r="Q25" s="453">
        <f t="shared" si="12"/>
        <v>0</v>
      </c>
      <c r="R25" s="453">
        <f t="shared" si="12"/>
        <v>0</v>
      </c>
      <c r="S25" s="453">
        <f t="shared" si="12"/>
        <v>1</v>
      </c>
      <c r="T25" s="453" t="str">
        <f t="shared" si="12"/>
        <v/>
      </c>
      <c r="U25" s="453" t="str">
        <f t="shared" si="12"/>
        <v/>
      </c>
      <c r="V25" s="453" t="str">
        <f t="shared" si="12"/>
        <v/>
      </c>
      <c r="W25" s="453" t="str">
        <f t="shared" si="1"/>
        <v/>
      </c>
      <c r="X25" s="453" t="str">
        <f t="shared" si="1"/>
        <v/>
      </c>
      <c r="Y25" s="453" t="str">
        <f t="shared" si="1"/>
        <v/>
      </c>
      <c r="Z25" s="453" t="str">
        <f t="shared" si="1"/>
        <v/>
      </c>
      <c r="AA25" s="453" t="str">
        <f t="shared" si="1"/>
        <v/>
      </c>
      <c r="AB25" s="453" t="str">
        <f t="shared" si="1"/>
        <v/>
      </c>
      <c r="AC25" s="453" t="str">
        <f t="shared" si="1"/>
        <v/>
      </c>
      <c r="AD25" s="453" t="str">
        <f t="shared" si="1"/>
        <v/>
      </c>
      <c r="AE25" s="453" t="str">
        <f t="shared" si="1"/>
        <v/>
      </c>
      <c r="AF25" s="453" t="str">
        <f t="shared" si="1"/>
        <v/>
      </c>
      <c r="AG25" s="453" t="str">
        <f t="shared" si="2"/>
        <v/>
      </c>
      <c r="AH25" s="453" t="str">
        <f t="shared" si="2"/>
        <v/>
      </c>
      <c r="AI25" s="453" t="str">
        <f t="shared" si="2"/>
        <v/>
      </c>
      <c r="AJ25" s="453" t="str">
        <f t="shared" si="2"/>
        <v/>
      </c>
      <c r="AK25" s="453" t="str">
        <f t="shared" si="2"/>
        <v/>
      </c>
      <c r="AL25" s="453" t="str">
        <f t="shared" si="2"/>
        <v/>
      </c>
      <c r="AM25" s="453" t="str">
        <f t="shared" si="2"/>
        <v/>
      </c>
      <c r="AN25" s="453" t="str">
        <f t="shared" si="2"/>
        <v/>
      </c>
      <c r="AO25" s="453" t="str">
        <f t="shared" si="2"/>
        <v/>
      </c>
      <c r="AP25" s="453" t="str">
        <f t="shared" si="2"/>
        <v/>
      </c>
      <c r="AQ25" s="453" t="str">
        <f t="shared" si="2"/>
        <v/>
      </c>
      <c r="AR25" s="453" t="str">
        <f t="shared" si="2"/>
        <v/>
      </c>
      <c r="AS25" s="454" t="str">
        <f t="shared" si="2"/>
        <v/>
      </c>
      <c r="AT25" s="141">
        <f t="shared" si="10"/>
        <v>3</v>
      </c>
      <c r="AU25" s="215" t="str">
        <f t="shared" si="13"/>
        <v>RCD-AP</v>
      </c>
    </row>
    <row r="26" spans="1:47" ht="23.25" customHeight="1">
      <c r="A26" s="362" t="s">
        <v>757</v>
      </c>
      <c r="B26" s="686"/>
      <c r="C26" s="627" t="s">
        <v>757</v>
      </c>
      <c r="D26" s="623" t="str">
        <f>'Cronograma'!C29</f>
        <v>Dimensão Econômico-Financeira (MEF)</v>
      </c>
      <c r="E26" s="583" t="s">
        <v>573</v>
      </c>
      <c r="F26" s="620">
        <f t="shared" ca="1" si="15"/>
        <v>39196.9</v>
      </c>
      <c r="G26" s="584">
        <f ca="1">ROUND(VLOOKUP(C26,Recursos!B:J,9,FALSE),2)</f>
        <v>39196.9</v>
      </c>
      <c r="H26" s="585">
        <f t="shared" ca="1" si="14"/>
        <v>1</v>
      </c>
      <c r="I26" s="509">
        <v>8</v>
      </c>
      <c r="J26" s="509">
        <v>1</v>
      </c>
      <c r="K26" s="509">
        <f t="shared" si="11"/>
        <v>8</v>
      </c>
      <c r="L26" s="509">
        <v>1</v>
      </c>
      <c r="M26" s="453" t="str">
        <f t="shared" si="12"/>
        <v/>
      </c>
      <c r="N26" s="453" t="str">
        <f t="shared" si="12"/>
        <v/>
      </c>
      <c r="O26" s="453" t="str">
        <f t="shared" si="12"/>
        <v/>
      </c>
      <c r="P26" s="453" t="str">
        <f t="shared" si="12"/>
        <v/>
      </c>
      <c r="Q26" s="453" t="str">
        <f t="shared" si="12"/>
        <v/>
      </c>
      <c r="R26" s="453" t="str">
        <f t="shared" si="12"/>
        <v/>
      </c>
      <c r="S26" s="453" t="str">
        <f t="shared" si="12"/>
        <v/>
      </c>
      <c r="T26" s="453">
        <f t="shared" si="12"/>
        <v>0</v>
      </c>
      <c r="U26" s="453">
        <f t="shared" si="12"/>
        <v>1</v>
      </c>
      <c r="V26" s="453" t="str">
        <f t="shared" si="12"/>
        <v/>
      </c>
      <c r="W26" s="453" t="str">
        <f t="shared" si="1"/>
        <v/>
      </c>
      <c r="X26" s="453" t="str">
        <f t="shared" si="1"/>
        <v/>
      </c>
      <c r="Y26" s="453" t="str">
        <f t="shared" si="1"/>
        <v/>
      </c>
      <c r="Z26" s="453" t="str">
        <f t="shared" si="1"/>
        <v/>
      </c>
      <c r="AA26" s="453" t="str">
        <f t="shared" si="1"/>
        <v/>
      </c>
      <c r="AB26" s="453" t="str">
        <f t="shared" si="1"/>
        <v/>
      </c>
      <c r="AC26" s="453" t="str">
        <f t="shared" si="1"/>
        <v/>
      </c>
      <c r="AD26" s="453" t="str">
        <f t="shared" si="1"/>
        <v/>
      </c>
      <c r="AE26" s="453" t="str">
        <f t="shared" si="1"/>
        <v/>
      </c>
      <c r="AF26" s="453" t="str">
        <f t="shared" si="1"/>
        <v/>
      </c>
      <c r="AG26" s="453" t="str">
        <f t="shared" si="2"/>
        <v/>
      </c>
      <c r="AH26" s="453" t="str">
        <f t="shared" si="2"/>
        <v/>
      </c>
      <c r="AI26" s="453" t="str">
        <f t="shared" si="2"/>
        <v/>
      </c>
      <c r="AJ26" s="453" t="str">
        <f t="shared" si="2"/>
        <v/>
      </c>
      <c r="AK26" s="453" t="str">
        <f t="shared" si="2"/>
        <v/>
      </c>
      <c r="AL26" s="453" t="str">
        <f t="shared" si="2"/>
        <v/>
      </c>
      <c r="AM26" s="453" t="str">
        <f t="shared" si="2"/>
        <v/>
      </c>
      <c r="AN26" s="453" t="str">
        <f t="shared" si="2"/>
        <v/>
      </c>
      <c r="AO26" s="453" t="str">
        <f t="shared" si="2"/>
        <v/>
      </c>
      <c r="AP26" s="453" t="str">
        <f t="shared" si="2"/>
        <v/>
      </c>
      <c r="AQ26" s="453" t="str">
        <f t="shared" si="2"/>
        <v/>
      </c>
      <c r="AR26" s="453" t="str">
        <f t="shared" si="2"/>
        <v/>
      </c>
      <c r="AS26" s="454" t="str">
        <f t="shared" si="2"/>
        <v/>
      </c>
      <c r="AT26" s="141">
        <f t="shared" si="10"/>
        <v>3</v>
      </c>
      <c r="AU26" s="215" t="str">
        <f t="shared" si="13"/>
        <v>RCD-AP</v>
      </c>
    </row>
    <row r="27" spans="1:47" ht="28.5" customHeight="1">
      <c r="A27" s="362" t="s">
        <v>758</v>
      </c>
      <c r="B27" s="686"/>
      <c r="C27" s="588" t="s">
        <v>758</v>
      </c>
      <c r="D27" s="623" t="str">
        <f>'Cronograma'!C30</f>
        <v>Apoio e revisão pós Audiência Pública</v>
      </c>
      <c r="E27" s="590" t="s">
        <v>688</v>
      </c>
      <c r="F27" s="620">
        <f t="shared" ca="1" si="15"/>
        <v>159180.87</v>
      </c>
      <c r="G27" s="584">
        <f ca="1">ROUND(VLOOKUP(C27,Recursos!B:J,9,FALSE),2)</f>
        <v>159180.87</v>
      </c>
      <c r="H27" s="585">
        <f t="shared" ca="1" si="14"/>
        <v>1</v>
      </c>
      <c r="I27" s="509">
        <v>19</v>
      </c>
      <c r="J27" s="509">
        <v>1</v>
      </c>
      <c r="K27" s="509">
        <f t="shared" si="11"/>
        <v>19</v>
      </c>
      <c r="L27" s="509">
        <v>1</v>
      </c>
      <c r="M27" s="453" t="str">
        <f t="shared" si="12"/>
        <v/>
      </c>
      <c r="N27" s="453" t="str">
        <f t="shared" si="12"/>
        <v/>
      </c>
      <c r="O27" s="453" t="str">
        <f t="shared" si="12"/>
        <v/>
      </c>
      <c r="P27" s="453" t="str">
        <f t="shared" si="12"/>
        <v/>
      </c>
      <c r="Q27" s="453" t="str">
        <f t="shared" si="12"/>
        <v/>
      </c>
      <c r="R27" s="453" t="str">
        <f t="shared" si="12"/>
        <v/>
      </c>
      <c r="S27" s="453" t="str">
        <f t="shared" si="12"/>
        <v/>
      </c>
      <c r="T27" s="453" t="str">
        <f t="shared" si="12"/>
        <v/>
      </c>
      <c r="U27" s="453" t="str">
        <f t="shared" si="12"/>
        <v/>
      </c>
      <c r="V27" s="453" t="str">
        <f t="shared" si="12"/>
        <v/>
      </c>
      <c r="W27" s="453" t="str">
        <f t="shared" si="1"/>
        <v/>
      </c>
      <c r="X27" s="453" t="str">
        <f t="shared" si="1"/>
        <v/>
      </c>
      <c r="Y27" s="453" t="str">
        <f t="shared" si="1"/>
        <v/>
      </c>
      <c r="Z27" s="453" t="str">
        <f t="shared" si="1"/>
        <v/>
      </c>
      <c r="AA27" s="453" t="str">
        <f t="shared" si="1"/>
        <v/>
      </c>
      <c r="AB27" s="453" t="str">
        <f t="shared" si="1"/>
        <v/>
      </c>
      <c r="AC27" s="453" t="str">
        <f t="shared" si="1"/>
        <v/>
      </c>
      <c r="AD27" s="453" t="str">
        <f t="shared" si="1"/>
        <v/>
      </c>
      <c r="AE27" s="453">
        <f t="shared" si="1"/>
        <v>0</v>
      </c>
      <c r="AF27" s="453">
        <f t="shared" si="1"/>
        <v>1</v>
      </c>
      <c r="AG27" s="453" t="str">
        <f t="shared" si="2"/>
        <v/>
      </c>
      <c r="AH27" s="453" t="str">
        <f t="shared" si="2"/>
        <v/>
      </c>
      <c r="AI27" s="453" t="str">
        <f t="shared" si="2"/>
        <v/>
      </c>
      <c r="AJ27" s="453" t="str">
        <f t="shared" si="2"/>
        <v/>
      </c>
      <c r="AK27" s="453" t="str">
        <f t="shared" si="2"/>
        <v/>
      </c>
      <c r="AL27" s="453" t="str">
        <f t="shared" si="2"/>
        <v/>
      </c>
      <c r="AM27" s="453" t="str">
        <f t="shared" si="2"/>
        <v/>
      </c>
      <c r="AN27" s="453" t="str">
        <f t="shared" si="2"/>
        <v/>
      </c>
      <c r="AO27" s="453" t="str">
        <f t="shared" ref="AG27:AS32" si="16">IF(AO$7=$K27,0,IF($K27+$L27=AO$7,1,IF(AND(AO$7&lt;=$K27+$L27,AO$7&gt;=$I27),0,"")))</f>
        <v/>
      </c>
      <c r="AP27" s="453" t="str">
        <f t="shared" si="16"/>
        <v/>
      </c>
      <c r="AQ27" s="453" t="str">
        <f t="shared" si="16"/>
        <v/>
      </c>
      <c r="AR27" s="453" t="str">
        <f t="shared" si="16"/>
        <v/>
      </c>
      <c r="AS27" s="454" t="str">
        <f t="shared" si="16"/>
        <v/>
      </c>
      <c r="AT27" s="141">
        <f t="shared" si="10"/>
        <v>3</v>
      </c>
      <c r="AU27" s="215" t="str">
        <f t="shared" si="13"/>
        <v>RAP</v>
      </c>
    </row>
    <row r="28" spans="1:47" ht="28.5" customHeight="1">
      <c r="A28" s="362" t="s">
        <v>759</v>
      </c>
      <c r="B28" s="686"/>
      <c r="C28" s="588" t="s">
        <v>759</v>
      </c>
      <c r="D28" s="623" t="str">
        <f>'Cronograma'!C31</f>
        <v>Apoio a subsídios a questionamentos do órgão de controle externo</v>
      </c>
      <c r="E28" s="590" t="s">
        <v>689</v>
      </c>
      <c r="F28" s="620">
        <f t="shared" ca="1" si="15"/>
        <v>75835.320000000007</v>
      </c>
      <c r="G28" s="584">
        <f ca="1">ROUND(VLOOKUP(C28,Recursos!B:J,9,FALSE),2)</f>
        <v>75835.320000000007</v>
      </c>
      <c r="H28" s="585">
        <f t="shared" ca="1" si="14"/>
        <v>1</v>
      </c>
      <c r="I28" s="509">
        <v>24</v>
      </c>
      <c r="J28" s="509">
        <v>1</v>
      </c>
      <c r="K28" s="509">
        <f t="shared" si="11"/>
        <v>24</v>
      </c>
      <c r="L28" s="509">
        <v>1</v>
      </c>
      <c r="M28" s="453" t="str">
        <f t="shared" si="12"/>
        <v/>
      </c>
      <c r="N28" s="453" t="str">
        <f t="shared" si="12"/>
        <v/>
      </c>
      <c r="O28" s="453" t="str">
        <f t="shared" si="12"/>
        <v/>
      </c>
      <c r="P28" s="453" t="str">
        <f t="shared" si="12"/>
        <v/>
      </c>
      <c r="Q28" s="453" t="str">
        <f t="shared" si="12"/>
        <v/>
      </c>
      <c r="R28" s="453" t="str">
        <f t="shared" si="12"/>
        <v/>
      </c>
      <c r="S28" s="453" t="str">
        <f t="shared" si="12"/>
        <v/>
      </c>
      <c r="T28" s="453" t="str">
        <f t="shared" si="12"/>
        <v/>
      </c>
      <c r="U28" s="453" t="str">
        <f t="shared" si="12"/>
        <v/>
      </c>
      <c r="V28" s="453" t="str">
        <f t="shared" si="12"/>
        <v/>
      </c>
      <c r="W28" s="453" t="str">
        <f t="shared" si="1"/>
        <v/>
      </c>
      <c r="X28" s="453" t="str">
        <f t="shared" si="1"/>
        <v/>
      </c>
      <c r="Y28" s="453" t="str">
        <f t="shared" si="1"/>
        <v/>
      </c>
      <c r="Z28" s="453" t="str">
        <f t="shared" si="1"/>
        <v/>
      </c>
      <c r="AA28" s="453" t="str">
        <f t="shared" si="1"/>
        <v/>
      </c>
      <c r="AB28" s="453" t="str">
        <f t="shared" si="1"/>
        <v/>
      </c>
      <c r="AC28" s="453" t="str">
        <f t="shared" si="1"/>
        <v/>
      </c>
      <c r="AD28" s="453" t="str">
        <f t="shared" si="1"/>
        <v/>
      </c>
      <c r="AE28" s="453" t="str">
        <f t="shared" si="1"/>
        <v/>
      </c>
      <c r="AF28" s="453" t="str">
        <f t="shared" si="1"/>
        <v/>
      </c>
      <c r="AG28" s="453" t="str">
        <f t="shared" si="16"/>
        <v/>
      </c>
      <c r="AH28" s="453" t="str">
        <f t="shared" si="16"/>
        <v/>
      </c>
      <c r="AI28" s="453" t="str">
        <f t="shared" si="16"/>
        <v/>
      </c>
      <c r="AJ28" s="453">
        <f t="shared" si="16"/>
        <v>0</v>
      </c>
      <c r="AK28" s="453">
        <f t="shared" si="16"/>
        <v>1</v>
      </c>
      <c r="AL28" s="453" t="str">
        <f t="shared" si="16"/>
        <v/>
      </c>
      <c r="AM28" s="453" t="str">
        <f t="shared" si="16"/>
        <v/>
      </c>
      <c r="AN28" s="453" t="str">
        <f t="shared" si="16"/>
        <v/>
      </c>
      <c r="AO28" s="453" t="str">
        <f t="shared" si="16"/>
        <v/>
      </c>
      <c r="AP28" s="453" t="str">
        <f t="shared" si="16"/>
        <v/>
      </c>
      <c r="AQ28" s="453" t="str">
        <f t="shared" si="16"/>
        <v/>
      </c>
      <c r="AR28" s="453" t="str">
        <f t="shared" si="16"/>
        <v/>
      </c>
      <c r="AS28" s="454" t="str">
        <f t="shared" si="16"/>
        <v/>
      </c>
      <c r="AT28" s="141">
        <f t="shared" si="10"/>
        <v>3</v>
      </c>
      <c r="AU28" s="215" t="str">
        <f t="shared" si="13"/>
        <v>RTC</v>
      </c>
    </row>
    <row r="29" spans="1:47" ht="28.5" customHeight="1">
      <c r="A29" s="362" t="s">
        <v>760</v>
      </c>
      <c r="B29" s="686"/>
      <c r="C29" s="588" t="s">
        <v>760</v>
      </c>
      <c r="D29" s="623" t="str">
        <f>'Cronograma'!C32</f>
        <v>Apoio a subsídios a questionamentos do processo licitatório</v>
      </c>
      <c r="E29" s="590" t="s">
        <v>690</v>
      </c>
      <c r="F29" s="620">
        <f t="shared" ca="1" si="15"/>
        <v>47073</v>
      </c>
      <c r="G29" s="584">
        <f ca="1">ROUND(VLOOKUP(C29,Recursos!B:J,9,FALSE),2)</f>
        <v>47073</v>
      </c>
      <c r="H29" s="585">
        <f t="shared" ca="1" si="14"/>
        <v>1</v>
      </c>
      <c r="I29" s="509">
        <v>30</v>
      </c>
      <c r="J29" s="509">
        <v>1</v>
      </c>
      <c r="K29" s="509">
        <f t="shared" si="11"/>
        <v>30</v>
      </c>
      <c r="L29" s="509">
        <v>1</v>
      </c>
      <c r="M29" s="453" t="str">
        <f t="shared" si="12"/>
        <v/>
      </c>
      <c r="N29" s="453" t="str">
        <f t="shared" si="12"/>
        <v/>
      </c>
      <c r="O29" s="453" t="str">
        <f t="shared" si="12"/>
        <v/>
      </c>
      <c r="P29" s="453" t="str">
        <f t="shared" si="12"/>
        <v/>
      </c>
      <c r="Q29" s="453" t="str">
        <f t="shared" si="12"/>
        <v/>
      </c>
      <c r="R29" s="453" t="str">
        <f t="shared" si="12"/>
        <v/>
      </c>
      <c r="S29" s="453" t="str">
        <f t="shared" si="12"/>
        <v/>
      </c>
      <c r="T29" s="453" t="str">
        <f t="shared" si="12"/>
        <v/>
      </c>
      <c r="U29" s="453" t="str">
        <f t="shared" si="12"/>
        <v/>
      </c>
      <c r="V29" s="453" t="str">
        <f t="shared" si="12"/>
        <v/>
      </c>
      <c r="W29" s="453" t="str">
        <f t="shared" si="1"/>
        <v/>
      </c>
      <c r="X29" s="453" t="str">
        <f t="shared" si="1"/>
        <v/>
      </c>
      <c r="Y29" s="453" t="str">
        <f t="shared" si="1"/>
        <v/>
      </c>
      <c r="Z29" s="453" t="str">
        <f t="shared" si="1"/>
        <v/>
      </c>
      <c r="AA29" s="453" t="str">
        <f t="shared" si="1"/>
        <v/>
      </c>
      <c r="AB29" s="453" t="str">
        <f t="shared" si="1"/>
        <v/>
      </c>
      <c r="AC29" s="453" t="str">
        <f t="shared" si="1"/>
        <v/>
      </c>
      <c r="AD29" s="453" t="str">
        <f t="shared" si="1"/>
        <v/>
      </c>
      <c r="AE29" s="453" t="str">
        <f t="shared" si="1"/>
        <v/>
      </c>
      <c r="AF29" s="453" t="str">
        <f t="shared" si="1"/>
        <v/>
      </c>
      <c r="AG29" s="453" t="str">
        <f t="shared" si="16"/>
        <v/>
      </c>
      <c r="AH29" s="453" t="str">
        <f t="shared" si="16"/>
        <v/>
      </c>
      <c r="AI29" s="453" t="str">
        <f t="shared" si="16"/>
        <v/>
      </c>
      <c r="AJ29" s="453" t="str">
        <f t="shared" si="16"/>
        <v/>
      </c>
      <c r="AK29" s="453" t="str">
        <f t="shared" si="16"/>
        <v/>
      </c>
      <c r="AL29" s="453" t="str">
        <f t="shared" si="16"/>
        <v/>
      </c>
      <c r="AM29" s="453" t="str">
        <f t="shared" si="16"/>
        <v/>
      </c>
      <c r="AN29" s="453" t="str">
        <f t="shared" si="16"/>
        <v/>
      </c>
      <c r="AO29" s="453" t="str">
        <f t="shared" si="16"/>
        <v/>
      </c>
      <c r="AP29" s="453">
        <f t="shared" si="16"/>
        <v>0</v>
      </c>
      <c r="AQ29" s="453">
        <f t="shared" si="16"/>
        <v>1</v>
      </c>
      <c r="AR29" s="453" t="str">
        <f t="shared" si="16"/>
        <v/>
      </c>
      <c r="AS29" s="454" t="str">
        <f t="shared" si="16"/>
        <v/>
      </c>
      <c r="AT29" s="141">
        <f t="shared" si="10"/>
        <v>3</v>
      </c>
      <c r="AU29" s="215" t="str">
        <f t="shared" si="13"/>
        <v>RED</v>
      </c>
    </row>
    <row r="30" spans="1:47" ht="23.25" customHeight="1">
      <c r="A30" s="362" t="s">
        <v>761</v>
      </c>
      <c r="B30" s="687"/>
      <c r="C30" s="589" t="s">
        <v>761</v>
      </c>
      <c r="D30" s="624" t="str">
        <f>'Cronograma'!C33</f>
        <v>Apoio Documental Jurídico-Regulatório (ADJR)</v>
      </c>
      <c r="E30" s="591" t="s">
        <v>573</v>
      </c>
      <c r="F30" s="621">
        <f t="shared" ca="1" si="15"/>
        <v>21008.86</v>
      </c>
      <c r="G30" s="586">
        <f ca="1">ROUND(VLOOKUP(C30,Recursos!B:J,9,FALSE),2)</f>
        <v>21008.86</v>
      </c>
      <c r="H30" s="585">
        <f t="shared" ca="1" si="14"/>
        <v>1</v>
      </c>
      <c r="I30" s="371">
        <v>7</v>
      </c>
      <c r="J30" s="371">
        <v>1</v>
      </c>
      <c r="K30" s="371">
        <f t="shared" si="11"/>
        <v>7</v>
      </c>
      <c r="L30" s="371">
        <v>1</v>
      </c>
      <c r="M30" s="399" t="str">
        <f t="shared" si="12"/>
        <v/>
      </c>
      <c r="N30" s="399" t="str">
        <f t="shared" si="12"/>
        <v/>
      </c>
      <c r="O30" s="399" t="str">
        <f t="shared" si="12"/>
        <v/>
      </c>
      <c r="P30" s="399" t="str">
        <f t="shared" si="12"/>
        <v/>
      </c>
      <c r="Q30" s="399" t="str">
        <f t="shared" si="12"/>
        <v/>
      </c>
      <c r="R30" s="399" t="str">
        <f t="shared" si="12"/>
        <v/>
      </c>
      <c r="S30" s="399">
        <f t="shared" si="12"/>
        <v>0</v>
      </c>
      <c r="T30" s="399">
        <f t="shared" si="12"/>
        <v>1</v>
      </c>
      <c r="U30" s="399" t="str">
        <f t="shared" si="12"/>
        <v/>
      </c>
      <c r="V30" s="399" t="str">
        <f t="shared" si="12"/>
        <v/>
      </c>
      <c r="W30" s="399" t="str">
        <f t="shared" si="1"/>
        <v/>
      </c>
      <c r="X30" s="399" t="str">
        <f t="shared" si="1"/>
        <v/>
      </c>
      <c r="Y30" s="399" t="str">
        <f t="shared" si="1"/>
        <v/>
      </c>
      <c r="Z30" s="399" t="str">
        <f t="shared" si="1"/>
        <v/>
      </c>
      <c r="AA30" s="399" t="str">
        <f t="shared" si="1"/>
        <v/>
      </c>
      <c r="AB30" s="399" t="str">
        <f t="shared" si="1"/>
        <v/>
      </c>
      <c r="AC30" s="399" t="str">
        <f t="shared" si="1"/>
        <v/>
      </c>
      <c r="AD30" s="399" t="str">
        <f t="shared" si="1"/>
        <v/>
      </c>
      <c r="AE30" s="399" t="str">
        <f t="shared" si="1"/>
        <v/>
      </c>
      <c r="AF30" s="399" t="str">
        <f t="shared" si="1"/>
        <v/>
      </c>
      <c r="AG30" s="399" t="str">
        <f t="shared" si="16"/>
        <v/>
      </c>
      <c r="AH30" s="399" t="str">
        <f t="shared" si="16"/>
        <v/>
      </c>
      <c r="AI30" s="399" t="str">
        <f t="shared" si="16"/>
        <v/>
      </c>
      <c r="AJ30" s="399" t="str">
        <f t="shared" si="16"/>
        <v/>
      </c>
      <c r="AK30" s="399" t="str">
        <f t="shared" si="16"/>
        <v/>
      </c>
      <c r="AL30" s="399" t="str">
        <f t="shared" si="16"/>
        <v/>
      </c>
      <c r="AM30" s="399" t="str">
        <f t="shared" si="16"/>
        <v/>
      </c>
      <c r="AN30" s="399" t="str">
        <f t="shared" si="16"/>
        <v/>
      </c>
      <c r="AO30" s="399" t="str">
        <f t="shared" si="16"/>
        <v/>
      </c>
      <c r="AP30" s="399" t="str">
        <f t="shared" si="16"/>
        <v/>
      </c>
      <c r="AQ30" s="399" t="str">
        <f t="shared" si="16"/>
        <v/>
      </c>
      <c r="AR30" s="399" t="str">
        <f t="shared" si="16"/>
        <v/>
      </c>
      <c r="AS30" s="400" t="str">
        <f t="shared" si="16"/>
        <v/>
      </c>
      <c r="AT30" s="141">
        <f t="shared" si="10"/>
        <v>3</v>
      </c>
      <c r="AU30" s="215" t="str">
        <f t="shared" si="13"/>
        <v>RCD-AP</v>
      </c>
    </row>
    <row r="31" spans="1:47" ht="23.25" customHeight="1">
      <c r="A31" s="362" t="s">
        <v>729</v>
      </c>
      <c r="B31" s="685" t="str">
        <f>"4. "&amp;'Cronograma'!C7</f>
        <v>4. EVTEA - Segmento 3 - Londrina (PR) - Maringá (PR)</v>
      </c>
      <c r="C31" s="625" t="s">
        <v>729</v>
      </c>
      <c r="D31" s="688" t="s">
        <v>316</v>
      </c>
      <c r="E31" s="580" t="s">
        <v>600</v>
      </c>
      <c r="F31" s="683">
        <f ca="1">SUM(G31:G32)</f>
        <v>939371.16999999993</v>
      </c>
      <c r="G31" s="581">
        <f ca="1">ROUND(SUMIFS(Recursos!J:J,Recursos!A:A,C31),2)</f>
        <v>513823.61</v>
      </c>
      <c r="H31" s="582">
        <f t="shared" ca="1" si="14"/>
        <v>0.54698677839985232</v>
      </c>
      <c r="I31" s="370">
        <v>5</v>
      </c>
      <c r="J31" s="370">
        <v>2</v>
      </c>
      <c r="K31" s="508">
        <f t="shared" si="4"/>
        <v>6</v>
      </c>
      <c r="L31" s="370">
        <v>1</v>
      </c>
      <c r="M31" s="397" t="str">
        <f t="shared" si="0"/>
        <v/>
      </c>
      <c r="N31" s="397" t="str">
        <f t="shared" si="0"/>
        <v/>
      </c>
      <c r="O31" s="397" t="str">
        <f t="shared" si="0"/>
        <v/>
      </c>
      <c r="P31" s="397" t="str">
        <f t="shared" si="0"/>
        <v/>
      </c>
      <c r="Q31" s="397">
        <f t="shared" si="0"/>
        <v>0</v>
      </c>
      <c r="R31" s="397">
        <f t="shared" si="0"/>
        <v>0</v>
      </c>
      <c r="S31" s="397">
        <f t="shared" si="0"/>
        <v>1</v>
      </c>
      <c r="T31" s="397" t="str">
        <f t="shared" si="0"/>
        <v/>
      </c>
      <c r="U31" s="397" t="str">
        <f t="shared" si="0"/>
        <v/>
      </c>
      <c r="V31" s="397" t="str">
        <f t="shared" si="0"/>
        <v/>
      </c>
      <c r="W31" s="397" t="str">
        <f t="shared" si="1"/>
        <v/>
      </c>
      <c r="X31" s="397" t="str">
        <f t="shared" si="1"/>
        <v/>
      </c>
      <c r="Y31" s="397" t="str">
        <f t="shared" si="1"/>
        <v/>
      </c>
      <c r="Z31" s="397" t="str">
        <f t="shared" si="1"/>
        <v/>
      </c>
      <c r="AA31" s="397" t="str">
        <f t="shared" si="1"/>
        <v/>
      </c>
      <c r="AB31" s="397" t="str">
        <f t="shared" si="1"/>
        <v/>
      </c>
      <c r="AC31" s="397" t="str">
        <f t="shared" si="1"/>
        <v/>
      </c>
      <c r="AD31" s="397" t="str">
        <f t="shared" si="1"/>
        <v/>
      </c>
      <c r="AE31" s="397" t="str">
        <f t="shared" si="1"/>
        <v/>
      </c>
      <c r="AF31" s="397" t="str">
        <f t="shared" si="1"/>
        <v/>
      </c>
      <c r="AG31" s="397" t="str">
        <f t="shared" si="16"/>
        <v/>
      </c>
      <c r="AH31" s="397" t="str">
        <f t="shared" si="16"/>
        <v/>
      </c>
      <c r="AI31" s="397" t="str">
        <f t="shared" si="16"/>
        <v/>
      </c>
      <c r="AJ31" s="397" t="str">
        <f t="shared" si="16"/>
        <v/>
      </c>
      <c r="AK31" s="397" t="str">
        <f t="shared" si="16"/>
        <v/>
      </c>
      <c r="AL31" s="397" t="str">
        <f t="shared" si="16"/>
        <v/>
      </c>
      <c r="AM31" s="397" t="str">
        <f t="shared" si="16"/>
        <v/>
      </c>
      <c r="AN31" s="397" t="str">
        <f t="shared" si="16"/>
        <v/>
      </c>
      <c r="AO31" s="397" t="str">
        <f t="shared" si="16"/>
        <v/>
      </c>
      <c r="AP31" s="397" t="str">
        <f t="shared" si="16"/>
        <v/>
      </c>
      <c r="AQ31" s="397" t="str">
        <f t="shared" si="16"/>
        <v/>
      </c>
      <c r="AR31" s="397" t="str">
        <f t="shared" si="16"/>
        <v/>
      </c>
      <c r="AS31" s="398" t="str">
        <f t="shared" si="16"/>
        <v/>
      </c>
      <c r="AT31" s="141">
        <v>4</v>
      </c>
      <c r="AU31" s="215" t="str">
        <f>AU21</f>
        <v>RCD-AP</v>
      </c>
    </row>
    <row r="32" spans="1:47" ht="23.25" customHeight="1">
      <c r="A32" s="362" t="s">
        <v>762</v>
      </c>
      <c r="B32" s="686"/>
      <c r="C32" s="626" t="s">
        <v>762</v>
      </c>
      <c r="D32" s="689"/>
      <c r="E32" s="583" t="s">
        <v>573</v>
      </c>
      <c r="F32" s="684"/>
      <c r="G32" s="584">
        <f ca="1">ROUND(SUMIFS(Recursos!J:J,Recursos!A:A,C32),2)</f>
        <v>425547.56</v>
      </c>
      <c r="H32" s="585">
        <f ca="1">G32/$F31</f>
        <v>0.45301322160014773</v>
      </c>
      <c r="I32" s="509">
        <v>6</v>
      </c>
      <c r="J32" s="509">
        <v>3</v>
      </c>
      <c r="K32" s="510">
        <f t="shared" si="4"/>
        <v>8</v>
      </c>
      <c r="L32" s="509">
        <v>2</v>
      </c>
      <c r="M32" s="453" t="str">
        <f t="shared" si="0"/>
        <v/>
      </c>
      <c r="N32" s="453" t="str">
        <f t="shared" si="0"/>
        <v/>
      </c>
      <c r="O32" s="453" t="str">
        <f t="shared" si="0"/>
        <v/>
      </c>
      <c r="P32" s="453" t="str">
        <f t="shared" si="0"/>
        <v/>
      </c>
      <c r="Q32" s="453" t="str">
        <f t="shared" si="0"/>
        <v/>
      </c>
      <c r="R32" s="453">
        <f t="shared" si="0"/>
        <v>0</v>
      </c>
      <c r="S32" s="453">
        <f t="shared" si="0"/>
        <v>0</v>
      </c>
      <c r="T32" s="453">
        <f t="shared" si="0"/>
        <v>0</v>
      </c>
      <c r="U32" s="453">
        <f t="shared" si="0"/>
        <v>0</v>
      </c>
      <c r="V32" s="453">
        <f t="shared" si="0"/>
        <v>1</v>
      </c>
      <c r="W32" s="453" t="str">
        <f t="shared" si="1"/>
        <v/>
      </c>
      <c r="X32" s="453" t="str">
        <f t="shared" si="1"/>
        <v/>
      </c>
      <c r="Y32" s="453" t="str">
        <f t="shared" si="1"/>
        <v/>
      </c>
      <c r="Z32" s="453" t="str">
        <f t="shared" si="1"/>
        <v/>
      </c>
      <c r="AA32" s="453" t="str">
        <f t="shared" si="1"/>
        <v/>
      </c>
      <c r="AB32" s="453" t="str">
        <f t="shared" si="1"/>
        <v/>
      </c>
      <c r="AC32" s="453" t="str">
        <f t="shared" si="1"/>
        <v/>
      </c>
      <c r="AD32" s="453" t="str">
        <f t="shared" si="1"/>
        <v/>
      </c>
      <c r="AE32" s="453" t="str">
        <f t="shared" si="1"/>
        <v/>
      </c>
      <c r="AF32" s="453" t="str">
        <f t="shared" si="1"/>
        <v/>
      </c>
      <c r="AG32" s="453" t="str">
        <f t="shared" si="16"/>
        <v/>
      </c>
      <c r="AH32" s="453" t="str">
        <f t="shared" si="16"/>
        <v/>
      </c>
      <c r="AI32" s="453" t="str">
        <f t="shared" si="16"/>
        <v/>
      </c>
      <c r="AJ32" s="453" t="str">
        <f t="shared" si="16"/>
        <v/>
      </c>
      <c r="AK32" s="453" t="str">
        <f t="shared" si="16"/>
        <v/>
      </c>
      <c r="AL32" s="453" t="str">
        <f t="shared" si="16"/>
        <v/>
      </c>
      <c r="AM32" s="453" t="str">
        <f t="shared" si="16"/>
        <v/>
      </c>
      <c r="AN32" s="453" t="str">
        <f t="shared" si="16"/>
        <v/>
      </c>
      <c r="AO32" s="453" t="str">
        <f t="shared" si="16"/>
        <v/>
      </c>
      <c r="AP32" s="453" t="str">
        <f t="shared" si="16"/>
        <v/>
      </c>
      <c r="AQ32" s="453" t="str">
        <f t="shared" si="16"/>
        <v/>
      </c>
      <c r="AR32" s="453" t="str">
        <f t="shared" si="16"/>
        <v/>
      </c>
      <c r="AS32" s="454" t="str">
        <f t="shared" si="16"/>
        <v/>
      </c>
      <c r="AT32" s="141">
        <f t="shared" si="10"/>
        <v>4</v>
      </c>
      <c r="AU32" s="215" t="str">
        <f>AU20</f>
        <v>RCD-AP</v>
      </c>
    </row>
    <row r="33" spans="1:47" ht="23.25" customHeight="1">
      <c r="A33" s="362" t="s">
        <v>723</v>
      </c>
      <c r="B33" s="686"/>
      <c r="C33" s="627" t="s">
        <v>723</v>
      </c>
      <c r="D33" s="623" t="s">
        <v>525</v>
      </c>
      <c r="E33" s="583" t="s">
        <v>573</v>
      </c>
      <c r="F33" s="620">
        <f ca="1">SUM(G33)</f>
        <v>341505.77</v>
      </c>
      <c r="G33" s="584">
        <f ca="1">ROUND(VLOOKUP(C33,Recursos!B:J,9,FALSE),2)</f>
        <v>341505.77</v>
      </c>
      <c r="H33" s="585">
        <f t="shared" ca="1" si="14"/>
        <v>1</v>
      </c>
      <c r="I33" s="509">
        <v>7</v>
      </c>
      <c r="J33" s="509">
        <v>3</v>
      </c>
      <c r="K33" s="509">
        <f t="shared" ref="K33:K41" si="17">(J33+I33)-1</f>
        <v>9</v>
      </c>
      <c r="L33" s="509">
        <v>2</v>
      </c>
      <c r="M33" s="453" t="str">
        <f t="shared" ref="M33:AB33" si="18">IF(M$7=$K33,0,IF($K33+$L33=M$7,1,IF(AND(M$7&lt;=$K33+$L33,M$7&gt;=$I33),0,"")))</f>
        <v/>
      </c>
      <c r="N33" s="453" t="str">
        <f t="shared" si="18"/>
        <v/>
      </c>
      <c r="O33" s="453" t="str">
        <f t="shared" si="18"/>
        <v/>
      </c>
      <c r="P33" s="453" t="str">
        <f t="shared" si="18"/>
        <v/>
      </c>
      <c r="Q33" s="453" t="str">
        <f t="shared" si="18"/>
        <v/>
      </c>
      <c r="R33" s="453" t="str">
        <f t="shared" si="18"/>
        <v/>
      </c>
      <c r="S33" s="453">
        <f t="shared" si="18"/>
        <v>0</v>
      </c>
      <c r="T33" s="453">
        <f t="shared" si="18"/>
        <v>0</v>
      </c>
      <c r="U33" s="453">
        <f t="shared" si="18"/>
        <v>0</v>
      </c>
      <c r="V33" s="453">
        <f t="shared" si="18"/>
        <v>0</v>
      </c>
      <c r="W33" s="453">
        <f t="shared" si="18"/>
        <v>1</v>
      </c>
      <c r="X33" s="453" t="str">
        <f t="shared" si="18"/>
        <v/>
      </c>
      <c r="Y33" s="453" t="str">
        <f t="shared" si="18"/>
        <v/>
      </c>
      <c r="Z33" s="453" t="str">
        <f t="shared" si="18"/>
        <v/>
      </c>
      <c r="AA33" s="453" t="str">
        <f t="shared" si="18"/>
        <v/>
      </c>
      <c r="AB33" s="453" t="str">
        <f t="shared" si="18"/>
        <v/>
      </c>
      <c r="AC33" s="453" t="str">
        <f t="shared" ref="AC33:AS36" si="19">IF(AC$7=$K33,0,IF($K33+$L33=AC$7,1,IF(AND(AC$7&lt;=$K33+$L33,AC$7&gt;=$I33),0,"")))</f>
        <v/>
      </c>
      <c r="AD33" s="453" t="str">
        <f t="shared" si="19"/>
        <v/>
      </c>
      <c r="AE33" s="453" t="str">
        <f t="shared" si="19"/>
        <v/>
      </c>
      <c r="AF33" s="453" t="str">
        <f t="shared" si="19"/>
        <v/>
      </c>
      <c r="AG33" s="453" t="str">
        <f t="shared" si="19"/>
        <v/>
      </c>
      <c r="AH33" s="453" t="str">
        <f t="shared" si="19"/>
        <v/>
      </c>
      <c r="AI33" s="453" t="str">
        <f t="shared" si="19"/>
        <v/>
      </c>
      <c r="AJ33" s="453" t="str">
        <f t="shared" si="19"/>
        <v/>
      </c>
      <c r="AK33" s="453" t="str">
        <f t="shared" si="19"/>
        <v/>
      </c>
      <c r="AL33" s="453" t="str">
        <f t="shared" si="19"/>
        <v/>
      </c>
      <c r="AM33" s="453" t="str">
        <f t="shared" si="19"/>
        <v/>
      </c>
      <c r="AN33" s="453" t="str">
        <f t="shared" si="19"/>
        <v/>
      </c>
      <c r="AO33" s="453" t="str">
        <f t="shared" si="19"/>
        <v/>
      </c>
      <c r="AP33" s="453" t="str">
        <f t="shared" si="19"/>
        <v/>
      </c>
      <c r="AQ33" s="453" t="str">
        <f t="shared" si="19"/>
        <v/>
      </c>
      <c r="AR33" s="453" t="str">
        <f t="shared" si="19"/>
        <v/>
      </c>
      <c r="AS33" s="454" t="str">
        <f t="shared" si="19"/>
        <v/>
      </c>
      <c r="AT33" s="141">
        <f t="shared" si="10"/>
        <v>4</v>
      </c>
      <c r="AU33" s="215" t="str">
        <f t="shared" ref="AU33:AU41" si="20">AU22</f>
        <v>RCD-AP</v>
      </c>
    </row>
    <row r="34" spans="1:47" ht="23.25" customHeight="1">
      <c r="A34" s="362" t="s">
        <v>726</v>
      </c>
      <c r="B34" s="686"/>
      <c r="C34" s="682" t="s">
        <v>726</v>
      </c>
      <c r="D34" s="690" t="s">
        <v>317</v>
      </c>
      <c r="E34" s="583" t="s">
        <v>600</v>
      </c>
      <c r="F34" s="684">
        <f ca="1">SUM(G34:G35)</f>
        <v>358968.95</v>
      </c>
      <c r="G34" s="584">
        <f ca="1">ROUND(VLOOKUP(C34,Recursos!B:J,9,FALSE)*0.2,2)</f>
        <v>71793.789999999994</v>
      </c>
      <c r="H34" s="585">
        <f t="shared" ca="1" si="14"/>
        <v>0.19999999999999998</v>
      </c>
      <c r="I34" s="509">
        <v>8</v>
      </c>
      <c r="J34" s="509">
        <v>0.5</v>
      </c>
      <c r="K34" s="509">
        <f t="shared" si="17"/>
        <v>7.5</v>
      </c>
      <c r="L34" s="509">
        <v>0.5</v>
      </c>
      <c r="M34" s="453" t="str">
        <f t="shared" ref="M34:AA38" si="21">IF(M$7=$K34,0,IF($K34+$L34=M$7,1,IF(AND(M$7&lt;=$K34+$L34,M$7&gt;=$I34),0,"")))</f>
        <v/>
      </c>
      <c r="N34" s="453" t="str">
        <f t="shared" si="21"/>
        <v/>
      </c>
      <c r="O34" s="453" t="str">
        <f t="shared" si="21"/>
        <v/>
      </c>
      <c r="P34" s="453" t="str">
        <f t="shared" si="21"/>
        <v/>
      </c>
      <c r="Q34" s="453" t="str">
        <f t="shared" si="21"/>
        <v/>
      </c>
      <c r="R34" s="453" t="str">
        <f t="shared" si="21"/>
        <v/>
      </c>
      <c r="S34" s="453" t="str">
        <f t="shared" si="21"/>
        <v/>
      </c>
      <c r="T34" s="453">
        <f t="shared" si="21"/>
        <v>1</v>
      </c>
      <c r="U34" s="453" t="str">
        <f t="shared" si="21"/>
        <v/>
      </c>
      <c r="V34" s="453" t="str">
        <f t="shared" si="21"/>
        <v/>
      </c>
      <c r="W34" s="453" t="str">
        <f t="shared" si="21"/>
        <v/>
      </c>
      <c r="X34" s="453" t="str">
        <f t="shared" si="21"/>
        <v/>
      </c>
      <c r="Y34" s="453" t="str">
        <f t="shared" si="21"/>
        <v/>
      </c>
      <c r="Z34" s="453" t="str">
        <f t="shared" si="21"/>
        <v/>
      </c>
      <c r="AA34" s="453" t="str">
        <f t="shared" si="21"/>
        <v/>
      </c>
      <c r="AB34" s="453" t="str">
        <f t="shared" ref="AB34:AG41" si="22">IF(AB$7=$K34,0,IF($K34+$L34=AB$7,1,IF(AND(AB$7&lt;=$K34+$L34,AB$7&gt;=$I34),0,"")))</f>
        <v/>
      </c>
      <c r="AC34" s="453" t="str">
        <f t="shared" si="19"/>
        <v/>
      </c>
      <c r="AD34" s="453" t="str">
        <f t="shared" si="19"/>
        <v/>
      </c>
      <c r="AE34" s="453" t="str">
        <f t="shared" si="19"/>
        <v/>
      </c>
      <c r="AF34" s="453" t="str">
        <f t="shared" si="19"/>
        <v/>
      </c>
      <c r="AG34" s="453" t="str">
        <f t="shared" si="19"/>
        <v/>
      </c>
      <c r="AH34" s="453" t="str">
        <f t="shared" si="19"/>
        <v/>
      </c>
      <c r="AI34" s="453" t="str">
        <f t="shared" si="19"/>
        <v/>
      </c>
      <c r="AJ34" s="453" t="str">
        <f t="shared" si="19"/>
        <v/>
      </c>
      <c r="AK34" s="453" t="str">
        <f t="shared" ref="AK34:AS36" si="23">IF(AK$7=$K34,0,IF($K34+$L34=AK$7,1,IF(AND(AK$7&lt;=$K34+$L34,AK$7&gt;=$I34),0,"")))</f>
        <v/>
      </c>
      <c r="AL34" s="453" t="str">
        <f t="shared" si="23"/>
        <v/>
      </c>
      <c r="AM34" s="453" t="str">
        <f t="shared" si="23"/>
        <v/>
      </c>
      <c r="AN34" s="453" t="str">
        <f t="shared" si="23"/>
        <v/>
      </c>
      <c r="AO34" s="453" t="str">
        <f t="shared" si="23"/>
        <v/>
      </c>
      <c r="AP34" s="453" t="str">
        <f t="shared" si="23"/>
        <v/>
      </c>
      <c r="AQ34" s="453" t="str">
        <f t="shared" si="23"/>
        <v/>
      </c>
      <c r="AR34" s="453" t="str">
        <f t="shared" si="23"/>
        <v/>
      </c>
      <c r="AS34" s="454" t="str">
        <f t="shared" si="23"/>
        <v/>
      </c>
      <c r="AT34" s="141">
        <f t="shared" si="10"/>
        <v>4</v>
      </c>
      <c r="AU34" s="519" t="str">
        <f t="shared" si="20"/>
        <v>RCD</v>
      </c>
    </row>
    <row r="35" spans="1:47" ht="23.25" customHeight="1">
      <c r="A35" s="362" t="s">
        <v>726</v>
      </c>
      <c r="B35" s="686"/>
      <c r="C35" s="682"/>
      <c r="D35" s="690"/>
      <c r="E35" s="583" t="s">
        <v>573</v>
      </c>
      <c r="F35" s="684"/>
      <c r="G35" s="584">
        <f ca="1">ROUND(VLOOKUP(C34,Recursos!B:J,9,FALSE),2)-G34</f>
        <v>287175.16000000003</v>
      </c>
      <c r="H35" s="585">
        <f ca="1">G35/$F34</f>
        <v>0.8</v>
      </c>
      <c r="I35" s="509">
        <v>8</v>
      </c>
      <c r="J35" s="509">
        <v>3</v>
      </c>
      <c r="K35" s="509">
        <f t="shared" si="17"/>
        <v>10</v>
      </c>
      <c r="L35" s="509">
        <v>1</v>
      </c>
      <c r="M35" s="453" t="str">
        <f t="shared" si="21"/>
        <v/>
      </c>
      <c r="N35" s="453" t="str">
        <f t="shared" si="21"/>
        <v/>
      </c>
      <c r="O35" s="453" t="str">
        <f t="shared" si="21"/>
        <v/>
      </c>
      <c r="P35" s="453" t="str">
        <f t="shared" si="21"/>
        <v/>
      </c>
      <c r="Q35" s="453" t="str">
        <f t="shared" si="21"/>
        <v/>
      </c>
      <c r="R35" s="453" t="str">
        <f t="shared" si="21"/>
        <v/>
      </c>
      <c r="S35" s="453" t="str">
        <f t="shared" si="21"/>
        <v/>
      </c>
      <c r="T35" s="453">
        <f t="shared" si="21"/>
        <v>0</v>
      </c>
      <c r="U35" s="453">
        <f t="shared" si="21"/>
        <v>0</v>
      </c>
      <c r="V35" s="453">
        <f t="shared" si="21"/>
        <v>0</v>
      </c>
      <c r="W35" s="453">
        <f t="shared" si="21"/>
        <v>1</v>
      </c>
      <c r="X35" s="453" t="str">
        <f t="shared" si="21"/>
        <v/>
      </c>
      <c r="Y35" s="453" t="str">
        <f t="shared" si="21"/>
        <v/>
      </c>
      <c r="Z35" s="453" t="str">
        <f t="shared" si="21"/>
        <v/>
      </c>
      <c r="AA35" s="453" t="str">
        <f t="shared" si="21"/>
        <v/>
      </c>
      <c r="AB35" s="453" t="str">
        <f t="shared" si="22"/>
        <v/>
      </c>
      <c r="AC35" s="453" t="str">
        <f t="shared" si="19"/>
        <v/>
      </c>
      <c r="AD35" s="453" t="str">
        <f t="shared" si="19"/>
        <v/>
      </c>
      <c r="AE35" s="453" t="str">
        <f t="shared" si="19"/>
        <v/>
      </c>
      <c r="AF35" s="453" t="str">
        <f t="shared" si="19"/>
        <v/>
      </c>
      <c r="AG35" s="453" t="str">
        <f t="shared" si="19"/>
        <v/>
      </c>
      <c r="AH35" s="453" t="str">
        <f t="shared" si="19"/>
        <v/>
      </c>
      <c r="AI35" s="453" t="str">
        <f t="shared" si="19"/>
        <v/>
      </c>
      <c r="AJ35" s="453" t="str">
        <f t="shared" si="19"/>
        <v/>
      </c>
      <c r="AK35" s="453" t="str">
        <f t="shared" si="23"/>
        <v/>
      </c>
      <c r="AL35" s="453" t="str">
        <f t="shared" si="23"/>
        <v/>
      </c>
      <c r="AM35" s="453" t="str">
        <f t="shared" si="23"/>
        <v/>
      </c>
      <c r="AN35" s="453" t="str">
        <f t="shared" si="23"/>
        <v/>
      </c>
      <c r="AO35" s="453" t="str">
        <f t="shared" si="23"/>
        <v/>
      </c>
      <c r="AP35" s="453" t="str">
        <f t="shared" si="23"/>
        <v/>
      </c>
      <c r="AQ35" s="453" t="str">
        <f t="shared" si="23"/>
        <v/>
      </c>
      <c r="AR35" s="453" t="str">
        <f t="shared" si="23"/>
        <v/>
      </c>
      <c r="AS35" s="454" t="str">
        <f t="shared" si="23"/>
        <v/>
      </c>
      <c r="AT35" s="141">
        <f t="shared" si="10"/>
        <v>4</v>
      </c>
      <c r="AU35" s="519" t="str">
        <f t="shared" si="20"/>
        <v>RCD-AP</v>
      </c>
    </row>
    <row r="36" spans="1:47" ht="23.25" customHeight="1">
      <c r="A36" s="362" t="s">
        <v>763</v>
      </c>
      <c r="B36" s="686"/>
      <c r="C36" s="627" t="s">
        <v>763</v>
      </c>
      <c r="D36" s="623" t="str">
        <f>'Cronograma'!C41</f>
        <v>Dimensão Socioambiental (EMA)</v>
      </c>
      <c r="E36" s="583" t="s">
        <v>573</v>
      </c>
      <c r="F36" s="620">
        <f t="shared" ref="F36:F41" ca="1" si="24">SUM(G36)</f>
        <v>189483.09</v>
      </c>
      <c r="G36" s="584">
        <f ca="1">ROUND(VLOOKUP(C36,Recursos!B:J,9,FALSE),2)</f>
        <v>189483.09</v>
      </c>
      <c r="H36" s="585">
        <f t="shared" ca="1" si="14"/>
        <v>1</v>
      </c>
      <c r="I36" s="509">
        <v>6</v>
      </c>
      <c r="J36" s="509">
        <v>2</v>
      </c>
      <c r="K36" s="509">
        <f t="shared" si="17"/>
        <v>7</v>
      </c>
      <c r="L36" s="509">
        <v>2</v>
      </c>
      <c r="M36" s="453" t="str">
        <f t="shared" si="21"/>
        <v/>
      </c>
      <c r="N36" s="453" t="str">
        <f t="shared" si="21"/>
        <v/>
      </c>
      <c r="O36" s="453" t="str">
        <f t="shared" si="21"/>
        <v/>
      </c>
      <c r="P36" s="453" t="str">
        <f t="shared" si="21"/>
        <v/>
      </c>
      <c r="Q36" s="453" t="str">
        <f t="shared" si="21"/>
        <v/>
      </c>
      <c r="R36" s="453">
        <f t="shared" si="21"/>
        <v>0</v>
      </c>
      <c r="S36" s="453">
        <f t="shared" si="21"/>
        <v>0</v>
      </c>
      <c r="T36" s="453">
        <f t="shared" si="21"/>
        <v>0</v>
      </c>
      <c r="U36" s="453">
        <f t="shared" si="21"/>
        <v>1</v>
      </c>
      <c r="V36" s="453" t="str">
        <f t="shared" si="21"/>
        <v/>
      </c>
      <c r="W36" s="453" t="str">
        <f t="shared" si="21"/>
        <v/>
      </c>
      <c r="X36" s="453" t="str">
        <f t="shared" si="21"/>
        <v/>
      </c>
      <c r="Y36" s="453" t="str">
        <f t="shared" si="21"/>
        <v/>
      </c>
      <c r="Z36" s="453" t="str">
        <f t="shared" si="21"/>
        <v/>
      </c>
      <c r="AA36" s="453" t="str">
        <f t="shared" si="21"/>
        <v/>
      </c>
      <c r="AB36" s="453" t="str">
        <f t="shared" si="22"/>
        <v/>
      </c>
      <c r="AC36" s="453" t="str">
        <f t="shared" si="19"/>
        <v/>
      </c>
      <c r="AD36" s="453" t="str">
        <f t="shared" si="19"/>
        <v/>
      </c>
      <c r="AE36" s="453" t="str">
        <f t="shared" si="19"/>
        <v/>
      </c>
      <c r="AF36" s="453" t="str">
        <f t="shared" si="19"/>
        <v/>
      </c>
      <c r="AG36" s="453" t="str">
        <f t="shared" si="19"/>
        <v/>
      </c>
      <c r="AH36" s="453" t="str">
        <f t="shared" si="19"/>
        <v/>
      </c>
      <c r="AI36" s="453" t="str">
        <f t="shared" si="19"/>
        <v/>
      </c>
      <c r="AJ36" s="453" t="str">
        <f t="shared" si="19"/>
        <v/>
      </c>
      <c r="AK36" s="453" t="str">
        <f t="shared" si="23"/>
        <v/>
      </c>
      <c r="AL36" s="453" t="str">
        <f t="shared" si="23"/>
        <v/>
      </c>
      <c r="AM36" s="453" t="str">
        <f t="shared" si="23"/>
        <v/>
      </c>
      <c r="AN36" s="453" t="str">
        <f t="shared" si="23"/>
        <v/>
      </c>
      <c r="AO36" s="453" t="str">
        <f t="shared" si="23"/>
        <v/>
      </c>
      <c r="AP36" s="453" t="str">
        <f t="shared" si="23"/>
        <v/>
      </c>
      <c r="AQ36" s="453" t="str">
        <f t="shared" si="23"/>
        <v/>
      </c>
      <c r="AR36" s="453" t="str">
        <f t="shared" si="23"/>
        <v/>
      </c>
      <c r="AS36" s="454" t="str">
        <f t="shared" si="23"/>
        <v/>
      </c>
      <c r="AT36" s="141">
        <f t="shared" si="10"/>
        <v>4</v>
      </c>
      <c r="AU36" s="215" t="str">
        <f t="shared" si="20"/>
        <v>RCD-AP</v>
      </c>
    </row>
    <row r="37" spans="1:47" ht="23.25" customHeight="1">
      <c r="A37" s="362" t="s">
        <v>764</v>
      </c>
      <c r="B37" s="686"/>
      <c r="C37" s="627" t="s">
        <v>764</v>
      </c>
      <c r="D37" s="623" t="str">
        <f>'Cronograma'!C42</f>
        <v>Dimensão Econômico-Financeira (MEF)</v>
      </c>
      <c r="E37" s="583" t="s">
        <v>573</v>
      </c>
      <c r="F37" s="620">
        <f t="shared" ca="1" si="24"/>
        <v>39196.9</v>
      </c>
      <c r="G37" s="584">
        <f ca="1">ROUND(VLOOKUP(C37,Recursos!B:J,9,FALSE),2)</f>
        <v>39196.9</v>
      </c>
      <c r="H37" s="585">
        <f t="shared" ca="1" si="14"/>
        <v>1</v>
      </c>
      <c r="I37" s="509">
        <v>11</v>
      </c>
      <c r="J37" s="509">
        <v>1</v>
      </c>
      <c r="K37" s="509">
        <f t="shared" si="17"/>
        <v>11</v>
      </c>
      <c r="L37" s="509">
        <v>1</v>
      </c>
      <c r="M37" s="453" t="str">
        <f t="shared" si="21"/>
        <v/>
      </c>
      <c r="N37" s="453" t="str">
        <f t="shared" si="21"/>
        <v/>
      </c>
      <c r="O37" s="453" t="str">
        <f t="shared" si="21"/>
        <v/>
      </c>
      <c r="P37" s="453" t="str">
        <f t="shared" si="21"/>
        <v/>
      </c>
      <c r="Q37" s="453" t="str">
        <f t="shared" si="21"/>
        <v/>
      </c>
      <c r="R37" s="453" t="str">
        <f t="shared" si="21"/>
        <v/>
      </c>
      <c r="S37" s="453" t="str">
        <f t="shared" si="21"/>
        <v/>
      </c>
      <c r="T37" s="453" t="str">
        <f t="shared" si="21"/>
        <v/>
      </c>
      <c r="U37" s="453" t="str">
        <f t="shared" si="21"/>
        <v/>
      </c>
      <c r="V37" s="453" t="str">
        <f t="shared" si="21"/>
        <v/>
      </c>
      <c r="W37" s="453">
        <f t="shared" si="21"/>
        <v>0</v>
      </c>
      <c r="X37" s="453">
        <f t="shared" si="21"/>
        <v>1</v>
      </c>
      <c r="Y37" s="453" t="str">
        <f t="shared" si="21"/>
        <v/>
      </c>
      <c r="Z37" s="453" t="str">
        <f t="shared" si="21"/>
        <v/>
      </c>
      <c r="AA37" s="453" t="str">
        <f t="shared" si="21"/>
        <v/>
      </c>
      <c r="AB37" s="453" t="str">
        <f t="shared" si="22"/>
        <v/>
      </c>
      <c r="AC37" s="453" t="str">
        <f t="shared" si="22"/>
        <v/>
      </c>
      <c r="AD37" s="453" t="str">
        <f t="shared" si="22"/>
        <v/>
      </c>
      <c r="AE37" s="453" t="str">
        <f t="shared" si="22"/>
        <v/>
      </c>
      <c r="AF37" s="453" t="str">
        <f t="shared" si="22"/>
        <v/>
      </c>
      <c r="AG37" s="453" t="str">
        <f t="shared" si="22"/>
        <v/>
      </c>
      <c r="AH37" s="453" t="str">
        <f t="shared" ref="AH37:AS41" si="25">IF(AH$7=$K37,0,IF($K37+$L37=AH$7,1,IF(AND(AH$7&lt;=$K37+$L37,AH$7&gt;=$I37),0,"")))</f>
        <v/>
      </c>
      <c r="AI37" s="453" t="str">
        <f t="shared" si="25"/>
        <v/>
      </c>
      <c r="AJ37" s="453" t="str">
        <f t="shared" si="25"/>
        <v/>
      </c>
      <c r="AK37" s="453" t="str">
        <f t="shared" si="25"/>
        <v/>
      </c>
      <c r="AL37" s="453" t="str">
        <f t="shared" si="25"/>
        <v/>
      </c>
      <c r="AM37" s="453" t="str">
        <f t="shared" si="25"/>
        <v/>
      </c>
      <c r="AN37" s="453" t="str">
        <f t="shared" si="25"/>
        <v/>
      </c>
      <c r="AO37" s="453" t="str">
        <f t="shared" si="25"/>
        <v/>
      </c>
      <c r="AP37" s="453" t="str">
        <f t="shared" si="25"/>
        <v/>
      </c>
      <c r="AQ37" s="453" t="str">
        <f t="shared" si="25"/>
        <v/>
      </c>
      <c r="AR37" s="453" t="str">
        <f t="shared" si="25"/>
        <v/>
      </c>
      <c r="AS37" s="454" t="str">
        <f t="shared" si="25"/>
        <v/>
      </c>
      <c r="AT37" s="141">
        <f t="shared" si="10"/>
        <v>4</v>
      </c>
      <c r="AU37" s="215" t="str">
        <f t="shared" si="20"/>
        <v>RCD-AP</v>
      </c>
    </row>
    <row r="38" spans="1:47" ht="28.5" customHeight="1">
      <c r="A38" s="362" t="s">
        <v>765</v>
      </c>
      <c r="B38" s="686"/>
      <c r="C38" s="588" t="s">
        <v>765</v>
      </c>
      <c r="D38" s="623" t="str">
        <f>'Cronograma'!C43</f>
        <v>Apoio e revisão pós Audiência Pública</v>
      </c>
      <c r="E38" s="590" t="s">
        <v>688</v>
      </c>
      <c r="F38" s="620">
        <f t="shared" ca="1" si="24"/>
        <v>158740.56</v>
      </c>
      <c r="G38" s="584">
        <f ca="1">ROUND(VLOOKUP(C38,Recursos!B:J,9,FALSE),2)</f>
        <v>158740.56</v>
      </c>
      <c r="H38" s="585">
        <f t="shared" ca="1" si="14"/>
        <v>1</v>
      </c>
      <c r="I38" s="509">
        <v>20</v>
      </c>
      <c r="J38" s="509">
        <v>1</v>
      </c>
      <c r="K38" s="509">
        <f t="shared" si="17"/>
        <v>20</v>
      </c>
      <c r="L38" s="509">
        <v>1</v>
      </c>
      <c r="M38" s="453" t="str">
        <f t="shared" si="21"/>
        <v/>
      </c>
      <c r="N38" s="453" t="str">
        <f t="shared" si="21"/>
        <v/>
      </c>
      <c r="O38" s="453" t="str">
        <f t="shared" si="21"/>
        <v/>
      </c>
      <c r="P38" s="453" t="str">
        <f t="shared" si="21"/>
        <v/>
      </c>
      <c r="Q38" s="453" t="str">
        <f t="shared" si="21"/>
        <v/>
      </c>
      <c r="R38" s="453" t="str">
        <f t="shared" si="21"/>
        <v/>
      </c>
      <c r="S38" s="453" t="str">
        <f t="shared" si="21"/>
        <v/>
      </c>
      <c r="T38" s="453" t="str">
        <f t="shared" si="21"/>
        <v/>
      </c>
      <c r="U38" s="453" t="str">
        <f t="shared" si="21"/>
        <v/>
      </c>
      <c r="V38" s="453" t="str">
        <f t="shared" si="21"/>
        <v/>
      </c>
      <c r="W38" s="453" t="str">
        <f t="shared" si="21"/>
        <v/>
      </c>
      <c r="X38" s="453" t="str">
        <f t="shared" si="21"/>
        <v/>
      </c>
      <c r="Y38" s="453" t="str">
        <f t="shared" si="21"/>
        <v/>
      </c>
      <c r="Z38" s="453" t="str">
        <f t="shared" si="21"/>
        <v/>
      </c>
      <c r="AA38" s="453" t="str">
        <f t="shared" si="21"/>
        <v/>
      </c>
      <c r="AB38" s="453" t="str">
        <f t="shared" si="22"/>
        <v/>
      </c>
      <c r="AC38" s="453" t="str">
        <f t="shared" si="22"/>
        <v/>
      </c>
      <c r="AD38" s="453" t="str">
        <f t="shared" si="22"/>
        <v/>
      </c>
      <c r="AE38" s="453" t="str">
        <f t="shared" si="22"/>
        <v/>
      </c>
      <c r="AF38" s="453">
        <f t="shared" si="22"/>
        <v>0</v>
      </c>
      <c r="AG38" s="453">
        <f t="shared" si="22"/>
        <v>1</v>
      </c>
      <c r="AH38" s="453" t="str">
        <f t="shared" si="25"/>
        <v/>
      </c>
      <c r="AI38" s="453" t="str">
        <f t="shared" si="25"/>
        <v/>
      </c>
      <c r="AJ38" s="453" t="str">
        <f t="shared" si="25"/>
        <v/>
      </c>
      <c r="AK38" s="453" t="str">
        <f t="shared" si="25"/>
        <v/>
      </c>
      <c r="AL38" s="453" t="str">
        <f t="shared" si="25"/>
        <v/>
      </c>
      <c r="AM38" s="453" t="str">
        <f t="shared" si="25"/>
        <v/>
      </c>
      <c r="AN38" s="453" t="str">
        <f t="shared" si="25"/>
        <v/>
      </c>
      <c r="AO38" s="453" t="str">
        <f t="shared" si="25"/>
        <v/>
      </c>
      <c r="AP38" s="453" t="str">
        <f t="shared" si="25"/>
        <v/>
      </c>
      <c r="AQ38" s="453" t="str">
        <f t="shared" si="25"/>
        <v/>
      </c>
      <c r="AR38" s="453" t="str">
        <f t="shared" si="25"/>
        <v/>
      </c>
      <c r="AS38" s="454" t="str">
        <f t="shared" si="25"/>
        <v/>
      </c>
      <c r="AT38" s="141">
        <f t="shared" si="10"/>
        <v>4</v>
      </c>
      <c r="AU38" s="215" t="str">
        <f t="shared" si="20"/>
        <v>RAP</v>
      </c>
    </row>
    <row r="39" spans="1:47" ht="28.5" customHeight="1">
      <c r="A39" s="362" t="s">
        <v>766</v>
      </c>
      <c r="B39" s="686"/>
      <c r="C39" s="588" t="s">
        <v>766</v>
      </c>
      <c r="D39" s="623" t="str">
        <f>'Cronograma'!C44</f>
        <v>Apoio a subsídios a questionamentos do órgão de controle externo</v>
      </c>
      <c r="E39" s="590" t="s">
        <v>689</v>
      </c>
      <c r="F39" s="620">
        <f t="shared" ca="1" si="24"/>
        <v>75835.320000000007</v>
      </c>
      <c r="G39" s="584">
        <f ca="1">ROUND(VLOOKUP(C39,Recursos!B:J,9,FALSE),2)</f>
        <v>75835.320000000007</v>
      </c>
      <c r="H39" s="585">
        <f t="shared" ca="1" si="14"/>
        <v>1</v>
      </c>
      <c r="I39" s="509">
        <v>25</v>
      </c>
      <c r="J39" s="509">
        <v>1</v>
      </c>
      <c r="K39" s="509">
        <f t="shared" si="17"/>
        <v>25</v>
      </c>
      <c r="L39" s="509">
        <v>1</v>
      </c>
      <c r="M39" s="453" t="str">
        <f t="shared" ref="M39:AA41" si="26">IF(M$7=$K39,0,IF($K39+$L39=M$7,1,IF(AND(M$7&lt;=$K39+$L39,M$7&gt;=$I39),0,"")))</f>
        <v/>
      </c>
      <c r="N39" s="453" t="str">
        <f t="shared" si="26"/>
        <v/>
      </c>
      <c r="O39" s="453" t="str">
        <f t="shared" si="26"/>
        <v/>
      </c>
      <c r="P39" s="453" t="str">
        <f t="shared" si="26"/>
        <v/>
      </c>
      <c r="Q39" s="453" t="str">
        <f t="shared" si="26"/>
        <v/>
      </c>
      <c r="R39" s="453" t="str">
        <f t="shared" si="26"/>
        <v/>
      </c>
      <c r="S39" s="453" t="str">
        <f t="shared" si="26"/>
        <v/>
      </c>
      <c r="T39" s="453" t="str">
        <f t="shared" si="26"/>
        <v/>
      </c>
      <c r="U39" s="453" t="str">
        <f t="shared" si="26"/>
        <v/>
      </c>
      <c r="V39" s="453" t="str">
        <f t="shared" si="26"/>
        <v/>
      </c>
      <c r="W39" s="453" t="str">
        <f t="shared" si="26"/>
        <v/>
      </c>
      <c r="X39" s="453" t="str">
        <f t="shared" si="26"/>
        <v/>
      </c>
      <c r="Y39" s="453" t="str">
        <f t="shared" si="26"/>
        <v/>
      </c>
      <c r="Z39" s="453" t="str">
        <f t="shared" si="26"/>
        <v/>
      </c>
      <c r="AA39" s="453" t="str">
        <f t="shared" si="26"/>
        <v/>
      </c>
      <c r="AB39" s="453" t="str">
        <f t="shared" si="22"/>
        <v/>
      </c>
      <c r="AC39" s="453" t="str">
        <f t="shared" si="22"/>
        <v/>
      </c>
      <c r="AD39" s="453" t="str">
        <f t="shared" si="22"/>
        <v/>
      </c>
      <c r="AE39" s="453" t="str">
        <f t="shared" si="22"/>
        <v/>
      </c>
      <c r="AF39" s="453" t="str">
        <f t="shared" si="22"/>
        <v/>
      </c>
      <c r="AG39" s="453" t="str">
        <f t="shared" si="22"/>
        <v/>
      </c>
      <c r="AH39" s="453" t="str">
        <f t="shared" si="25"/>
        <v/>
      </c>
      <c r="AI39" s="453" t="str">
        <f t="shared" si="25"/>
        <v/>
      </c>
      <c r="AJ39" s="453" t="str">
        <f t="shared" si="25"/>
        <v/>
      </c>
      <c r="AK39" s="453">
        <f t="shared" si="25"/>
        <v>0</v>
      </c>
      <c r="AL39" s="453">
        <f t="shared" si="25"/>
        <v>1</v>
      </c>
      <c r="AM39" s="453" t="str">
        <f t="shared" si="25"/>
        <v/>
      </c>
      <c r="AN39" s="453" t="str">
        <f t="shared" ref="AK39:AS41" si="27">IF(AN$7=$K39,0,IF($K39+$L39=AN$7,1,IF(AND(AN$7&lt;=$K39+$L39,AN$7&gt;=$I39),0,"")))</f>
        <v/>
      </c>
      <c r="AO39" s="453" t="str">
        <f t="shared" si="27"/>
        <v/>
      </c>
      <c r="AP39" s="453" t="str">
        <f t="shared" si="27"/>
        <v/>
      </c>
      <c r="AQ39" s="453" t="str">
        <f t="shared" si="27"/>
        <v/>
      </c>
      <c r="AR39" s="453" t="str">
        <f t="shared" si="27"/>
        <v/>
      </c>
      <c r="AS39" s="454" t="str">
        <f t="shared" si="27"/>
        <v/>
      </c>
      <c r="AT39" s="141">
        <f t="shared" si="10"/>
        <v>4</v>
      </c>
      <c r="AU39" s="215" t="str">
        <f t="shared" si="20"/>
        <v>RTC</v>
      </c>
    </row>
    <row r="40" spans="1:47" ht="28.5" customHeight="1">
      <c r="A40" s="362" t="s">
        <v>767</v>
      </c>
      <c r="B40" s="686"/>
      <c r="C40" s="588" t="s">
        <v>767</v>
      </c>
      <c r="D40" s="623" t="str">
        <f>'Cronograma'!C45</f>
        <v>Apoio a subsídios a questionamentos do processo licitatório</v>
      </c>
      <c r="E40" s="590" t="s">
        <v>690</v>
      </c>
      <c r="F40" s="620">
        <f t="shared" ca="1" si="24"/>
        <v>47073</v>
      </c>
      <c r="G40" s="584">
        <f ca="1">ROUND(VLOOKUP(C40,Recursos!B:J,9,FALSE),2)</f>
        <v>47073</v>
      </c>
      <c r="H40" s="585">
        <f t="shared" ca="1" si="14"/>
        <v>1</v>
      </c>
      <c r="I40" s="509">
        <v>31</v>
      </c>
      <c r="J40" s="509">
        <v>1</v>
      </c>
      <c r="K40" s="509">
        <f t="shared" si="17"/>
        <v>31</v>
      </c>
      <c r="L40" s="509">
        <v>1</v>
      </c>
      <c r="M40" s="453" t="str">
        <f t="shared" si="26"/>
        <v/>
      </c>
      <c r="N40" s="453" t="str">
        <f t="shared" si="26"/>
        <v/>
      </c>
      <c r="O40" s="453" t="str">
        <f t="shared" si="26"/>
        <v/>
      </c>
      <c r="P40" s="453" t="str">
        <f t="shared" si="26"/>
        <v/>
      </c>
      <c r="Q40" s="453" t="str">
        <f t="shared" si="26"/>
        <v/>
      </c>
      <c r="R40" s="453" t="str">
        <f t="shared" si="26"/>
        <v/>
      </c>
      <c r="S40" s="453" t="str">
        <f t="shared" si="26"/>
        <v/>
      </c>
      <c r="T40" s="453" t="str">
        <f t="shared" si="26"/>
        <v/>
      </c>
      <c r="U40" s="453" t="str">
        <f t="shared" si="26"/>
        <v/>
      </c>
      <c r="V40" s="453" t="str">
        <f t="shared" si="26"/>
        <v/>
      </c>
      <c r="W40" s="453" t="str">
        <f t="shared" si="26"/>
        <v/>
      </c>
      <c r="X40" s="453" t="str">
        <f t="shared" si="26"/>
        <v/>
      </c>
      <c r="Y40" s="453" t="str">
        <f t="shared" si="26"/>
        <v/>
      </c>
      <c r="Z40" s="453" t="str">
        <f t="shared" si="26"/>
        <v/>
      </c>
      <c r="AA40" s="453" t="str">
        <f t="shared" si="26"/>
        <v/>
      </c>
      <c r="AB40" s="453" t="str">
        <f t="shared" si="22"/>
        <v/>
      </c>
      <c r="AC40" s="453" t="str">
        <f t="shared" si="22"/>
        <v/>
      </c>
      <c r="AD40" s="453" t="str">
        <f t="shared" si="22"/>
        <v/>
      </c>
      <c r="AE40" s="453" t="str">
        <f t="shared" si="22"/>
        <v/>
      </c>
      <c r="AF40" s="453" t="str">
        <f t="shared" si="22"/>
        <v/>
      </c>
      <c r="AG40" s="453" t="str">
        <f t="shared" si="22"/>
        <v/>
      </c>
      <c r="AH40" s="453" t="str">
        <f t="shared" si="25"/>
        <v/>
      </c>
      <c r="AI40" s="453" t="str">
        <f t="shared" si="25"/>
        <v/>
      </c>
      <c r="AJ40" s="453" t="str">
        <f t="shared" si="25"/>
        <v/>
      </c>
      <c r="AK40" s="453" t="str">
        <f t="shared" si="27"/>
        <v/>
      </c>
      <c r="AL40" s="453" t="str">
        <f t="shared" si="27"/>
        <v/>
      </c>
      <c r="AM40" s="453" t="str">
        <f t="shared" si="27"/>
        <v/>
      </c>
      <c r="AN40" s="453" t="str">
        <f t="shared" si="27"/>
        <v/>
      </c>
      <c r="AO40" s="453" t="str">
        <f t="shared" si="27"/>
        <v/>
      </c>
      <c r="AP40" s="453" t="str">
        <f t="shared" si="27"/>
        <v/>
      </c>
      <c r="AQ40" s="453">
        <f t="shared" si="27"/>
        <v>0</v>
      </c>
      <c r="AR40" s="453">
        <f t="shared" si="27"/>
        <v>1</v>
      </c>
      <c r="AS40" s="454" t="str">
        <f t="shared" si="27"/>
        <v/>
      </c>
      <c r="AT40" s="141">
        <f t="shared" si="10"/>
        <v>4</v>
      </c>
      <c r="AU40" s="215" t="str">
        <f t="shared" si="20"/>
        <v>RED</v>
      </c>
    </row>
    <row r="41" spans="1:47" ht="23.25" customHeight="1">
      <c r="A41" s="362" t="s">
        <v>768</v>
      </c>
      <c r="B41" s="687"/>
      <c r="C41" s="589" t="s">
        <v>768</v>
      </c>
      <c r="D41" s="624" t="str">
        <f>'Cronograma'!C46</f>
        <v>Apoio Documental Jurídico-Regulatório (ADJR)</v>
      </c>
      <c r="E41" s="591" t="s">
        <v>573</v>
      </c>
      <c r="F41" s="621">
        <f t="shared" ca="1" si="24"/>
        <v>21008.86</v>
      </c>
      <c r="G41" s="586">
        <f ca="1">ROUND(VLOOKUP(C41,Recursos!B:J,9,FALSE),2)</f>
        <v>21008.86</v>
      </c>
      <c r="H41" s="587">
        <f t="shared" ca="1" si="14"/>
        <v>1</v>
      </c>
      <c r="I41" s="371">
        <v>10</v>
      </c>
      <c r="J41" s="371">
        <v>1</v>
      </c>
      <c r="K41" s="371">
        <f t="shared" si="17"/>
        <v>10</v>
      </c>
      <c r="L41" s="371">
        <v>1</v>
      </c>
      <c r="M41" s="399" t="str">
        <f t="shared" si="26"/>
        <v/>
      </c>
      <c r="N41" s="399" t="str">
        <f t="shared" si="26"/>
        <v/>
      </c>
      <c r="O41" s="399" t="str">
        <f t="shared" si="26"/>
        <v/>
      </c>
      <c r="P41" s="399" t="str">
        <f t="shared" si="26"/>
        <v/>
      </c>
      <c r="Q41" s="399" t="str">
        <f t="shared" si="26"/>
        <v/>
      </c>
      <c r="R41" s="399" t="str">
        <f t="shared" si="26"/>
        <v/>
      </c>
      <c r="S41" s="399" t="str">
        <f t="shared" si="26"/>
        <v/>
      </c>
      <c r="T41" s="399" t="str">
        <f t="shared" si="26"/>
        <v/>
      </c>
      <c r="U41" s="399" t="str">
        <f t="shared" si="26"/>
        <v/>
      </c>
      <c r="V41" s="399">
        <f t="shared" si="26"/>
        <v>0</v>
      </c>
      <c r="W41" s="399">
        <f t="shared" si="26"/>
        <v>1</v>
      </c>
      <c r="X41" s="399" t="str">
        <f t="shared" si="26"/>
        <v/>
      </c>
      <c r="Y41" s="399" t="str">
        <f t="shared" si="26"/>
        <v/>
      </c>
      <c r="Z41" s="399" t="str">
        <f t="shared" si="26"/>
        <v/>
      </c>
      <c r="AA41" s="399" t="str">
        <f t="shared" si="26"/>
        <v/>
      </c>
      <c r="AB41" s="399" t="str">
        <f t="shared" si="22"/>
        <v/>
      </c>
      <c r="AC41" s="399" t="str">
        <f t="shared" si="22"/>
        <v/>
      </c>
      <c r="AD41" s="399" t="str">
        <f t="shared" si="22"/>
        <v/>
      </c>
      <c r="AE41" s="399" t="str">
        <f t="shared" si="22"/>
        <v/>
      </c>
      <c r="AF41" s="399" t="str">
        <f t="shared" si="22"/>
        <v/>
      </c>
      <c r="AG41" s="399" t="str">
        <f t="shared" si="22"/>
        <v/>
      </c>
      <c r="AH41" s="399" t="str">
        <f t="shared" si="25"/>
        <v/>
      </c>
      <c r="AI41" s="399" t="str">
        <f t="shared" si="25"/>
        <v/>
      </c>
      <c r="AJ41" s="399" t="str">
        <f t="shared" si="25"/>
        <v/>
      </c>
      <c r="AK41" s="399" t="str">
        <f t="shared" si="27"/>
        <v/>
      </c>
      <c r="AL41" s="399" t="str">
        <f t="shared" si="27"/>
        <v/>
      </c>
      <c r="AM41" s="399" t="str">
        <f t="shared" si="27"/>
        <v/>
      </c>
      <c r="AN41" s="399" t="str">
        <f t="shared" si="27"/>
        <v/>
      </c>
      <c r="AO41" s="399" t="str">
        <f t="shared" si="27"/>
        <v/>
      </c>
      <c r="AP41" s="399" t="str">
        <f t="shared" si="27"/>
        <v/>
      </c>
      <c r="AQ41" s="399" t="str">
        <f t="shared" si="27"/>
        <v/>
      </c>
      <c r="AR41" s="399" t="str">
        <f t="shared" si="27"/>
        <v/>
      </c>
      <c r="AS41" s="400" t="str">
        <f t="shared" si="27"/>
        <v/>
      </c>
      <c r="AT41" s="141">
        <f t="shared" si="10"/>
        <v>4</v>
      </c>
      <c r="AU41" s="215" t="str">
        <f t="shared" si="20"/>
        <v>RCD-AP</v>
      </c>
    </row>
    <row r="42" spans="1:47" ht="69" customHeight="1">
      <c r="B42" s="659" t="s">
        <v>593</v>
      </c>
      <c r="C42" s="659"/>
      <c r="D42" s="659"/>
      <c r="E42" s="659"/>
      <c r="F42" s="497">
        <f ca="1">SUM(F8:F41)</f>
        <v>6281283.1299999999</v>
      </c>
      <c r="G42" s="660">
        <f ca="1">SUM(G8:G41)+0.04</f>
        <v>6281283.1699999999</v>
      </c>
      <c r="H42" s="661"/>
      <c r="I42" s="662" t="s">
        <v>340</v>
      </c>
      <c r="J42" s="663"/>
      <c r="K42" s="664"/>
      <c r="L42" s="351"/>
      <c r="M42" s="597">
        <f t="shared" ref="M42:AS42" ca="1" si="28">SUMPRODUCT($G$8:$G$41,M$8:M$41)</f>
        <v>0</v>
      </c>
      <c r="N42" s="597">
        <f t="shared" ca="1" si="28"/>
        <v>251896.57</v>
      </c>
      <c r="O42" s="597">
        <f t="shared" ca="1" si="28"/>
        <v>513823.61</v>
      </c>
      <c r="P42" s="597">
        <f t="shared" ca="1" si="28"/>
        <v>49589.89</v>
      </c>
      <c r="Q42" s="597">
        <f t="shared" ca="1" si="28"/>
        <v>684545.28</v>
      </c>
      <c r="R42" s="597">
        <f t="shared" ca="1" si="28"/>
        <v>924101.82000000007</v>
      </c>
      <c r="S42" s="597">
        <f t="shared" ca="1" si="28"/>
        <v>723742.17999999993</v>
      </c>
      <c r="T42" s="597">
        <f t="shared" ca="1" si="28"/>
        <v>946305.72000000009</v>
      </c>
      <c r="U42" s="597">
        <f t="shared" ca="1" si="28"/>
        <v>228679.99</v>
      </c>
      <c r="V42" s="597">
        <f t="shared" ca="1" si="28"/>
        <v>425547.56</v>
      </c>
      <c r="W42" s="597">
        <f t="shared" ca="1" si="28"/>
        <v>649689.79</v>
      </c>
      <c r="X42" s="597">
        <f t="shared" ca="1" si="28"/>
        <v>39196.9</v>
      </c>
      <c r="Y42" s="597">
        <f t="shared" ca="1" si="28"/>
        <v>0</v>
      </c>
      <c r="Z42" s="597">
        <f t="shared" ca="1" si="28"/>
        <v>0</v>
      </c>
      <c r="AA42" s="597">
        <f t="shared" ca="1" si="28"/>
        <v>0</v>
      </c>
      <c r="AB42" s="597">
        <f t="shared" ca="1" si="28"/>
        <v>0</v>
      </c>
      <c r="AC42" s="597">
        <f t="shared" ca="1" si="28"/>
        <v>0</v>
      </c>
      <c r="AD42" s="597">
        <f t="shared" ca="1" si="28"/>
        <v>0</v>
      </c>
      <c r="AE42" s="597">
        <f t="shared" ca="1" si="28"/>
        <v>157517.43</v>
      </c>
      <c r="AF42" s="597">
        <f t="shared" ca="1" si="28"/>
        <v>159180.87</v>
      </c>
      <c r="AG42" s="597">
        <f t="shared" ca="1" si="28"/>
        <v>158740.56</v>
      </c>
      <c r="AH42" s="597">
        <f t="shared" ca="1" si="28"/>
        <v>0</v>
      </c>
      <c r="AI42" s="597">
        <f t="shared" ca="1" si="28"/>
        <v>0</v>
      </c>
      <c r="AJ42" s="597">
        <f t="shared" ca="1" si="28"/>
        <v>75835.320000000007</v>
      </c>
      <c r="AK42" s="597">
        <f t="shared" ca="1" si="28"/>
        <v>75835.320000000007</v>
      </c>
      <c r="AL42" s="597">
        <f t="shared" ca="1" si="28"/>
        <v>75835.320000000007</v>
      </c>
      <c r="AM42" s="597">
        <f t="shared" ca="1" si="28"/>
        <v>0</v>
      </c>
      <c r="AN42" s="597">
        <f t="shared" ca="1" si="28"/>
        <v>0</v>
      </c>
      <c r="AO42" s="597">
        <f t="shared" ca="1" si="28"/>
        <v>0</v>
      </c>
      <c r="AP42" s="597">
        <f t="shared" ca="1" si="28"/>
        <v>47073</v>
      </c>
      <c r="AQ42" s="597">
        <f t="shared" ca="1" si="28"/>
        <v>47073</v>
      </c>
      <c r="AR42" s="597">
        <f t="shared" ca="1" si="28"/>
        <v>47073</v>
      </c>
      <c r="AS42" s="597">
        <f t="shared" ca="1" si="28"/>
        <v>0</v>
      </c>
    </row>
    <row r="43" spans="1:47" ht="32.25" customHeight="1">
      <c r="B43" s="352"/>
      <c r="C43" s="352"/>
      <c r="D43" s="352"/>
      <c r="E43" s="352"/>
      <c r="F43" s="353"/>
      <c r="G43" s="357"/>
      <c r="H43" s="354"/>
      <c r="I43" s="658" t="s">
        <v>341</v>
      </c>
      <c r="J43" s="658"/>
      <c r="K43" s="658"/>
      <c r="L43" s="355"/>
      <c r="M43" s="356">
        <f ca="1">M42/$G42</f>
        <v>0</v>
      </c>
      <c r="N43" s="356">
        <f t="shared" ref="N43:AJ43" ca="1" si="29">N42/$G42</f>
        <v>4.0102724743103724E-2</v>
      </c>
      <c r="O43" s="356">
        <f t="shared" ca="1" si="29"/>
        <v>8.1802331799666339E-2</v>
      </c>
      <c r="P43" s="356">
        <f t="shared" ca="1" si="29"/>
        <v>7.8948661695186721E-3</v>
      </c>
      <c r="Q43" s="356">
        <f t="shared" ca="1" si="29"/>
        <v>0.10898175762389646</v>
      </c>
      <c r="R43" s="356">
        <f t="shared" ca="1" si="29"/>
        <v>0.14711991085095438</v>
      </c>
      <c r="S43" s="356">
        <f t="shared" ca="1" si="29"/>
        <v>0.11522202715786811</v>
      </c>
      <c r="T43" s="356">
        <f t="shared" ca="1" si="29"/>
        <v>0.15065484143743835</v>
      </c>
      <c r="U43" s="356">
        <f t="shared" ca="1" si="29"/>
        <v>3.6406572321432212E-2</v>
      </c>
      <c r="V43" s="356">
        <f t="shared" ca="1" si="29"/>
        <v>6.7748507507583045E-2</v>
      </c>
      <c r="W43" s="356">
        <f t="shared" ca="1" si="29"/>
        <v>0.10343265419126138</v>
      </c>
      <c r="X43" s="356">
        <f t="shared" ref="X43:Y43" ca="1" si="30">X42/$G42</f>
        <v>6.2402695339716712E-3</v>
      </c>
      <c r="Y43" s="356">
        <f t="shared" ca="1" si="30"/>
        <v>0</v>
      </c>
      <c r="Z43" s="356">
        <f t="shared" ca="1" si="29"/>
        <v>0</v>
      </c>
      <c r="AA43" s="356">
        <f t="shared" ca="1" si="29"/>
        <v>0</v>
      </c>
      <c r="AB43" s="356">
        <f t="shared" ca="1" si="29"/>
        <v>0</v>
      </c>
      <c r="AC43" s="356">
        <f t="shared" ca="1" si="29"/>
        <v>0</v>
      </c>
      <c r="AD43" s="356">
        <f t="shared" ca="1" si="29"/>
        <v>0</v>
      </c>
      <c r="AE43" s="356">
        <f t="shared" ca="1" si="29"/>
        <v>2.5077269363100532E-2</v>
      </c>
      <c r="AF43" s="356">
        <f t="shared" ca="1" si="29"/>
        <v>2.5342094233271131E-2</v>
      </c>
      <c r="AG43" s="356">
        <f t="shared" ca="1" si="29"/>
        <v>2.5271995498970634E-2</v>
      </c>
      <c r="AH43" s="356">
        <f t="shared" ca="1" si="29"/>
        <v>0</v>
      </c>
      <c r="AI43" s="356">
        <f t="shared" ca="1" si="29"/>
        <v>0</v>
      </c>
      <c r="AJ43" s="356">
        <f t="shared" ca="1" si="29"/>
        <v>1.2073221019901895E-2</v>
      </c>
      <c r="AK43" s="356">
        <f t="shared" ref="AK43:AS43" ca="1" si="31">AK42/$G42</f>
        <v>1.2073221019901895E-2</v>
      </c>
      <c r="AL43" s="356">
        <f t="shared" ca="1" si="31"/>
        <v>1.2073221019901895E-2</v>
      </c>
      <c r="AM43" s="356">
        <f t="shared" ca="1" si="31"/>
        <v>0</v>
      </c>
      <c r="AN43" s="356">
        <f t="shared" ca="1" si="31"/>
        <v>0</v>
      </c>
      <c r="AO43" s="356">
        <f t="shared" ca="1" si="31"/>
        <v>0</v>
      </c>
      <c r="AP43" s="356">
        <f t="shared" ca="1" si="31"/>
        <v>7.4941693800440459E-3</v>
      </c>
      <c r="AQ43" s="356">
        <f t="shared" ca="1" si="31"/>
        <v>7.4941693800440459E-3</v>
      </c>
      <c r="AR43" s="356">
        <f t="shared" ca="1" si="31"/>
        <v>7.4941693800440459E-3</v>
      </c>
      <c r="AS43" s="356">
        <f t="shared" ca="1" si="31"/>
        <v>0</v>
      </c>
    </row>
    <row r="44" spans="1:47" ht="56.25" customHeight="1">
      <c r="B44" s="357"/>
      <c r="C44" s="357"/>
      <c r="D44" s="357"/>
      <c r="E44" s="357"/>
      <c r="F44" s="358"/>
      <c r="G44" s="638"/>
      <c r="H44" s="359"/>
      <c r="I44" s="665" t="s">
        <v>342</v>
      </c>
      <c r="J44" s="666"/>
      <c r="K44" s="667"/>
      <c r="L44" s="360"/>
      <c r="M44" s="361">
        <f ca="1">M42</f>
        <v>0</v>
      </c>
      <c r="N44" s="361">
        <f ca="1">N42+M44</f>
        <v>251896.57</v>
      </c>
      <c r="O44" s="361">
        <f t="shared" ref="O44:V44" ca="1" si="32">O42+N44</f>
        <v>765720.17999999993</v>
      </c>
      <c r="P44" s="361">
        <f t="shared" ca="1" si="32"/>
        <v>815310.07</v>
      </c>
      <c r="Q44" s="361">
        <f t="shared" ca="1" si="32"/>
        <v>1499855.35</v>
      </c>
      <c r="R44" s="361">
        <f t="shared" ca="1" si="32"/>
        <v>2423957.17</v>
      </c>
      <c r="S44" s="361">
        <f t="shared" ca="1" si="32"/>
        <v>3147699.3499999996</v>
      </c>
      <c r="T44" s="361">
        <f t="shared" ca="1" si="32"/>
        <v>4094005.07</v>
      </c>
      <c r="U44" s="361">
        <f t="shared" ca="1" si="32"/>
        <v>4322685.0599999996</v>
      </c>
      <c r="V44" s="361">
        <f t="shared" ca="1" si="32"/>
        <v>4748232.6199999992</v>
      </c>
      <c r="W44" s="361">
        <f t="shared" ref="W44" ca="1" si="33">W42+V44</f>
        <v>5397922.4099999992</v>
      </c>
      <c r="X44" s="361">
        <f t="shared" ref="X44" ca="1" si="34">X42+W44</f>
        <v>5437119.3099999996</v>
      </c>
      <c r="Y44" s="361">
        <f t="shared" ref="Y44" ca="1" si="35">Y42+X44</f>
        <v>5437119.3099999996</v>
      </c>
      <c r="Z44" s="361">
        <f t="shared" ref="Z44" ca="1" si="36">Z42+Y44</f>
        <v>5437119.3099999996</v>
      </c>
      <c r="AA44" s="361">
        <f t="shared" ref="AA44" ca="1" si="37">AA42+Z44</f>
        <v>5437119.3099999996</v>
      </c>
      <c r="AB44" s="361">
        <f t="shared" ref="AB44" ca="1" si="38">AB42+AA44</f>
        <v>5437119.3099999996</v>
      </c>
      <c r="AC44" s="361">
        <f t="shared" ref="AC44" ca="1" si="39">AC42+AB44</f>
        <v>5437119.3099999996</v>
      </c>
      <c r="AD44" s="361">
        <f t="shared" ref="AD44" ca="1" si="40">AD42+AC44</f>
        <v>5437119.3099999996</v>
      </c>
      <c r="AE44" s="361">
        <f t="shared" ref="AE44" ca="1" si="41">AE42+AD44</f>
        <v>5594636.7399999993</v>
      </c>
      <c r="AF44" s="361">
        <f t="shared" ref="AF44" ca="1" si="42">AF42+AE44</f>
        <v>5753817.6099999994</v>
      </c>
      <c r="AG44" s="361">
        <f t="shared" ref="AG44" ca="1" si="43">AG42+AF44</f>
        <v>5912558.169999999</v>
      </c>
      <c r="AH44" s="361">
        <f t="shared" ref="AH44" ca="1" si="44">AH42+AG44</f>
        <v>5912558.169999999</v>
      </c>
      <c r="AI44" s="361">
        <f t="shared" ref="AI44" ca="1" si="45">AI42+AH44</f>
        <v>5912558.169999999</v>
      </c>
      <c r="AJ44" s="361">
        <f t="shared" ref="AJ44" ca="1" si="46">AJ42+AI44</f>
        <v>5988393.4899999993</v>
      </c>
      <c r="AK44" s="361">
        <f t="shared" ref="AK44" ca="1" si="47">AK42+AJ44</f>
        <v>6064228.8099999996</v>
      </c>
      <c r="AL44" s="361">
        <f t="shared" ref="AL44" ca="1" si="48">AL42+AK44</f>
        <v>6140064.1299999999</v>
      </c>
      <c r="AM44" s="361">
        <f t="shared" ref="AM44" ca="1" si="49">AM42+AL44</f>
        <v>6140064.1299999999</v>
      </c>
      <c r="AN44" s="361">
        <f t="shared" ref="AN44" ca="1" si="50">AN42+AM44</f>
        <v>6140064.1299999999</v>
      </c>
      <c r="AO44" s="361">
        <f t="shared" ref="AO44" ca="1" si="51">AO42+AN44</f>
        <v>6140064.1299999999</v>
      </c>
      <c r="AP44" s="361">
        <f t="shared" ref="AP44" ca="1" si="52">AP42+AO44</f>
        <v>6187137.1299999999</v>
      </c>
      <c r="AQ44" s="361">
        <f t="shared" ref="AQ44" ca="1" si="53">AQ42+AP44</f>
        <v>6234210.1299999999</v>
      </c>
      <c r="AR44" s="361">
        <f t="shared" ref="AR44" ca="1" si="54">AR42+AQ44</f>
        <v>6281283.1299999999</v>
      </c>
      <c r="AS44" s="361">
        <f t="shared" ref="AS44" ca="1" si="55">AS42+AR44</f>
        <v>6281283.1299999999</v>
      </c>
    </row>
    <row r="45" spans="1:47" ht="36.75" customHeight="1">
      <c r="B45" s="357"/>
      <c r="C45" s="357"/>
      <c r="D45" s="357"/>
      <c r="E45" s="357"/>
      <c r="F45" s="358"/>
      <c r="G45" s="357"/>
      <c r="H45" s="359"/>
      <c r="I45" s="658" t="s">
        <v>343</v>
      </c>
      <c r="J45" s="658"/>
      <c r="K45" s="658"/>
      <c r="L45" s="355"/>
      <c r="M45" s="356">
        <f t="shared" ref="M45:W45" ca="1" si="56">M44/$G$42</f>
        <v>0</v>
      </c>
      <c r="N45" s="356">
        <f t="shared" ca="1" si="56"/>
        <v>4.0102724743103724E-2</v>
      </c>
      <c r="O45" s="356">
        <f t="shared" ca="1" si="56"/>
        <v>0.12190505654277006</v>
      </c>
      <c r="P45" s="356">
        <f t="shared" ca="1" si="56"/>
        <v>0.12979992271228874</v>
      </c>
      <c r="Q45" s="356">
        <f t="shared" ca="1" si="56"/>
        <v>0.23878168033618521</v>
      </c>
      <c r="R45" s="356">
        <f t="shared" ca="1" si="56"/>
        <v>0.38590159118713957</v>
      </c>
      <c r="S45" s="356">
        <f t="shared" ca="1" si="56"/>
        <v>0.50112361834500763</v>
      </c>
      <c r="T45" s="356">
        <f t="shared" ca="1" si="56"/>
        <v>0.65177845978244597</v>
      </c>
      <c r="U45" s="356">
        <f t="shared" ca="1" si="56"/>
        <v>0.68818503210387816</v>
      </c>
      <c r="V45" s="356">
        <f t="shared" ca="1" si="56"/>
        <v>0.75593353961146115</v>
      </c>
      <c r="W45" s="356">
        <f t="shared" ca="1" si="56"/>
        <v>0.8593661938027225</v>
      </c>
      <c r="X45" s="356">
        <f t="shared" ref="X45:Y45" ca="1" si="57">X44/$G$42</f>
        <v>0.86560646333669422</v>
      </c>
      <c r="Y45" s="356">
        <f t="shared" ca="1" si="57"/>
        <v>0.86560646333669422</v>
      </c>
      <c r="Z45" s="356">
        <f t="shared" ref="Z45:AJ45" ca="1" si="58">Z44/$G$42</f>
        <v>0.86560646333669422</v>
      </c>
      <c r="AA45" s="356">
        <f t="shared" ca="1" si="58"/>
        <v>0.86560646333669422</v>
      </c>
      <c r="AB45" s="356">
        <f t="shared" ca="1" si="58"/>
        <v>0.86560646333669422</v>
      </c>
      <c r="AC45" s="356">
        <f t="shared" ca="1" si="58"/>
        <v>0.86560646333669422</v>
      </c>
      <c r="AD45" s="356">
        <f t="shared" ca="1" si="58"/>
        <v>0.86560646333669422</v>
      </c>
      <c r="AE45" s="356">
        <f t="shared" ca="1" si="58"/>
        <v>0.89068373269979473</v>
      </c>
      <c r="AF45" s="356">
        <f t="shared" ca="1" si="58"/>
        <v>0.91602582693306589</v>
      </c>
      <c r="AG45" s="356">
        <f t="shared" ca="1" si="58"/>
        <v>0.94129782243203641</v>
      </c>
      <c r="AH45" s="356">
        <f t="shared" ca="1" si="58"/>
        <v>0.94129782243203641</v>
      </c>
      <c r="AI45" s="356">
        <f t="shared" ca="1" si="58"/>
        <v>0.94129782243203641</v>
      </c>
      <c r="AJ45" s="356">
        <f t="shared" ca="1" si="58"/>
        <v>0.95337104345193835</v>
      </c>
      <c r="AK45" s="356">
        <f t="shared" ref="AK45:AS45" ca="1" si="59">AK44/$G$42</f>
        <v>0.96544426447184029</v>
      </c>
      <c r="AL45" s="356">
        <f t="shared" ca="1" si="59"/>
        <v>0.97751748549174233</v>
      </c>
      <c r="AM45" s="356">
        <f t="shared" ca="1" si="59"/>
        <v>0.97751748549174233</v>
      </c>
      <c r="AN45" s="356">
        <f t="shared" ca="1" si="59"/>
        <v>0.97751748549174233</v>
      </c>
      <c r="AO45" s="356">
        <f t="shared" ca="1" si="59"/>
        <v>0.97751748549174233</v>
      </c>
      <c r="AP45" s="356">
        <f t="shared" ca="1" si="59"/>
        <v>0.98501165487178632</v>
      </c>
      <c r="AQ45" s="356">
        <f t="shared" ca="1" si="59"/>
        <v>0.99250582425183043</v>
      </c>
      <c r="AR45" s="356">
        <f t="shared" ca="1" si="59"/>
        <v>0.99999999363187442</v>
      </c>
      <c r="AS45" s="356">
        <f t="shared" ca="1" si="59"/>
        <v>0.99999999363187442</v>
      </c>
    </row>
    <row r="46" spans="1:47">
      <c r="E46" s="368"/>
    </row>
    <row r="47" spans="1:47">
      <c r="E47" s="391"/>
    </row>
    <row r="50" spans="5:5" ht="15">
      <c r="E50" s="573"/>
    </row>
    <row r="51" spans="5:5" ht="15">
      <c r="E51" s="573"/>
    </row>
    <row r="52" spans="5:5" ht="15">
      <c r="E52" s="573"/>
    </row>
    <row r="53" spans="5:5" ht="15">
      <c r="E53" s="573"/>
    </row>
  </sheetData>
  <mergeCells count="38">
    <mergeCell ref="B8:C8"/>
    <mergeCell ref="C12:C13"/>
    <mergeCell ref="C23:C24"/>
    <mergeCell ref="C34:C35"/>
    <mergeCell ref="F31:F32"/>
    <mergeCell ref="F34:F35"/>
    <mergeCell ref="B9:B19"/>
    <mergeCell ref="B20:B30"/>
    <mergeCell ref="B31:B41"/>
    <mergeCell ref="D9:D10"/>
    <mergeCell ref="D12:D13"/>
    <mergeCell ref="D20:D21"/>
    <mergeCell ref="D31:D32"/>
    <mergeCell ref="D23:D24"/>
    <mergeCell ref="D34:D35"/>
    <mergeCell ref="F9:F10"/>
    <mergeCell ref="F12:F13"/>
    <mergeCell ref="F20:F21"/>
    <mergeCell ref="F23:F24"/>
    <mergeCell ref="AO6:AQ6"/>
    <mergeCell ref="B4:AS4"/>
    <mergeCell ref="M6:Y6"/>
    <mergeCell ref="AA6:AC6"/>
    <mergeCell ref="AD6:AF6"/>
    <mergeCell ref="AG6:AH6"/>
    <mergeCell ref="AI6:AK6"/>
    <mergeCell ref="G6:G7"/>
    <mergeCell ref="H6:H7"/>
    <mergeCell ref="I6:K6"/>
    <mergeCell ref="E6:E7"/>
    <mergeCell ref="D6:D7"/>
    <mergeCell ref="B6:C7"/>
    <mergeCell ref="I45:K45"/>
    <mergeCell ref="B42:E42"/>
    <mergeCell ref="G42:H42"/>
    <mergeCell ref="I42:K42"/>
    <mergeCell ref="I43:K43"/>
    <mergeCell ref="I44:K44"/>
  </mergeCells>
  <phoneticPr fontId="19" type="noConversion"/>
  <conditionalFormatting sqref="M8:AS41">
    <cfRule type="notContainsBlanks" dxfId="4" priority="1">
      <formula>LEN(TRIM(M8))&gt;0</formula>
    </cfRule>
  </conditionalFormatting>
  <pageMargins left="0.51181102362204722" right="0.51181102362204722" top="0.78740157480314965" bottom="0.78740157480314965" header="0.31496062992125984" footer="0.31496062992125984"/>
  <pageSetup paperSize="8" scale="63"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38DFE-A3D6-4034-968D-4DD51E5C0620}">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'Cronograma'!$D$45</f>
        <v>1</v>
      </c>
    </row>
    <row r="8" spans="1:11">
      <c r="B8" s="719" t="str">
        <f>CONCATENATE("", "",'Alocação MO'!C13)</f>
        <v>Apoio a subsídios a questionamentos do processo licitatório</v>
      </c>
      <c r="C8" s="720"/>
      <c r="D8" s="720"/>
      <c r="E8" s="720"/>
      <c r="F8" s="720"/>
      <c r="G8" s="720"/>
      <c r="H8" s="720"/>
      <c r="I8" s="18"/>
      <c r="J8" s="18" t="s">
        <v>105</v>
      </c>
      <c r="K8" s="19" t="s">
        <v>106</v>
      </c>
    </row>
    <row r="9" spans="1:11">
      <c r="B9" s="719"/>
      <c r="C9" s="720"/>
      <c r="D9" s="720"/>
      <c r="E9" s="720"/>
      <c r="F9" s="721"/>
      <c r="G9" s="721"/>
      <c r="H9" s="721"/>
      <c r="I9" s="20"/>
      <c r="J9" s="20" t="s">
        <v>107</v>
      </c>
      <c r="K9" s="21" t="s">
        <v>767</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2.25" customHeight="1">
      <c r="B12" s="33" t="str">
        <f>Equip.Info!A4</f>
        <v>EQSF002</v>
      </c>
      <c r="C12" s="730" t="str">
        <f>VLOOKUP(B12,Equip.Info!A:I,2,FALSE)</f>
        <v>Laptop completo, processador Intel Core i5, 16GB memória, Resolução 3.840x2.160 (4K), PV GPU de 4GB e Sistema Operacional.</v>
      </c>
      <c r="D12" s="730"/>
      <c r="E12" s="731"/>
      <c r="F12" s="107">
        <f>SUM(I18:I25)</f>
        <v>218.988</v>
      </c>
      <c r="G12" s="107">
        <v>1</v>
      </c>
      <c r="H12" s="107">
        <v>0</v>
      </c>
      <c r="I12" s="107">
        <f>IF(B12="","",VLOOKUP($B12,Equip.Info!$A:$I,8,FALSE))</f>
        <v>0.217</v>
      </c>
      <c r="J12" s="107">
        <f>IF(B12="","",VLOOKUP($B12,Equip.Info!$A:$I,9,FALSE))</f>
        <v>0.14369999999999999</v>
      </c>
      <c r="K12" s="118">
        <f>ROUND(F12*(G12*I12+H12*J12),4)</f>
        <v>47.520400000000002</v>
      </c>
    </row>
    <row r="13" spans="1:11" ht="29.25" customHeight="1">
      <c r="B13" s="33"/>
      <c r="C13" s="735"/>
      <c r="D13" s="735"/>
      <c r="E13" s="736"/>
      <c r="F13" s="108"/>
      <c r="G13" s="108"/>
      <c r="H13" s="108"/>
      <c r="I13" s="108" t="str">
        <f>IF(B13="","",VLOOKUP($B13,Equip.Info!$A:$I,8,FALSE))</f>
        <v/>
      </c>
      <c r="J13" s="108" t="str">
        <f>IF(B13="","",VLOOKUP($B13,Equip.Info!$A:$I,9,FALSE))</f>
        <v/>
      </c>
      <c r="K13" s="119"/>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47.520400000000002</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P8044</v>
      </c>
      <c r="C18" s="732" t="s">
        <v>24</v>
      </c>
      <c r="D18" s="732"/>
      <c r="E18" s="732"/>
      <c r="F18" s="54">
        <v>0.1</v>
      </c>
      <c r="G18" s="55">
        <f>INDEX(MO[],MATCH($B$8,MO[Descrição dos Produtos],0),MATCH(C18,MO[#Headers],0))</f>
        <v>1</v>
      </c>
      <c r="H18" s="52">
        <f>F18*G18*$K$7</f>
        <v>0.1</v>
      </c>
      <c r="I18" s="56">
        <f t="shared" ref="I18:I23" si="0">H18*182.49</f>
        <v>18.249000000000002</v>
      </c>
      <c r="J18" s="53">
        <f>IF(ISBLANK(B18),0,VLOOKUP(B18,'TC 10-2023'!B:Z,25,TRUE)/182.49)</f>
        <v>172.51148008110033</v>
      </c>
      <c r="K18" s="35">
        <f>ROUND(J18*I18,4)</f>
        <v>3148.1619999999998</v>
      </c>
    </row>
    <row r="19" spans="2:15" ht="15" customHeight="1">
      <c r="B19" s="37" t="str">
        <f>IF(ISBLANK(C19),0,VLOOKUP(C19,Categorias!$A$4:$B$83,2,FALSE))</f>
        <v>P8061</v>
      </c>
      <c r="C19" s="732" t="s">
        <v>35</v>
      </c>
      <c r="D19" s="732"/>
      <c r="E19" s="732"/>
      <c r="F19" s="54">
        <v>0.1</v>
      </c>
      <c r="G19" s="55">
        <f>INDEX(MO[],MATCH($B$8,MO[Descrição dos Produtos],0),MATCH(C19,MO[#Headers],0))</f>
        <v>1</v>
      </c>
      <c r="H19" s="52">
        <f t="shared" ref="H19:H23" si="1">F19*G19*$K$7</f>
        <v>0.1</v>
      </c>
      <c r="I19" s="56">
        <f t="shared" si="0"/>
        <v>18.249000000000002</v>
      </c>
      <c r="J19" s="53">
        <f>IF(ISBLANK(B19),0,VLOOKUP(B19,'TC 10-2023'!B:Z,25,TRUE)/182.49)</f>
        <v>174.03671434051179</v>
      </c>
      <c r="K19" s="35">
        <f t="shared" ref="K19:K23" si="2">ROUND(J19*I19,4)</f>
        <v>3175.9960000000001</v>
      </c>
    </row>
    <row r="20" spans="2:15" ht="15" customHeight="1">
      <c r="B20" s="37" t="str">
        <f>IF(ISBLANK(C20),0,VLOOKUP(C20,Categorias!$A$4:$B$83,2,FALSE))</f>
        <v>P8003</v>
      </c>
      <c r="C20" s="732" t="s">
        <v>3</v>
      </c>
      <c r="D20" s="732"/>
      <c r="E20" s="732"/>
      <c r="F20" s="54">
        <v>0.25</v>
      </c>
      <c r="G20" s="55">
        <f>INDEX(MO[],MATCH($B$8,MO[Descrição dos Produtos],0),MATCH(C20,MO[#Headers],0))</f>
        <v>1</v>
      </c>
      <c r="H20" s="52">
        <f t="shared" si="1"/>
        <v>0.25</v>
      </c>
      <c r="I20" s="56">
        <f t="shared" si="0"/>
        <v>45.622500000000002</v>
      </c>
      <c r="J20" s="53">
        <f>IF(ISBLANK(B20),0,VLOOKUP(B20,'TC 10-2023'!B:Z,25,TRUE)/182.49)</f>
        <v>105.29289276124719</v>
      </c>
      <c r="K20" s="35">
        <f t="shared" si="2"/>
        <v>4803.7250000000004</v>
      </c>
    </row>
    <row r="21" spans="2:15" ht="15" customHeight="1">
      <c r="B21" s="37" t="str">
        <f>IF(ISBLANK(C21),0,VLOOKUP(C21,Categorias!$A$4:$B$83,2,FALSE))</f>
        <v>P8047</v>
      </c>
      <c r="C21" s="105" t="s">
        <v>27</v>
      </c>
      <c r="D21" s="105"/>
      <c r="E21" s="105"/>
      <c r="F21" s="54">
        <v>0.25</v>
      </c>
      <c r="G21" s="55">
        <f>INDEX(MO[],MATCH($B$8,MO[Descrição dos Produtos],0),MATCH(C21,MO[#Headers],0))</f>
        <v>1</v>
      </c>
      <c r="H21" s="52">
        <f t="shared" si="1"/>
        <v>0.25</v>
      </c>
      <c r="I21" s="56">
        <f t="shared" si="0"/>
        <v>45.622500000000002</v>
      </c>
      <c r="J21" s="53">
        <f>IF(ISBLANK(B21),0,VLOOKUP(B21,'TC 10-2023'!B:Z,25,TRUE)/182.49)</f>
        <v>108.82941531042796</v>
      </c>
      <c r="K21" s="35">
        <f t="shared" si="2"/>
        <v>4965.07</v>
      </c>
    </row>
    <row r="22" spans="2:15">
      <c r="B22" s="37" t="str">
        <f>IF(ISBLANK(C22),0,VLOOKUP(C22,Categorias!$A$4:$B$83,2,FALSE))</f>
        <v>P8060</v>
      </c>
      <c r="C22" s="105" t="s">
        <v>34</v>
      </c>
      <c r="D22" s="105"/>
      <c r="E22" s="105"/>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5" t="s">
        <v>41</v>
      </c>
      <c r="D23" s="105"/>
      <c r="E23" s="105"/>
      <c r="F23" s="54">
        <v>0.25</v>
      </c>
      <c r="G23" s="55">
        <f>INDEX(MO[],MATCH($B$8,MO[Descrição dos Produtos],0),MATCH(C23,MO[#Headers],0))</f>
        <v>1</v>
      </c>
      <c r="H23" s="52">
        <f t="shared" si="1"/>
        <v>0.25</v>
      </c>
      <c r="I23" s="56">
        <f t="shared" si="0"/>
        <v>45.622500000000002</v>
      </c>
      <c r="J23" s="53">
        <f>IF(ISBLANK(B23),0,VLOOKUP(B23,'TC 10-2023'!B:Z,25,TRUE)/182.49)</f>
        <v>151.26779549564358</v>
      </c>
      <c r="K23" s="35">
        <f t="shared" si="2"/>
        <v>6901.2150000000001</v>
      </c>
    </row>
    <row r="24" spans="2:15">
      <c r="B24" s="37"/>
      <c r="C24" s="732"/>
      <c r="D24" s="732"/>
      <c r="E24" s="73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32470.838</v>
      </c>
    </row>
    <row r="27" spans="2:15">
      <c r="B27" s="44" t="s">
        <v>125</v>
      </c>
      <c r="C27" s="45"/>
      <c r="D27" s="45"/>
      <c r="E27" s="345">
        <v>1</v>
      </c>
      <c r="F27" s="44" t="s">
        <v>126</v>
      </c>
      <c r="G27" s="45"/>
      <c r="H27" s="45"/>
      <c r="I27" s="45"/>
      <c r="J27" s="63"/>
      <c r="K27" s="48">
        <f>K26+K16</f>
        <v>32518.358400000001</v>
      </c>
    </row>
    <row r="28" spans="2:15">
      <c r="B28" s="44" t="s">
        <v>127</v>
      </c>
      <c r="C28" s="45"/>
      <c r="D28" s="45"/>
      <c r="E28" s="345"/>
      <c r="F28" s="44"/>
      <c r="G28" s="45"/>
      <c r="H28" s="45"/>
      <c r="I28" s="45"/>
      <c r="J28" s="63"/>
      <c r="K28" s="48">
        <f>K27/E27</f>
        <v>32518.358400000001</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ht="15" customHeight="1">
      <c r="B31" s="37" t="str">
        <f>Mat.Info!$A$2</f>
        <v>MTSF001</v>
      </c>
      <c r="C31" s="4" t="str">
        <f>VLOOKUP(B31,Mat.Info!A1:H3,2,FALSE)</f>
        <v>Pacote Microsoft 365 Business Basic</v>
      </c>
      <c r="G31" s="543">
        <f>IF(B31="","",VLOOKUP(B31,Mat.Info!A2:H4,6,0))</f>
        <v>1</v>
      </c>
      <c r="H31" s="106" t="s">
        <v>299</v>
      </c>
      <c r="I31" s="106">
        <f>SUM(F12:F15)*G31</f>
        <v>218.988</v>
      </c>
      <c r="J31" s="106">
        <f>IF(B31="","",VLOOKUP(B31,Mat.Info!$A:$H,8,FALSE))</f>
        <v>0.16250000000000001</v>
      </c>
      <c r="K31" s="34">
        <f>ROUND(IF(B31="","",I31*J31),4)</f>
        <v>35.585599999999999</v>
      </c>
    </row>
    <row r="32" spans="2:15">
      <c r="B32" s="37"/>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35.585599999999999</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32553.944</v>
      </c>
    </row>
    <row r="50" spans="2:11">
      <c r="B50" s="44" t="s">
        <v>144</v>
      </c>
      <c r="C50" s="74"/>
      <c r="D50" s="74"/>
      <c r="E50" s="74"/>
      <c r="F50" s="74"/>
      <c r="G50" s="74"/>
      <c r="H50" s="74"/>
      <c r="I50" s="74"/>
      <c r="J50" s="76">
        <f ca="1">Dados!C17</f>
        <v>0.44600000000000001</v>
      </c>
      <c r="K50" s="75">
        <f ca="1">K49*J50</f>
        <v>14519.059024</v>
      </c>
    </row>
    <row r="51" spans="2:11">
      <c r="B51" s="64" t="s">
        <v>145</v>
      </c>
      <c r="C51" s="45"/>
      <c r="D51" s="45"/>
      <c r="E51" s="45"/>
      <c r="F51" s="45"/>
      <c r="G51" s="45"/>
      <c r="H51" s="45"/>
      <c r="I51" s="45"/>
      <c r="J51" s="45"/>
      <c r="K51" s="48">
        <f ca="1">ROUND(K50+K49,2)</f>
        <v>47073</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02D1C-C44F-4084-A27F-BADE841B030E}">
  <sheetPr>
    <tabColor rgb="FF008080"/>
    <pageSetUpPr fitToPage="1"/>
  </sheetPr>
  <dimension ref="A1:O53"/>
  <sheetViews>
    <sheetView workbookViewId="0">
      <selection activeCell="O9" sqref="O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7"/>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17" t="s">
        <v>102</v>
      </c>
      <c r="C6" s="717"/>
      <c r="D6" s="717"/>
      <c r="E6" s="717"/>
      <c r="F6" s="717"/>
      <c r="G6" s="717"/>
      <c r="H6" s="717"/>
      <c r="I6" s="717"/>
      <c r="J6" s="717"/>
      <c r="K6" s="718"/>
    </row>
    <row r="7" spans="1:11">
      <c r="B7" s="15" t="s">
        <v>103</v>
      </c>
      <c r="C7" s="16"/>
      <c r="D7" s="16"/>
      <c r="E7" s="16"/>
      <c r="F7" s="16"/>
      <c r="G7" s="16"/>
      <c r="H7" s="16"/>
      <c r="I7" s="16"/>
      <c r="J7" s="17" t="s">
        <v>104</v>
      </c>
      <c r="K7" s="94">
        <f>'Cronograma'!$D$46</f>
        <v>1</v>
      </c>
    </row>
    <row r="8" spans="1:11">
      <c r="B8" s="719" t="str">
        <f>CONCATENATE("",'Alocação MO'!C14)</f>
        <v>Apoio Documental Jurídico-Regulatório (ADJR)</v>
      </c>
      <c r="C8" s="720"/>
      <c r="D8" s="720"/>
      <c r="E8" s="720"/>
      <c r="F8" s="720"/>
      <c r="G8" s="720"/>
      <c r="H8" s="720"/>
      <c r="I8" s="18"/>
      <c r="J8" s="18" t="s">
        <v>105</v>
      </c>
      <c r="K8" s="19" t="s">
        <v>106</v>
      </c>
    </row>
    <row r="9" spans="1:11">
      <c r="B9" s="719"/>
      <c r="C9" s="720"/>
      <c r="D9" s="720"/>
      <c r="E9" s="720"/>
      <c r="F9" s="721"/>
      <c r="G9" s="721"/>
      <c r="H9" s="721"/>
      <c r="I9" s="20"/>
      <c r="J9" s="20" t="s">
        <v>107</v>
      </c>
      <c r="K9" s="21" t="s">
        <v>768</v>
      </c>
    </row>
    <row r="10" spans="1:11">
      <c r="B10" s="22" t="s">
        <v>108</v>
      </c>
      <c r="C10" s="23"/>
      <c r="D10" s="24"/>
      <c r="E10" s="25"/>
      <c r="F10" s="722" t="s">
        <v>109</v>
      </c>
      <c r="G10" s="723" t="s">
        <v>110</v>
      </c>
      <c r="H10" s="723"/>
      <c r="I10" s="723" t="s">
        <v>111</v>
      </c>
      <c r="J10" s="723"/>
      <c r="K10" s="27" t="s">
        <v>112</v>
      </c>
    </row>
    <row r="11" spans="1:11">
      <c r="B11" s="28"/>
      <c r="C11" s="29"/>
      <c r="D11" s="30"/>
      <c r="E11" s="31"/>
      <c r="F11" s="722"/>
      <c r="G11" s="26" t="s">
        <v>113</v>
      </c>
      <c r="H11" s="26" t="s">
        <v>114</v>
      </c>
      <c r="I11" s="26" t="s">
        <v>113</v>
      </c>
      <c r="J11" s="26" t="s">
        <v>114</v>
      </c>
      <c r="K11" s="32" t="s">
        <v>115</v>
      </c>
    </row>
    <row r="12" spans="1:11" ht="39.75" customHeight="1">
      <c r="B12" s="33" t="str">
        <f>Equip.Info!A4</f>
        <v>EQSF002</v>
      </c>
      <c r="C12" s="730" t="str">
        <f>VLOOKUP(B12,Equip.Info!A:I,2,FALSE)</f>
        <v>Laptop completo, processador Intel Core i5, 16GB memória, Resolução 3.840x2.160 (4K), PV GPU de 4GB e Sistema Operacional.</v>
      </c>
      <c r="D12" s="730"/>
      <c r="E12" s="731"/>
      <c r="F12" s="107">
        <f>SUM(I18:I25)</f>
        <v>200.739</v>
      </c>
      <c r="G12" s="107">
        <v>1</v>
      </c>
      <c r="H12" s="107">
        <v>0</v>
      </c>
      <c r="I12" s="107">
        <f>IF(B12="","",VLOOKUP($B12,Equip.Info!$A:$I,8,FALSE))</f>
        <v>0.217</v>
      </c>
      <c r="J12" s="107">
        <f>IF(B12="","",VLOOKUP($B12,Equip.Info!$A:$I,9,FALSE))</f>
        <v>0.14369999999999999</v>
      </c>
      <c r="K12" s="118">
        <f>ROUND(F12*(G12*I12+H12*J12),4)</f>
        <v>43.560400000000001</v>
      </c>
    </row>
    <row r="13" spans="1:11" ht="39.75" customHeight="1">
      <c r="B13" s="33"/>
      <c r="C13" s="730"/>
      <c r="D13" s="730"/>
      <c r="E13" s="731"/>
      <c r="F13" s="108"/>
      <c r="G13" s="108"/>
      <c r="H13" s="108"/>
      <c r="I13" s="108" t="str">
        <f>IF(B13="","",VLOOKUP($B13,Equip.Info!$A:$I,8,FALSE))</f>
        <v/>
      </c>
      <c r="J13" s="108" t="str">
        <f>IF(B13="","",VLOOKUP($B13,Equip.Info!$A:$I,9,FALSE))</f>
        <v/>
      </c>
      <c r="K13" s="119"/>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3"/>
      <c r="D17" s="83"/>
      <c r="E17" s="83"/>
      <c r="F17" s="95" t="s">
        <v>118</v>
      </c>
      <c r="G17" s="95" t="s">
        <v>119</v>
      </c>
      <c r="H17" s="96" t="s">
        <v>120</v>
      </c>
      <c r="I17" s="84" t="s">
        <v>121</v>
      </c>
      <c r="J17" s="50" t="s">
        <v>122</v>
      </c>
      <c r="K17" s="50" t="s">
        <v>123</v>
      </c>
      <c r="O17" s="87"/>
    </row>
    <row r="18" spans="2:15" ht="15" customHeight="1">
      <c r="B18" s="37" t="str">
        <f>IF(ISBLANK(C18),0,VLOOKUP(C18,Categorias!$A$4:$B$83,2,FALSE))</f>
        <v>P8002</v>
      </c>
      <c r="C18" s="105" t="s">
        <v>2</v>
      </c>
      <c r="D18" s="105"/>
      <c r="E18" s="105"/>
      <c r="F18" s="54">
        <v>1</v>
      </c>
      <c r="G18" s="55">
        <f>INDEX(MO[],MATCH($B$8,MO[Descrição dos Produtos],0),MATCH(C18,MO[#Headers],0))</f>
        <v>1</v>
      </c>
      <c r="H18" s="52">
        <f>F18*G18*$K$7</f>
        <v>1</v>
      </c>
      <c r="I18" s="56">
        <f t="shared" ref="I18:I19" si="0">H18*182.49</f>
        <v>182.49</v>
      </c>
      <c r="J18" s="53">
        <f>IF(ISBLANK(B18),0,VLOOKUP(B18,'TC 10-2023'!B:Z,25,TRUE)/182.49)</f>
        <v>61.793906515425505</v>
      </c>
      <c r="K18" s="35">
        <f>ROUND(J18*I18,4)</f>
        <v>11276.77</v>
      </c>
    </row>
    <row r="19" spans="2:15" ht="15" customHeight="1">
      <c r="B19" s="37" t="str">
        <f>IF(ISBLANK(C19),0,VLOOKUP(C19,Categorias!$A$4:$B$83,2,FALSE))</f>
        <v>P8061</v>
      </c>
      <c r="C19" s="105" t="s">
        <v>35</v>
      </c>
      <c r="D19" s="105"/>
      <c r="E19" s="105"/>
      <c r="F19" s="54">
        <v>0.1</v>
      </c>
      <c r="G19" s="55">
        <f>INDEX(MO[],MATCH($B$8,MO[Descrição dos Produtos],0),MATCH(C19,MO[#Headers],0))</f>
        <v>1</v>
      </c>
      <c r="H19" s="52">
        <f t="shared" ref="H19" si="1">F19*G19*$K$7</f>
        <v>0.1</v>
      </c>
      <c r="I19" s="56">
        <f t="shared" si="0"/>
        <v>18.249000000000002</v>
      </c>
      <c r="J19" s="53">
        <f>IF(ISBLANK(B19),0,VLOOKUP(B19,'TC 10-2023'!B:Z,25,TRUE)/182.49)</f>
        <v>174.03671434051179</v>
      </c>
      <c r="K19" s="35">
        <f t="shared" ref="K19" si="2">ROUND(J19*I19,4)</f>
        <v>3175.9960000000001</v>
      </c>
    </row>
    <row r="20" spans="2:15" ht="15" customHeight="1">
      <c r="B20" s="37"/>
      <c r="C20" s="105"/>
      <c r="D20" s="105"/>
      <c r="E20" s="105"/>
      <c r="F20" s="54"/>
      <c r="G20" s="55"/>
      <c r="H20" s="52"/>
      <c r="I20" s="56"/>
      <c r="J20" s="53"/>
      <c r="K20" s="35"/>
    </row>
    <row r="21" spans="2:15" ht="15" customHeight="1">
      <c r="B21" s="37"/>
      <c r="F21" s="58"/>
      <c r="H21" s="97"/>
      <c r="I21" s="59"/>
      <c r="J21" s="53"/>
      <c r="K21" s="35"/>
    </row>
    <row r="22" spans="2:15" ht="15" customHeight="1">
      <c r="B22" s="37"/>
      <c r="F22" s="58"/>
      <c r="H22" s="97"/>
      <c r="I22" s="59"/>
      <c r="J22" s="53"/>
      <c r="K22" s="35"/>
    </row>
    <row r="23" spans="2:15" ht="15" customHeight="1">
      <c r="B23" s="37"/>
      <c r="F23" s="58"/>
      <c r="H23" s="97"/>
      <c r="I23" s="59"/>
      <c r="J23" s="53"/>
      <c r="K23" s="35"/>
    </row>
    <row r="24" spans="2:15" ht="15" customHeight="1">
      <c r="B24" s="37"/>
      <c r="F24" s="58"/>
      <c r="H24" s="97"/>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14452.766</v>
      </c>
    </row>
    <row r="27" spans="2:15">
      <c r="B27" s="44" t="s">
        <v>125</v>
      </c>
      <c r="C27" s="45"/>
      <c r="D27" s="45"/>
      <c r="E27" s="345">
        <v>1</v>
      </c>
      <c r="F27" s="44" t="s">
        <v>126</v>
      </c>
      <c r="G27" s="45"/>
      <c r="H27" s="45"/>
      <c r="I27" s="45"/>
      <c r="J27" s="63"/>
      <c r="K27" s="48">
        <f>K26+K16</f>
        <v>14496.3264</v>
      </c>
    </row>
    <row r="28" spans="2:15">
      <c r="B28" s="44" t="s">
        <v>127</v>
      </c>
      <c r="C28" s="45"/>
      <c r="D28" s="45"/>
      <c r="E28" s="345"/>
      <c r="F28" s="44"/>
      <c r="G28" s="45"/>
      <c r="H28" s="45"/>
      <c r="I28" s="45"/>
      <c r="J28" s="63"/>
      <c r="K28" s="48">
        <f>K27/E27</f>
        <v>14496.3264</v>
      </c>
    </row>
    <row r="29" spans="2:15">
      <c r="B29" s="64"/>
      <c r="C29" s="45"/>
      <c r="D29" s="45"/>
      <c r="E29" s="45"/>
      <c r="F29" s="45"/>
      <c r="G29" s="45"/>
      <c r="H29" s="45"/>
      <c r="I29" s="45"/>
      <c r="J29" s="45"/>
      <c r="K29" s="63"/>
    </row>
    <row r="30" spans="2:15" ht="45">
      <c r="B30" s="733" t="s">
        <v>128</v>
      </c>
      <c r="C30" s="734"/>
      <c r="D30" s="734"/>
      <c r="E30" s="734"/>
      <c r="F30" s="734"/>
      <c r="G30" s="95" t="s">
        <v>118</v>
      </c>
      <c r="H30" s="65" t="s">
        <v>105</v>
      </c>
      <c r="I30" s="65" t="s">
        <v>129</v>
      </c>
      <c r="J30" s="66" t="s">
        <v>130</v>
      </c>
      <c r="K30" s="66" t="s">
        <v>131</v>
      </c>
    </row>
    <row r="31" spans="2:15">
      <c r="B31" s="37" t="str">
        <f>Mat.Info!$A$2</f>
        <v>MTSF001</v>
      </c>
      <c r="C31" s="4" t="str">
        <f>VLOOKUP(B31,Mat.Info!A1:H3,2,FALSE)</f>
        <v>Pacote Microsoft 365 Business Basic</v>
      </c>
      <c r="G31" s="543">
        <f>IF(B31="","",VLOOKUP(B31,Mat.Info!A2:H4,6,0))</f>
        <v>1</v>
      </c>
      <c r="H31" s="106" t="s">
        <v>299</v>
      </c>
      <c r="I31" s="106">
        <f>SUM(F12:F15)*G31</f>
        <v>200.739</v>
      </c>
      <c r="J31" s="106">
        <f>IF(B31="","",VLOOKUP(B31,Mat.Info!$A:$H,8,FALSE))</f>
        <v>0.16250000000000001</v>
      </c>
      <c r="K31" s="34">
        <f>ROUND(IF(B31="","",I31*J31),4)</f>
        <v>32.620100000000001</v>
      </c>
    </row>
    <row r="32" spans="2:15">
      <c r="B32" s="37"/>
      <c r="C32" s="4" t="str">
        <f>IF(B32="","",VLOOKUP(B32,Mat.Info!A2:H5,2,FALSE))</f>
        <v/>
      </c>
      <c r="G32" s="543" t="str">
        <f>IF(B32="","",VLOOKUP(B32,Mat.Info!A3:H5,6,0))</f>
        <v/>
      </c>
      <c r="H32" s="35"/>
      <c r="I32" s="35"/>
      <c r="J32" s="35"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7"/>
      <c r="D40" s="67"/>
      <c r="E40" s="67"/>
      <c r="F40" s="67"/>
      <c r="G40" s="67"/>
      <c r="H40" s="68"/>
      <c r="I40" s="65" t="s">
        <v>129</v>
      </c>
      <c r="J40" s="65" t="s">
        <v>134</v>
      </c>
      <c r="K40" s="65" t="s">
        <v>112</v>
      </c>
    </row>
    <row r="41" spans="2:11">
      <c r="B41" s="69"/>
      <c r="C41" s="70"/>
      <c r="D41" s="70"/>
      <c r="E41" s="70"/>
      <c r="F41" s="70"/>
      <c r="G41" s="70"/>
      <c r="H41" s="71"/>
      <c r="I41" s="72"/>
      <c r="J41" s="72" t="s">
        <v>135</v>
      </c>
      <c r="K41" s="72"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3"/>
      <c r="D44" s="65" t="s">
        <v>129</v>
      </c>
      <c r="E44" s="724" t="s">
        <v>138</v>
      </c>
      <c r="F44" s="725"/>
      <c r="G44" s="726"/>
      <c r="H44" s="727" t="s">
        <v>130</v>
      </c>
      <c r="I44" s="728"/>
      <c r="J44" s="729"/>
      <c r="K44" s="65" t="s">
        <v>112</v>
      </c>
    </row>
    <row r="45" spans="2:11">
      <c r="B45" s="39"/>
      <c r="C45" s="5"/>
      <c r="D45" s="72"/>
      <c r="E45" s="26" t="s">
        <v>139</v>
      </c>
      <c r="F45" s="26" t="s">
        <v>140</v>
      </c>
      <c r="G45" s="26" t="s">
        <v>141</v>
      </c>
      <c r="H45" s="26" t="s">
        <v>139</v>
      </c>
      <c r="I45" s="26" t="s">
        <v>140</v>
      </c>
      <c r="J45" s="26" t="s">
        <v>141</v>
      </c>
      <c r="K45" s="72"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4"/>
      <c r="D49" s="74"/>
      <c r="E49" s="74"/>
      <c r="F49" s="74"/>
      <c r="G49" s="74"/>
      <c r="H49" s="74"/>
      <c r="I49" s="74"/>
      <c r="J49" s="74"/>
      <c r="K49" s="75">
        <f>K47+K43+K39+K28</f>
        <v>14528.9465</v>
      </c>
    </row>
    <row r="50" spans="2:11">
      <c r="B50" s="44" t="s">
        <v>144</v>
      </c>
      <c r="C50" s="74"/>
      <c r="D50" s="74"/>
      <c r="E50" s="74"/>
      <c r="F50" s="74"/>
      <c r="G50" s="74"/>
      <c r="H50" s="74"/>
      <c r="I50" s="74"/>
      <c r="J50" s="76">
        <f ca="1">Dados!$C$17</f>
        <v>0.44600000000000001</v>
      </c>
      <c r="K50" s="75">
        <f ca="1">K49*J50</f>
        <v>6479.9101390000005</v>
      </c>
    </row>
    <row r="51" spans="2:11">
      <c r="B51" s="64" t="s">
        <v>145</v>
      </c>
      <c r="C51" s="45"/>
      <c r="D51" s="45"/>
      <c r="E51" s="45"/>
      <c r="F51" s="45"/>
      <c r="G51" s="45"/>
      <c r="H51" s="45"/>
      <c r="I51" s="45"/>
      <c r="J51" s="45"/>
      <c r="K51" s="48">
        <f ca="1">ROUND(K50+K49,2)</f>
        <v>21008.86</v>
      </c>
    </row>
    <row r="52" spans="2:11" ht="7.5" customHeight="1"/>
    <row r="53" spans="2:11" ht="4.5" customHeight="1"/>
  </sheetData>
  <mergeCells count="10">
    <mergeCell ref="E44:G44"/>
    <mergeCell ref="H44:J44"/>
    <mergeCell ref="C13:E13"/>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8CC851-48BA-4741-8B72-1C37C27D5D43}">
          <x14:formula1>
            <xm:f>Categorias!$A$4:$A$101</xm:f>
          </x14:formula1>
          <xm:sqref>C18:E20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837DD-7EBC-47CE-8392-878CFCF17261}">
  <sheetPr>
    <tabColor rgb="FF008080"/>
    <pageSetUpPr fitToPage="1"/>
  </sheetPr>
  <dimension ref="A2:P26"/>
  <sheetViews>
    <sheetView showGridLines="0" zoomScale="90" zoomScaleNormal="90" workbookViewId="0">
      <selection activeCell="O9" sqref="O9"/>
    </sheetView>
  </sheetViews>
  <sheetFormatPr defaultRowHeight="15"/>
  <cols>
    <col min="1" max="1" width="5.140625" style="523" bestFit="1" customWidth="1"/>
    <col min="2" max="3" width="7.85546875" style="121" customWidth="1"/>
    <col min="4" max="4" width="47.7109375" style="121" customWidth="1"/>
    <col min="5" max="5" width="10.42578125" style="121" customWidth="1"/>
    <col min="6" max="6" width="22.7109375" style="121" customWidth="1"/>
    <col min="7" max="7" width="5.85546875" style="121" customWidth="1"/>
    <col min="8" max="8" width="9.140625" style="121" customWidth="1"/>
    <col min="9" max="9" width="6.7109375" style="121" customWidth="1"/>
    <col min="10" max="10" width="9.5703125" style="121" customWidth="1"/>
    <col min="11" max="14" width="12" style="121" customWidth="1"/>
    <col min="15" max="15" width="12.85546875" style="121" customWidth="1"/>
    <col min="16" max="16" width="9.140625" style="523"/>
    <col min="17" max="16384" width="9.140625" style="121"/>
  </cols>
  <sheetData>
    <row r="2" spans="1:16" ht="30.75" customHeight="1">
      <c r="B2" s="238" t="s">
        <v>560</v>
      </c>
      <c r="C2" s="407"/>
      <c r="D2" s="239"/>
      <c r="E2" s="239"/>
      <c r="F2" s="239"/>
      <c r="G2" s="223"/>
      <c r="H2" s="223"/>
      <c r="I2" s="223"/>
      <c r="J2" s="223"/>
      <c r="K2" s="223"/>
      <c r="L2" s="223"/>
      <c r="M2" s="223"/>
      <c r="N2" s="223"/>
      <c r="O2" s="224"/>
    </row>
    <row r="3" spans="1:16" ht="27.75" customHeight="1">
      <c r="B3" s="741" t="str">
        <f>'Diárias e Passagens'!B3</f>
        <v>Contratação de serviços técnicos e especializados para a elaboração de Estudo de Viabilidade Técnica, Econômica e Ambiental (EVTEA) para transporte de passageiros da Ferrovia Centro Atlântica (FCA) / Ferrovia Rumo Malha Sul (RMS).</v>
      </c>
      <c r="C3" s="742"/>
      <c r="D3" s="742"/>
      <c r="E3" s="742"/>
      <c r="F3" s="742"/>
      <c r="G3" s="742"/>
      <c r="H3" s="742"/>
      <c r="I3" s="742"/>
      <c r="J3" s="742"/>
      <c r="K3" s="742"/>
      <c r="L3" s="742"/>
      <c r="M3" s="82"/>
      <c r="N3" s="82"/>
      <c r="O3" s="273"/>
    </row>
    <row r="4" spans="1:16">
      <c r="B4" s="272" t="str">
        <f>'Diárias e Passagens'!B4</f>
        <v>Área de Atuação: Distrito Federal, Goiás, Rio Grande do Sul, Paraná. - 259 km</v>
      </c>
      <c r="C4" s="408"/>
      <c r="D4" s="235"/>
      <c r="E4" s="235"/>
      <c r="F4" s="235"/>
      <c r="G4" s="274"/>
      <c r="H4" s="274"/>
      <c r="I4" s="274"/>
      <c r="J4" s="274"/>
      <c r="K4" s="274"/>
      <c r="L4" s="274"/>
      <c r="M4" s="274"/>
      <c r="N4" s="274"/>
      <c r="O4" s="275"/>
    </row>
    <row r="5" spans="1:16">
      <c r="B5" s="276" t="str">
        <f>'Diárias e Passagens'!B5</f>
        <v>Data Base: out/23</v>
      </c>
      <c r="C5" s="278"/>
      <c r="D5" s="226"/>
      <c r="E5" s="226"/>
      <c r="F5" s="226"/>
      <c r="G5" s="277"/>
      <c r="H5" s="277"/>
      <c r="I5" s="278"/>
      <c r="J5" s="278"/>
      <c r="K5" s="279"/>
      <c r="L5" s="279"/>
      <c r="M5" s="279"/>
      <c r="N5" s="279"/>
      <c r="O5" s="280"/>
    </row>
    <row r="6" spans="1:16">
      <c r="B6" s="271"/>
      <c r="C6" s="271"/>
    </row>
    <row r="7" spans="1:16" ht="15" customHeight="1">
      <c r="B7" s="744" t="s">
        <v>146</v>
      </c>
      <c r="C7" s="744" t="s">
        <v>596</v>
      </c>
      <c r="D7" s="744" t="s">
        <v>591</v>
      </c>
      <c r="E7" s="744" t="s">
        <v>727</v>
      </c>
      <c r="F7" s="744" t="s">
        <v>562</v>
      </c>
      <c r="G7" s="743" t="s">
        <v>558</v>
      </c>
      <c r="H7" s="743" t="s">
        <v>728</v>
      </c>
      <c r="I7" s="743" t="s">
        <v>650</v>
      </c>
      <c r="J7" s="743" t="s">
        <v>606</v>
      </c>
      <c r="K7" s="743" t="s">
        <v>322</v>
      </c>
      <c r="L7" s="743"/>
      <c r="M7" s="743" t="s">
        <v>323</v>
      </c>
      <c r="N7" s="743"/>
      <c r="O7" s="743" t="s">
        <v>559</v>
      </c>
    </row>
    <row r="8" spans="1:16" ht="21" customHeight="1">
      <c r="B8" s="745"/>
      <c r="C8" s="745"/>
      <c r="D8" s="745"/>
      <c r="E8" s="745"/>
      <c r="F8" s="745"/>
      <c r="G8" s="743"/>
      <c r="H8" s="743"/>
      <c r="I8" s="743"/>
      <c r="J8" s="743"/>
      <c r="K8" s="109" t="s">
        <v>324</v>
      </c>
      <c r="L8" s="109" t="s">
        <v>325</v>
      </c>
      <c r="M8" s="109" t="s">
        <v>297</v>
      </c>
      <c r="N8" s="109" t="s">
        <v>268</v>
      </c>
      <c r="O8" s="743"/>
    </row>
    <row r="9" spans="1:16" ht="42" customHeight="1">
      <c r="A9" s="523" t="s">
        <v>721</v>
      </c>
      <c r="B9" s="270" t="s">
        <v>272</v>
      </c>
      <c r="C9" s="111" t="s">
        <v>595</v>
      </c>
      <c r="D9" s="388" t="str">
        <f>VLOOKUP(B9,'TC-CustosGerais'!$C$6:$G$8,2,FALSE)</f>
        <v>Veículo tipo van furgão com capacidade de 1,38 t - 100 kW (com motorista)</v>
      </c>
      <c r="E9" s="737">
        <v>1</v>
      </c>
      <c r="F9" s="433" t="str">
        <f>'2.1.1.EMD.Campo'!B8</f>
        <v>Dimensão de Mercado e Demanda (EMD) - Pesquisa de Campo</v>
      </c>
      <c r="G9" s="111">
        <f>ROUND(SUM('2.1.1.EMD.Campo'!G18:G25)/15,0)</f>
        <v>2</v>
      </c>
      <c r="H9" s="267">
        <f>Dados!$G$14*5</f>
        <v>30</v>
      </c>
      <c r="I9" s="268">
        <v>0.5</v>
      </c>
      <c r="J9" s="111">
        <v>7.3330000000000002</v>
      </c>
      <c r="K9" s="111">
        <f>J9*H9*I9</f>
        <v>109.995</v>
      </c>
      <c r="L9" s="269">
        <f>J9*H9-K9</f>
        <v>109.995</v>
      </c>
      <c r="M9" s="111">
        <f>VLOOKUP($B9,'TC-CustosGerais'!$C$6:$G$8,4,FALSE)</f>
        <v>82.42</v>
      </c>
      <c r="N9" s="111">
        <f>VLOOKUP($B9,'TC-CustosGerais'!$C$6:$G$8,5,FALSE)</f>
        <v>44.83</v>
      </c>
      <c r="O9" s="266">
        <f>ROUND(G9*(M9*K9+L9*N9),4)</f>
        <v>27993.727500000001</v>
      </c>
      <c r="P9" s="523" t="str">
        <f>LEFT(A9,1)</f>
        <v>2</v>
      </c>
    </row>
    <row r="10" spans="1:16" ht="42" customHeight="1">
      <c r="A10" s="523" t="s">
        <v>724</v>
      </c>
      <c r="B10" s="270" t="s">
        <v>271</v>
      </c>
      <c r="C10" s="111" t="s">
        <v>595</v>
      </c>
      <c r="D10" s="388" t="str">
        <f>VLOOKUP(B10,'TC-CustosGerais'!$C$6:$G$8,2,FALSE)</f>
        <v>Veículo leve picape 4 x 4 com capacidade de 1,10 t - 147 kW (sem motorista)</v>
      </c>
      <c r="E10" s="738"/>
      <c r="F10" s="433" t="str">
        <f>'2.3.EOP'!B8</f>
        <v>Dimensão Operacional (EOP)</v>
      </c>
      <c r="G10" s="444">
        <v>1</v>
      </c>
      <c r="H10" s="267">
        <f>1*6</f>
        <v>6</v>
      </c>
      <c r="I10" s="268">
        <v>0.8</v>
      </c>
      <c r="J10" s="111">
        <v>7.3330000000000002</v>
      </c>
      <c r="K10" s="111">
        <f>J10*H10*I10</f>
        <v>35.198400000000007</v>
      </c>
      <c r="L10" s="269">
        <f>J10*H10-K10</f>
        <v>8.7995999999999981</v>
      </c>
      <c r="M10" s="111">
        <f>VLOOKUP($B10,'TC-CustosGerais'!$C$6:$G$8,4,FALSE)</f>
        <v>83.2</v>
      </c>
      <c r="N10" s="111">
        <f>VLOOKUP($B10,'TC-CustosGerais'!$C$6:$G$8,5,FALSE)</f>
        <v>27.67</v>
      </c>
      <c r="O10" s="266">
        <f>ROUND(G10*(M10*K10+L10*N10),4)</f>
        <v>3171.9917999999998</v>
      </c>
      <c r="P10" s="523" t="str">
        <f>LEFT(A10,1)</f>
        <v>2</v>
      </c>
    </row>
    <row r="11" spans="1:16" ht="42" customHeight="1">
      <c r="A11" s="523" t="s">
        <v>750</v>
      </c>
      <c r="B11" s="270" t="s">
        <v>269</v>
      </c>
      <c r="C11" s="111" t="s">
        <v>595</v>
      </c>
      <c r="D11" s="388" t="str">
        <f>VLOOKUP(B11,'TC-CustosGerais'!$C$6:$G$8,2,FALSE)</f>
        <v>Veículo leve - 53 kW (sem motorista)</v>
      </c>
      <c r="E11" s="739"/>
      <c r="F11" s="433" t="str">
        <f>'2.6.AP'!B8</f>
        <v>Apoio e revisão pós Audiência Pública</v>
      </c>
      <c r="G11" s="444">
        <v>1</v>
      </c>
      <c r="H11" s="267">
        <v>2</v>
      </c>
      <c r="I11" s="268">
        <v>0.8</v>
      </c>
      <c r="J11" s="111">
        <v>7.3330000000000002</v>
      </c>
      <c r="K11" s="111">
        <f t="shared" ref="K11" si="0">J11*H11*I11</f>
        <v>11.732800000000001</v>
      </c>
      <c r="L11" s="269">
        <f t="shared" ref="L11" si="1">J11*H11-K11</f>
        <v>2.9331999999999994</v>
      </c>
      <c r="M11" s="111">
        <f>VLOOKUP($B11,'TC-CustosGerais'!$C$6:$G$8,4,FALSE)</f>
        <v>34.43</v>
      </c>
      <c r="N11" s="111">
        <f>VLOOKUP($B11,'TC-CustosGerais'!$C$6:$G$8,5,FALSE)</f>
        <v>6.52</v>
      </c>
      <c r="O11" s="266">
        <f t="shared" ref="O11" si="2">ROUND(G11*(M11*K11+L11*N11),4)</f>
        <v>423.08479999999997</v>
      </c>
      <c r="P11" s="523" t="str">
        <f>LEFT(A11,1)</f>
        <v>2</v>
      </c>
    </row>
    <row r="12" spans="1:16" ht="42" customHeight="1">
      <c r="A12" s="523" t="s">
        <v>754</v>
      </c>
      <c r="B12" s="270" t="s">
        <v>272</v>
      </c>
      <c r="C12" s="111" t="s">
        <v>595</v>
      </c>
      <c r="D12" s="388" t="str">
        <f>VLOOKUP(B12,'TC-CustosGerais'!$C$6:$G$8,2,FALSE)</f>
        <v>Veículo tipo van furgão com capacidade de 1,38 t - 100 kW (com motorista)</v>
      </c>
      <c r="E12" s="737">
        <v>2</v>
      </c>
      <c r="F12" s="433" t="str">
        <f>'3.1.1.EMD.Campo'!B8</f>
        <v>Dimensão de Mercado e Demanda (EMD) - Pesquisa de Campo</v>
      </c>
      <c r="G12" s="111">
        <f>ROUND(SUM('3.1.1.EMD.Campo'!G18:G25)/15,0)</f>
        <v>2</v>
      </c>
      <c r="H12" s="267">
        <f>Dados!$G$14*5</f>
        <v>30</v>
      </c>
      <c r="I12" s="268">
        <v>0.5</v>
      </c>
      <c r="J12" s="111">
        <v>7.3330000000000002</v>
      </c>
      <c r="K12" s="111">
        <f>J12*H12*I12</f>
        <v>109.995</v>
      </c>
      <c r="L12" s="269">
        <f>J12*H12-K12</f>
        <v>109.995</v>
      </c>
      <c r="M12" s="111">
        <f>VLOOKUP($B12,'TC-CustosGerais'!$C$6:$G$8,4,FALSE)</f>
        <v>82.42</v>
      </c>
      <c r="N12" s="111">
        <f>VLOOKUP($B12,'TC-CustosGerais'!$C$6:$G$8,5,FALSE)</f>
        <v>44.83</v>
      </c>
      <c r="O12" s="266">
        <f>ROUND(G12*(M12*K12+L12*N12),4)</f>
        <v>27993.727500000001</v>
      </c>
      <c r="P12" s="523" t="str">
        <f t="shared" ref="P12:P17" si="3">LEFT(A12,1)</f>
        <v>3</v>
      </c>
    </row>
    <row r="13" spans="1:16" ht="42" customHeight="1">
      <c r="A13" s="523" t="s">
        <v>769</v>
      </c>
      <c r="B13" s="270" t="s">
        <v>271</v>
      </c>
      <c r="C13" s="111" t="s">
        <v>595</v>
      </c>
      <c r="D13" s="388" t="str">
        <f>VLOOKUP(B13,'TC-CustosGerais'!$C$6:$G$8,2,FALSE)</f>
        <v>Veículo leve picape 4 x 4 com capacidade de 1,10 t - 147 kW (sem motorista)</v>
      </c>
      <c r="E13" s="738"/>
      <c r="F13" s="433" t="str">
        <f>'3.3.EOP'!B8</f>
        <v>Dimensão Operacional (EOP)</v>
      </c>
      <c r="G13" s="444">
        <v>1</v>
      </c>
      <c r="H13" s="267">
        <f>1*6</f>
        <v>6</v>
      </c>
      <c r="I13" s="268">
        <v>0.8</v>
      </c>
      <c r="J13" s="111">
        <v>7.3330000000000002</v>
      </c>
      <c r="K13" s="111">
        <f>J13*H13*I13</f>
        <v>35.198400000000007</v>
      </c>
      <c r="L13" s="269">
        <f>J13*H13-K13</f>
        <v>8.7995999999999981</v>
      </c>
      <c r="M13" s="111">
        <f>VLOOKUP($B13,'TC-CustosGerais'!$C$6:$G$8,4,FALSE)</f>
        <v>83.2</v>
      </c>
      <c r="N13" s="111">
        <f>VLOOKUP($B13,'TC-CustosGerais'!$C$6:$G$8,5,FALSE)</f>
        <v>27.67</v>
      </c>
      <c r="O13" s="266">
        <f>ROUND(G13*(M13*K13+L13*N13),4)</f>
        <v>3171.9917999999998</v>
      </c>
      <c r="P13" s="523" t="str">
        <f>LEFT(A13,1)</f>
        <v>3</v>
      </c>
    </row>
    <row r="14" spans="1:16" ht="42" customHeight="1">
      <c r="A14" s="523" t="s">
        <v>758</v>
      </c>
      <c r="B14" s="270" t="s">
        <v>269</v>
      </c>
      <c r="C14" s="111" t="s">
        <v>595</v>
      </c>
      <c r="D14" s="388" t="str">
        <f>VLOOKUP(B14,'TC-CustosGerais'!$C$6:$G$8,2,FALSE)</f>
        <v>Veículo leve - 53 kW (sem motorista)</v>
      </c>
      <c r="E14" s="739"/>
      <c r="F14" s="433" t="str">
        <f>'3.6.AP'!B8</f>
        <v>Apoio e revisão pós Audiência Pública</v>
      </c>
      <c r="G14" s="444">
        <v>1</v>
      </c>
      <c r="H14" s="267">
        <v>3</v>
      </c>
      <c r="I14" s="268">
        <v>0.8</v>
      </c>
      <c r="J14" s="111">
        <v>7.3330000000000002</v>
      </c>
      <c r="K14" s="111">
        <f t="shared" ref="K14" si="4">J14*H14*I14</f>
        <v>17.599200000000003</v>
      </c>
      <c r="L14" s="269">
        <f t="shared" ref="L14" si="5">J14*H14-K14</f>
        <v>4.399799999999999</v>
      </c>
      <c r="M14" s="111">
        <f>VLOOKUP($B14,'TC-CustosGerais'!$C$6:$G$8,4,FALSE)</f>
        <v>34.43</v>
      </c>
      <c r="N14" s="111">
        <f>VLOOKUP($B14,'TC-CustosGerais'!$C$6:$G$8,5,FALSE)</f>
        <v>6.52</v>
      </c>
      <c r="O14" s="266">
        <f t="shared" ref="O14" si="6">ROUND(G14*(M14*K14+L14*N14),4)</f>
        <v>634.62720000000002</v>
      </c>
      <c r="P14" s="523" t="str">
        <f>LEFT(A14,1)</f>
        <v>3</v>
      </c>
    </row>
    <row r="15" spans="1:16" ht="42" customHeight="1">
      <c r="A15" s="523" t="s">
        <v>729</v>
      </c>
      <c r="B15" s="270" t="s">
        <v>272</v>
      </c>
      <c r="C15" s="111" t="s">
        <v>595</v>
      </c>
      <c r="D15" s="388" t="str">
        <f>VLOOKUP(B15,'TC-CustosGerais'!$C$6:$G$8,2,FALSE)</f>
        <v>Veículo tipo van furgão com capacidade de 1,38 t - 100 kW (com motorista)</v>
      </c>
      <c r="E15" s="737">
        <v>3</v>
      </c>
      <c r="F15" s="433" t="str">
        <f>'4.1.1.EMD.Campo'!B8</f>
        <v>Dimensão de Mercado e Demanda (EMD) - Pesquisa de Campo</v>
      </c>
      <c r="G15" s="111">
        <f>ROUND(SUM('4.1.1.EMD.Campo'!G18:G25)/15,0)</f>
        <v>2</v>
      </c>
      <c r="H15" s="267">
        <f>Dados!$G$14*5</f>
        <v>30</v>
      </c>
      <c r="I15" s="268">
        <v>0.5</v>
      </c>
      <c r="J15" s="111">
        <v>7.3330000000000002</v>
      </c>
      <c r="K15" s="111">
        <f>J15*H15*I15</f>
        <v>109.995</v>
      </c>
      <c r="L15" s="269">
        <f>J15*H15-K15</f>
        <v>109.995</v>
      </c>
      <c r="M15" s="111">
        <f>VLOOKUP($B15,'TC-CustosGerais'!$C$6:$G$8,4,FALSE)</f>
        <v>82.42</v>
      </c>
      <c r="N15" s="111">
        <f>VLOOKUP($B15,'TC-CustosGerais'!$C$6:$G$8,5,FALSE)</f>
        <v>44.83</v>
      </c>
      <c r="O15" s="266">
        <f>ROUND(G15*(M15*K15+L15*N15),4)</f>
        <v>27993.727500000001</v>
      </c>
      <c r="P15" s="523" t="str">
        <f t="shared" si="3"/>
        <v>4</v>
      </c>
    </row>
    <row r="16" spans="1:16" ht="42" customHeight="1">
      <c r="A16" s="523" t="s">
        <v>730</v>
      </c>
      <c r="B16" s="270" t="s">
        <v>271</v>
      </c>
      <c r="C16" s="111" t="s">
        <v>595</v>
      </c>
      <c r="D16" s="388" t="str">
        <f>VLOOKUP(B16,'TC-CustosGerais'!$C$6:$G$8,2,FALSE)</f>
        <v>Veículo leve picape 4 x 4 com capacidade de 1,10 t - 147 kW (sem motorista)</v>
      </c>
      <c r="E16" s="738"/>
      <c r="F16" s="433" t="str">
        <f>'4.3.EOP'!B8</f>
        <v>Dimensão Operacional (EOP)</v>
      </c>
      <c r="G16" s="444">
        <v>1</v>
      </c>
      <c r="H16" s="267">
        <f>1*6</f>
        <v>6</v>
      </c>
      <c r="I16" s="268">
        <v>0.8</v>
      </c>
      <c r="J16" s="111">
        <v>7.3330000000000002</v>
      </c>
      <c r="K16" s="111">
        <f t="shared" ref="K16" si="7">J16*H16*I16</f>
        <v>35.198400000000007</v>
      </c>
      <c r="L16" s="269">
        <f t="shared" ref="L16" si="8">J16*H16-K16</f>
        <v>8.7995999999999981</v>
      </c>
      <c r="M16" s="111">
        <f>VLOOKUP($B16,'TC-CustosGerais'!$C$6:$G$8,4,FALSE)</f>
        <v>83.2</v>
      </c>
      <c r="N16" s="111">
        <f>VLOOKUP($B16,'TC-CustosGerais'!$C$6:$G$8,5,FALSE)</f>
        <v>27.67</v>
      </c>
      <c r="O16" s="266">
        <f t="shared" ref="O16" si="9">ROUND(G16*(M16*K16+L16*N16),4)</f>
        <v>3171.9917999999998</v>
      </c>
      <c r="P16" s="523" t="str">
        <f t="shared" ref="P16" si="10">LEFT(A16,1)</f>
        <v>4</v>
      </c>
    </row>
    <row r="17" spans="1:16" ht="42" customHeight="1">
      <c r="A17" s="523" t="s">
        <v>765</v>
      </c>
      <c r="B17" s="270" t="s">
        <v>269</v>
      </c>
      <c r="C17" s="111" t="s">
        <v>595</v>
      </c>
      <c r="D17" s="388" t="str">
        <f>VLOOKUP(B17,'TC-CustosGerais'!$C$6:$G$8,2,FALSE)</f>
        <v>Veículo leve - 53 kW (sem motorista)</v>
      </c>
      <c r="E17" s="739"/>
      <c r="F17" s="433" t="str">
        <f>'4.6.AP'!B8</f>
        <v>Apoio e revisão pós Audiência Pública</v>
      </c>
      <c r="G17" s="444">
        <v>1</v>
      </c>
      <c r="H17" s="267">
        <v>3</v>
      </c>
      <c r="I17" s="268">
        <v>0.8</v>
      </c>
      <c r="J17" s="111">
        <v>7.3330000000000002</v>
      </c>
      <c r="K17" s="111">
        <f t="shared" ref="K17" si="11">J17*H17*I17</f>
        <v>17.599200000000003</v>
      </c>
      <c r="L17" s="269">
        <f t="shared" ref="L17" si="12">J17*H17-K17</f>
        <v>4.399799999999999</v>
      </c>
      <c r="M17" s="111">
        <f>VLOOKUP($B17,'TC-CustosGerais'!$C$6:$G$8,4,FALSE)</f>
        <v>34.43</v>
      </c>
      <c r="N17" s="111">
        <f>VLOOKUP($B17,'TC-CustosGerais'!$C$6:$G$8,5,FALSE)</f>
        <v>6.52</v>
      </c>
      <c r="O17" s="266">
        <f t="shared" ref="O17" si="13">ROUND(G17*(M17*K17+L17*N17),4)</f>
        <v>634.62720000000002</v>
      </c>
      <c r="P17" s="523" t="str">
        <f t="shared" si="3"/>
        <v>4</v>
      </c>
    </row>
    <row r="18" spans="1:16" ht="21.75" customHeight="1">
      <c r="B18" s="284" t="s">
        <v>569</v>
      </c>
      <c r="C18" s="409"/>
      <c r="D18" s="283"/>
      <c r="E18" s="283"/>
      <c r="F18" s="283"/>
      <c r="G18" s="283"/>
      <c r="H18" s="285"/>
      <c r="I18" s="286"/>
      <c r="J18" s="283"/>
      <c r="K18" s="283"/>
      <c r="L18" s="287"/>
      <c r="M18" s="283"/>
      <c r="N18" s="283"/>
      <c r="O18" s="289">
        <f>SUM(O9:O17)</f>
        <v>95189.497100000008</v>
      </c>
    </row>
    <row r="19" spans="1:16" ht="21.75" customHeight="1">
      <c r="B19" s="49" t="s">
        <v>144</v>
      </c>
      <c r="C19" s="83"/>
      <c r="D19" s="83"/>
      <c r="E19" s="83"/>
      <c r="F19" s="83"/>
      <c r="G19" s="83"/>
      <c r="H19" s="83"/>
      <c r="I19" s="83"/>
      <c r="J19" s="83"/>
      <c r="K19" s="83"/>
      <c r="L19" s="288"/>
      <c r="M19" s="288"/>
      <c r="N19" s="282">
        <f ca="1">Dados!$C$17</f>
        <v>0.44600000000000001</v>
      </c>
      <c r="O19" s="290">
        <f ca="1">O18*N19</f>
        <v>42454.515706600003</v>
      </c>
    </row>
    <row r="20" spans="1:16" ht="19.5" customHeight="1">
      <c r="B20" s="291" t="s">
        <v>145</v>
      </c>
      <c r="C20" s="292"/>
      <c r="D20" s="292"/>
      <c r="E20" s="292"/>
      <c r="F20" s="292"/>
      <c r="G20" s="292"/>
      <c r="H20" s="292"/>
      <c r="I20" s="292"/>
      <c r="J20" s="292"/>
      <c r="K20" s="292"/>
      <c r="L20" s="292"/>
      <c r="M20" s="293"/>
      <c r="N20" s="293"/>
      <c r="O20" s="294">
        <f ca="1">ROUND(O19+O18,2)</f>
        <v>137644.01</v>
      </c>
    </row>
    <row r="21" spans="1:16" ht="5.25" customHeight="1"/>
    <row r="22" spans="1:16" ht="12.75" customHeight="1">
      <c r="B22" s="432"/>
      <c r="O22" s="375"/>
    </row>
    <row r="23" spans="1:16" ht="12.75" customHeight="1">
      <c r="B23" s="432" t="s">
        <v>469</v>
      </c>
      <c r="O23" s="375"/>
    </row>
    <row r="24" spans="1:16" ht="33" customHeight="1">
      <c r="B24" s="740" t="str">
        <f>"1) Adotou-se 50% de utilização do veículo "&amp;B9&amp;" - "&amp;D9&amp;", escolhida para transporte da equipe de pesquisa nos diversos domicílios, objeto da pesquisa. Considerando o tempo de espera das entrevistas, espera-se que a van fique com utilização improdutiva por um tempo considerável."</f>
        <v>1) Adotou-se 50% de utilização do veículo E8887 - Veículo tipo van furgão com capacidade de 1,38 t - 100 kW (com motorista), escolhida para transporte da equipe de pesquisa nos diversos domicílios, objeto da pesquisa. Considerando o tempo de espera das entrevistas, espera-se que a van fique com utilização improdutiva por um tempo considerável.</v>
      </c>
      <c r="C24" s="740"/>
      <c r="D24" s="740"/>
      <c r="E24" s="740"/>
      <c r="F24" s="740"/>
      <c r="G24" s="740"/>
      <c r="H24" s="740"/>
      <c r="I24" s="740"/>
      <c r="J24" s="740"/>
      <c r="K24" s="740"/>
      <c r="L24" s="740"/>
      <c r="M24" s="740"/>
      <c r="N24" s="740"/>
      <c r="O24" s="740"/>
    </row>
    <row r="25" spans="1:16" ht="32.25" customHeight="1">
      <c r="B25" s="740" t="str">
        <f>"2) Para os veículos utilizados na inspeção da "&amp;F16&amp;", adotou-se como premissa a utilização em 80% do veículo "&amp;B16&amp;" - "&amp;D16&amp;", haja vista a "&amp;Dados!E15</f>
        <v>2) Para os veículos utilizados na inspeção da Dimensão Operacional (EOP), adotou-se como premissa a utilização em 80% do veículo E8891 - Veículo leve picape 4 x 4 com capacidade de 1,10 t - 147 kW (sem motorista), haja vista a previsão de inspeção pontual em campo, para verificação de adequações ao transporte de passageiros, com cerca de 4,32 km por dia.</v>
      </c>
      <c r="C25" s="740"/>
      <c r="D25" s="740"/>
      <c r="E25" s="740"/>
      <c r="F25" s="740"/>
      <c r="G25" s="740"/>
      <c r="H25" s="740"/>
      <c r="I25" s="740"/>
      <c r="J25" s="740"/>
      <c r="K25" s="740"/>
      <c r="L25" s="740"/>
      <c r="M25" s="740"/>
      <c r="N25" s="740"/>
      <c r="O25" s="740"/>
    </row>
    <row r="26" spans="1:16" ht="36" customHeight="1">
      <c r="B26" s="740" t="str">
        <f>"3) Para os veículos utilizados na Audiência Pública, adotou-se como premissa a utilização em 80% do veículo "&amp;B17&amp;" - "&amp;D17&amp;", para os profissionais no período necessário para cada segmento."</f>
        <v>3) Para os veículos utilizados na Audiência Pública, adotou-se como premissa a utilização em 80% do veículo E8889 - Veículo leve - 53 kW (sem motorista), para os profissionais no período necessário para cada segmento.</v>
      </c>
      <c r="C26" s="740"/>
      <c r="D26" s="740"/>
      <c r="E26" s="740"/>
      <c r="F26" s="740"/>
      <c r="G26" s="740"/>
      <c r="H26" s="740"/>
      <c r="I26" s="740"/>
      <c r="J26" s="740"/>
      <c r="K26" s="740"/>
      <c r="L26" s="740"/>
      <c r="M26" s="740"/>
      <c r="N26" s="740"/>
      <c r="O26" s="740"/>
    </row>
  </sheetData>
  <mergeCells count="19">
    <mergeCell ref="B3:L3"/>
    <mergeCell ref="O7:O8"/>
    <mergeCell ref="I7:I8"/>
    <mergeCell ref="B7:B8"/>
    <mergeCell ref="F7:F8"/>
    <mergeCell ref="D7:D8"/>
    <mergeCell ref="G7:G8"/>
    <mergeCell ref="H7:H8"/>
    <mergeCell ref="J7:J8"/>
    <mergeCell ref="K7:L7"/>
    <mergeCell ref="M7:N7"/>
    <mergeCell ref="C7:C8"/>
    <mergeCell ref="E7:E8"/>
    <mergeCell ref="E9:E11"/>
    <mergeCell ref="E12:E14"/>
    <mergeCell ref="E15:E17"/>
    <mergeCell ref="B26:O26"/>
    <mergeCell ref="B24:O24"/>
    <mergeCell ref="B25:O25"/>
  </mergeCells>
  <phoneticPr fontId="19" type="noConversion"/>
  <printOptions horizontalCentered="1"/>
  <pageMargins left="0.51181102362204722" right="0.51181102362204722" top="0.78740157480314965" bottom="0.78740157480314965" header="0.31496062992125984" footer="0.31496062992125984"/>
  <pageSetup paperSize="9" scale="7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E6844B4-5866-4145-B0B0-2A0BEE6B461F}">
          <x14:formula1>
            <xm:f>'TC-CustosGerais'!$C$6:$C$8</xm:f>
          </x14:formula1>
          <xm:sqref>B9:B16 B17</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5778-11CC-43F6-B601-7679744E6D36}">
  <sheetPr>
    <tabColor rgb="FF008080"/>
  </sheetPr>
  <dimension ref="A2:S80"/>
  <sheetViews>
    <sheetView showGridLines="0" zoomScaleNormal="100" workbookViewId="0">
      <selection activeCell="O9" sqref="O9"/>
    </sheetView>
  </sheetViews>
  <sheetFormatPr defaultRowHeight="12.75"/>
  <cols>
    <col min="1" max="1" width="5.7109375" style="523" customWidth="1"/>
    <col min="2" max="2" width="13.140625" style="234" customWidth="1"/>
    <col min="3" max="3" width="8.140625" style="234" customWidth="1"/>
    <col min="4" max="4" width="20" style="234" customWidth="1"/>
    <col min="5" max="5" width="10.140625" style="234" customWidth="1"/>
    <col min="6" max="6" width="30.140625" style="235" customWidth="1"/>
    <col min="7" max="7" width="8.140625" style="235" customWidth="1"/>
    <col min="8" max="9" width="14.85546875" style="235" customWidth="1"/>
    <col min="10" max="10" width="10.5703125" style="234" customWidth="1"/>
    <col min="11" max="11" width="9.28515625" style="234" customWidth="1"/>
    <col min="12" max="12" width="10.140625" style="234" customWidth="1"/>
    <col min="13" max="13" width="11.7109375" style="234" customWidth="1"/>
    <col min="14" max="14" width="9.28515625" style="236" customWidth="1"/>
    <col min="15" max="15" width="10.140625" style="237" customWidth="1"/>
    <col min="16" max="16" width="11.7109375" style="237" customWidth="1"/>
    <col min="17" max="17" width="13.140625" style="237" customWidth="1"/>
    <col min="18" max="18" width="9.140625" style="532"/>
    <col min="19" max="19" width="13.85546875" style="78" bestFit="1" customWidth="1"/>
    <col min="20" max="16384" width="9.140625" style="78"/>
  </cols>
  <sheetData>
    <row r="2" spans="1:19" s="79" customFormat="1" ht="30" customHeight="1">
      <c r="A2" s="521"/>
      <c r="B2" s="238" t="s">
        <v>518</v>
      </c>
      <c r="C2" s="407"/>
      <c r="D2" s="239"/>
      <c r="E2" s="223"/>
      <c r="F2" s="223"/>
      <c r="G2" s="223"/>
      <c r="H2" s="223"/>
      <c r="I2" s="223"/>
      <c r="J2" s="223"/>
      <c r="K2" s="223"/>
      <c r="L2" s="223"/>
      <c r="M2" s="223"/>
      <c r="N2" s="223"/>
      <c r="O2" s="223"/>
      <c r="P2" s="223"/>
      <c r="Q2" s="224"/>
      <c r="R2" s="523"/>
    </row>
    <row r="3" spans="1:19" s="79" customFormat="1" ht="31.5" customHeight="1">
      <c r="A3" s="521"/>
      <c r="B3" s="763" t="str">
        <f>Dados!C6</f>
        <v>Contratação de serviços técnicos e especializados para a elaboração de Estudo de Viabilidade Técnica, Econômica e Ambiental (EVTEA) para transporte de passageiros da Ferrovia Centro Atlântica (FCA) / Ferrovia Rumo Malha Sul (RMS).</v>
      </c>
      <c r="C3" s="764"/>
      <c r="D3" s="764"/>
      <c r="E3" s="764"/>
      <c r="F3" s="764"/>
      <c r="G3" s="764"/>
      <c r="H3" s="764"/>
      <c r="I3" s="764"/>
      <c r="J3" s="764"/>
      <c r="K3" s="764"/>
      <c r="L3" s="764"/>
      <c r="M3" s="764"/>
      <c r="N3" s="82"/>
      <c r="O3" s="82"/>
      <c r="P3" s="82"/>
      <c r="Q3" s="273"/>
      <c r="R3" s="523"/>
    </row>
    <row r="4" spans="1:19" s="79" customFormat="1" ht="17.25" customHeight="1">
      <c r="A4" s="521"/>
      <c r="B4" s="272" t="str">
        <f>"Área de Atuação: "&amp;Dados!C11&amp;" - "&amp;Dados!C10&amp;" km"</f>
        <v>Área de Atuação: Distrito Federal, Goiás, Rio Grande do Sul, Paraná. - 259 km</v>
      </c>
      <c r="C4" s="408"/>
      <c r="D4" s="235"/>
      <c r="E4" s="274"/>
      <c r="F4" s="274"/>
      <c r="G4" s="274"/>
      <c r="H4" s="274"/>
      <c r="I4" s="274"/>
      <c r="J4" s="274"/>
      <c r="K4" s="274"/>
      <c r="L4" s="274"/>
      <c r="M4" s="274"/>
      <c r="N4" s="274"/>
      <c r="O4" s="274"/>
      <c r="P4" s="274"/>
      <c r="Q4" s="275"/>
      <c r="R4" s="523"/>
    </row>
    <row r="5" spans="1:19" s="79" customFormat="1" ht="17.25" customHeight="1">
      <c r="A5" s="521"/>
      <c r="B5" s="281" t="str">
        <f>CONCATENATE(Dados!B16," ",TEXT(Dados!C16,"MMM/AA"))</f>
        <v>Data Base: out/23</v>
      </c>
      <c r="C5" s="514"/>
      <c r="D5" s="226"/>
      <c r="E5" s="277"/>
      <c r="F5" s="277"/>
      <c r="G5" s="277"/>
      <c r="H5" s="278"/>
      <c r="I5" s="278"/>
      <c r="J5" s="279"/>
      <c r="K5" s="279"/>
      <c r="L5" s="279"/>
      <c r="M5" s="279"/>
      <c r="N5" s="277"/>
      <c r="O5" s="277"/>
      <c r="P5" s="277"/>
      <c r="Q5" s="280"/>
      <c r="R5" s="523"/>
    </row>
    <row r="6" spans="1:19" s="79" customFormat="1" ht="5.0999999999999996" customHeight="1">
      <c r="A6" s="521"/>
      <c r="B6" s="765"/>
      <c r="C6" s="765"/>
      <c r="D6" s="765"/>
      <c r="E6" s="225"/>
      <c r="F6" s="226"/>
      <c r="G6" s="226"/>
      <c r="H6" s="226"/>
      <c r="I6" s="226"/>
      <c r="J6" s="227"/>
      <c r="K6" s="227"/>
      <c r="L6" s="227"/>
      <c r="M6" s="227"/>
      <c r="N6" s="228"/>
      <c r="O6" s="229"/>
      <c r="P6" s="229"/>
      <c r="Q6" s="229"/>
      <c r="R6" s="523"/>
    </row>
    <row r="7" spans="1:19" s="79" customFormat="1" ht="15.75" customHeight="1">
      <c r="A7" s="521"/>
      <c r="B7" s="757" t="s">
        <v>494</v>
      </c>
      <c r="C7" s="757" t="s">
        <v>731</v>
      </c>
      <c r="D7" s="757" t="s">
        <v>495</v>
      </c>
      <c r="E7" s="757" t="s">
        <v>496</v>
      </c>
      <c r="F7" s="766" t="s">
        <v>497</v>
      </c>
      <c r="G7" s="757" t="s">
        <v>505</v>
      </c>
      <c r="H7" s="751" t="s">
        <v>501</v>
      </c>
      <c r="I7" s="752"/>
      <c r="J7" s="752"/>
      <c r="K7" s="752"/>
      <c r="L7" s="752"/>
      <c r="M7" s="753"/>
      <c r="N7" s="751" t="s">
        <v>502</v>
      </c>
      <c r="O7" s="752"/>
      <c r="P7" s="753"/>
      <c r="Q7" s="746" t="s">
        <v>503</v>
      </c>
      <c r="R7" s="523"/>
    </row>
    <row r="8" spans="1:19" s="231" customFormat="1" ht="39.950000000000003" customHeight="1">
      <c r="A8" s="522"/>
      <c r="B8" s="758"/>
      <c r="C8" s="758"/>
      <c r="D8" s="758"/>
      <c r="E8" s="758"/>
      <c r="F8" s="767"/>
      <c r="G8" s="759"/>
      <c r="H8" s="757" t="s">
        <v>498</v>
      </c>
      <c r="I8" s="757" t="s">
        <v>499</v>
      </c>
      <c r="J8" s="757" t="s">
        <v>500</v>
      </c>
      <c r="K8" s="635" t="s">
        <v>109</v>
      </c>
      <c r="L8" s="636" t="s">
        <v>504</v>
      </c>
      <c r="M8" s="636" t="s">
        <v>555</v>
      </c>
      <c r="N8" s="635" t="s">
        <v>506</v>
      </c>
      <c r="O8" s="636" t="s">
        <v>504</v>
      </c>
      <c r="P8" s="636" t="s">
        <v>554</v>
      </c>
      <c r="Q8" s="747"/>
      <c r="R8" s="531"/>
      <c r="S8" s="232"/>
    </row>
    <row r="9" spans="1:19" s="231" customFormat="1" ht="20.100000000000001" customHeight="1">
      <c r="A9" s="522"/>
      <c r="B9" s="759"/>
      <c r="C9" s="759"/>
      <c r="D9" s="759"/>
      <c r="E9" s="759"/>
      <c r="F9" s="768"/>
      <c r="G9" s="635" t="s">
        <v>510</v>
      </c>
      <c r="H9" s="759"/>
      <c r="I9" s="759"/>
      <c r="J9" s="759"/>
      <c r="K9" s="635" t="s">
        <v>507</v>
      </c>
      <c r="L9" s="636" t="s">
        <v>508</v>
      </c>
      <c r="M9" s="636" t="s">
        <v>509</v>
      </c>
      <c r="N9" s="636" t="s">
        <v>511</v>
      </c>
      <c r="O9" s="636" t="s">
        <v>512</v>
      </c>
      <c r="P9" s="636" t="s">
        <v>513</v>
      </c>
      <c r="Q9" s="636" t="s">
        <v>514</v>
      </c>
      <c r="R9" s="531"/>
    </row>
    <row r="10" spans="1:19" s="231" customFormat="1" ht="21.95" customHeight="1">
      <c r="A10" s="522">
        <v>1</v>
      </c>
      <c r="B10" s="760" t="str">
        <f>Produtos!D8</f>
        <v>Plano de Trabalho</v>
      </c>
      <c r="C10" s="748" t="s">
        <v>732</v>
      </c>
      <c r="D10" s="616" t="s">
        <v>746</v>
      </c>
      <c r="E10" s="244" t="s">
        <v>200</v>
      </c>
      <c r="F10" s="245" t="str">
        <f>VLOOKUP($E10,'TC 10-2023'!$B:$Z,2,FALSE)</f>
        <v>Engenheiro coordenador</v>
      </c>
      <c r="G10" s="248">
        <f>K10</f>
        <v>1</v>
      </c>
      <c r="H10" s="246" t="s">
        <v>515</v>
      </c>
      <c r="I10" s="246" t="s">
        <v>395</v>
      </c>
      <c r="J10" s="247" t="s">
        <v>516</v>
      </c>
      <c r="K10" s="248">
        <v>1</v>
      </c>
      <c r="L10" s="248">
        <f>VLOOKUP(I10,Voos!$K$9:$L$14,2,FALSE)</f>
        <v>497.33333333333331</v>
      </c>
      <c r="M10" s="249">
        <f>L10*K10*G10</f>
        <v>497.33333333333331</v>
      </c>
      <c r="N10" s="248">
        <v>3.5</v>
      </c>
      <c r="O10" s="248">
        <f>VLOOKUP(I10,Diárias!$B$8:$D$36,2,FALSE)</f>
        <v>600</v>
      </c>
      <c r="P10" s="493">
        <f t="shared" ref="P10:P56" si="0">O10*N10*G10</f>
        <v>2100</v>
      </c>
      <c r="Q10" s="250">
        <f t="shared" ref="Q10:Q56" si="1">ROUND(P10+M10,4)</f>
        <v>2597.3332999999998</v>
      </c>
      <c r="R10" s="531" t="str">
        <f>LEFT(A10,1)</f>
        <v>1</v>
      </c>
    </row>
    <row r="11" spans="1:19" s="231" customFormat="1" ht="21.95" customHeight="1">
      <c r="A11" s="522">
        <f>A10</f>
        <v>1</v>
      </c>
      <c r="B11" s="761"/>
      <c r="C11" s="749"/>
      <c r="D11" s="617" t="s">
        <v>746</v>
      </c>
      <c r="E11" s="554" t="s">
        <v>199</v>
      </c>
      <c r="F11" s="555" t="str">
        <f>VLOOKUP($E11,'TC 10-2023'!$B:$Z,2,FALSE)</f>
        <v>Engenheiro consultor especial</v>
      </c>
      <c r="G11" s="554">
        <f>K11</f>
        <v>1</v>
      </c>
      <c r="H11" s="556" t="s">
        <v>515</v>
      </c>
      <c r="I11" s="556" t="s">
        <v>395</v>
      </c>
      <c r="J11" s="557" t="s">
        <v>516</v>
      </c>
      <c r="K11" s="554">
        <v>1</v>
      </c>
      <c r="L11" s="554">
        <f>VLOOKUP(I11,Voos!$K$9:$L$14,2,FALSE)</f>
        <v>497.33333333333331</v>
      </c>
      <c r="M11" s="558">
        <f t="shared" ref="M11:M56" si="2">L11*K11*G11</f>
        <v>497.33333333333331</v>
      </c>
      <c r="N11" s="554">
        <v>3.5</v>
      </c>
      <c r="O11" s="554">
        <f>VLOOKUP(I11,Diárias!$B$8:$D$36,2,FALSE)</f>
        <v>600</v>
      </c>
      <c r="P11" s="494">
        <f t="shared" si="0"/>
        <v>2100</v>
      </c>
      <c r="Q11" s="251">
        <f t="shared" si="1"/>
        <v>2597.3332999999998</v>
      </c>
      <c r="R11" s="531" t="str">
        <f t="shared" ref="R11:R66" si="3">LEFT(A11,1)</f>
        <v>1</v>
      </c>
    </row>
    <row r="12" spans="1:19" s="231" customFormat="1" ht="21.95" customHeight="1">
      <c r="A12" s="522">
        <f t="shared" ref="A12:A27" si="4">A11</f>
        <v>1</v>
      </c>
      <c r="B12" s="762"/>
      <c r="C12" s="750"/>
      <c r="D12" s="618" t="s">
        <v>746</v>
      </c>
      <c r="E12" s="252" t="s">
        <v>206</v>
      </c>
      <c r="F12" s="253" t="str">
        <f>VLOOKUP($E12,'TC 10-2023'!$B:$Z,2,FALSE)</f>
        <v>Engenheiro de projetos sênior</v>
      </c>
      <c r="G12" s="252">
        <f>K12</f>
        <v>1</v>
      </c>
      <c r="H12" s="254" t="s">
        <v>515</v>
      </c>
      <c r="I12" s="254" t="s">
        <v>395</v>
      </c>
      <c r="J12" s="255" t="s">
        <v>516</v>
      </c>
      <c r="K12" s="252">
        <v>1</v>
      </c>
      <c r="L12" s="252">
        <f>VLOOKUP(I12,Voos!$K$9:$L$14,2,FALSE)</f>
        <v>497.33333333333331</v>
      </c>
      <c r="M12" s="256">
        <f t="shared" si="2"/>
        <v>497.33333333333331</v>
      </c>
      <c r="N12" s="252">
        <v>3.5</v>
      </c>
      <c r="O12" s="252">
        <f>VLOOKUP(I12,Diárias!$B$8:$D$36,2,FALSE)</f>
        <v>600</v>
      </c>
      <c r="P12" s="495">
        <f t="shared" si="0"/>
        <v>2100</v>
      </c>
      <c r="Q12" s="257">
        <f t="shared" si="1"/>
        <v>2597.3332999999998</v>
      </c>
      <c r="R12" s="531" t="str">
        <f t="shared" si="3"/>
        <v>1</v>
      </c>
    </row>
    <row r="13" spans="1:19" s="231" customFormat="1" ht="21.95" customHeight="1">
      <c r="A13" s="522" t="s">
        <v>721</v>
      </c>
      <c r="B13" s="754" t="str">
        <f>Produtos!D9</f>
        <v>Dimensão de Mercado e Demanda (EMD)</v>
      </c>
      <c r="C13" s="748">
        <v>1</v>
      </c>
      <c r="D13" s="258" t="s">
        <v>734</v>
      </c>
      <c r="E13" s="244" t="s">
        <v>200</v>
      </c>
      <c r="F13" s="245" t="str">
        <f>VLOOKUP($E13,'TC 10-2023'!$B:$Z,2,FALSE)</f>
        <v>Engenheiro coordenador</v>
      </c>
      <c r="G13" s="248">
        <v>1</v>
      </c>
      <c r="H13" s="556" t="s">
        <v>515</v>
      </c>
      <c r="I13" s="556" t="s">
        <v>395</v>
      </c>
      <c r="J13" s="557" t="s">
        <v>516</v>
      </c>
      <c r="K13" s="554">
        <f>Dados!$G$14</f>
        <v>6</v>
      </c>
      <c r="L13" s="554">
        <f>VLOOKUP(I13,Voos!$K$9:$L$14,2,FALSE)</f>
        <v>497.33333333333331</v>
      </c>
      <c r="M13" s="558">
        <f t="shared" ref="M13" si="5">L13*K13*G13</f>
        <v>2984</v>
      </c>
      <c r="N13" s="554">
        <f>K13*IF(D13="Reunião de Alinhamento",(2+0.5),IF(D13="Inspeção de Campo",6.5,IF(D13="Pesquisa de Campo",5.5,1.5)))</f>
        <v>33</v>
      </c>
      <c r="O13" s="554">
        <f>VLOOKUP(I13,Diárias!$B$8:$D$36,2,FALSE)</f>
        <v>600</v>
      </c>
      <c r="P13" s="494">
        <f t="shared" ref="P13" si="6">O13*N13*G13</f>
        <v>19800</v>
      </c>
      <c r="Q13" s="251">
        <f t="shared" ref="Q13" si="7">ROUND(P13+M13,4)</f>
        <v>22784</v>
      </c>
      <c r="R13" s="531" t="str">
        <f t="shared" si="3"/>
        <v>2</v>
      </c>
    </row>
    <row r="14" spans="1:19" s="231" customFormat="1" ht="21.95" customHeight="1">
      <c r="A14" s="522" t="s">
        <v>722</v>
      </c>
      <c r="B14" s="755"/>
      <c r="C14" s="749"/>
      <c r="D14" s="553" t="s">
        <v>550</v>
      </c>
      <c r="E14" s="559" t="s">
        <v>200</v>
      </c>
      <c r="F14" s="555" t="str">
        <f>VLOOKUP($E14,'TC 10-2023'!$B:$Z,2,FALSE)</f>
        <v>Engenheiro coordenador</v>
      </c>
      <c r="G14" s="554">
        <v>1</v>
      </c>
      <c r="H14" s="556" t="s">
        <v>515</v>
      </c>
      <c r="I14" s="556" t="s">
        <v>395</v>
      </c>
      <c r="J14" s="557" t="s">
        <v>516</v>
      </c>
      <c r="K14" s="554">
        <v>1</v>
      </c>
      <c r="L14" s="554">
        <f>VLOOKUP(I14,Voos!$K$9:$L$14,2,FALSE)</f>
        <v>497.33333333333331</v>
      </c>
      <c r="M14" s="558">
        <f t="shared" si="2"/>
        <v>497.33333333333331</v>
      </c>
      <c r="N14" s="554">
        <f t="shared" ref="N14:N60" si="8">K14*IF(D14="Reunião de Alinhamento",(2+0.5),IF(D14="Inspeção de Campo",6.5,IF(D14="Pesquisa de Campo",5.5,1.5)))</f>
        <v>2.5</v>
      </c>
      <c r="O14" s="554">
        <f>VLOOKUP(I14,Diárias!$B$8:$D$36,2,FALSE)</f>
        <v>600</v>
      </c>
      <c r="P14" s="494">
        <f t="shared" si="0"/>
        <v>1500</v>
      </c>
      <c r="Q14" s="251">
        <f t="shared" si="1"/>
        <v>1997.3333</v>
      </c>
      <c r="R14" s="531" t="str">
        <f t="shared" si="3"/>
        <v>2</v>
      </c>
    </row>
    <row r="15" spans="1:19" s="231" customFormat="1" ht="21.95" customHeight="1">
      <c r="A15" s="522" t="str">
        <f t="shared" si="4"/>
        <v>2.1.2</v>
      </c>
      <c r="B15" s="755"/>
      <c r="C15" s="750"/>
      <c r="D15" s="259" t="s">
        <v>550</v>
      </c>
      <c r="E15" s="252" t="s">
        <v>199</v>
      </c>
      <c r="F15" s="253" t="str">
        <f>VLOOKUP($E15,'TC 10-2023'!$B:$Z,2,FALSE)</f>
        <v>Engenheiro consultor especial</v>
      </c>
      <c r="G15" s="252">
        <v>1</v>
      </c>
      <c r="H15" s="254" t="s">
        <v>515</v>
      </c>
      <c r="I15" s="254" t="s">
        <v>395</v>
      </c>
      <c r="J15" s="255" t="s">
        <v>516</v>
      </c>
      <c r="K15" s="252">
        <v>1</v>
      </c>
      <c r="L15" s="252">
        <f>VLOOKUP(I15,Voos!$K$9:$L$14,2,FALSE)</f>
        <v>497.33333333333331</v>
      </c>
      <c r="M15" s="256">
        <f t="shared" si="2"/>
        <v>497.33333333333331</v>
      </c>
      <c r="N15" s="252">
        <f t="shared" si="8"/>
        <v>2.5</v>
      </c>
      <c r="O15" s="252">
        <f>VLOOKUP(I15,Diárias!$B$8:$D$36,2,FALSE)</f>
        <v>600</v>
      </c>
      <c r="P15" s="495">
        <f t="shared" si="0"/>
        <v>1500</v>
      </c>
      <c r="Q15" s="257">
        <f t="shared" si="1"/>
        <v>1997.3333</v>
      </c>
      <c r="R15" s="531" t="str">
        <f t="shared" si="3"/>
        <v>2</v>
      </c>
    </row>
    <row r="16" spans="1:19" s="231" customFormat="1" ht="21.95" customHeight="1">
      <c r="A16" s="522" t="s">
        <v>754</v>
      </c>
      <c r="B16" s="755"/>
      <c r="C16" s="748">
        <v>2</v>
      </c>
      <c r="D16" s="258" t="s">
        <v>734</v>
      </c>
      <c r="E16" s="244" t="s">
        <v>200</v>
      </c>
      <c r="F16" s="245" t="str">
        <f>VLOOKUP($E16,'TC 10-2023'!$B:$Z,2,FALSE)</f>
        <v>Engenheiro coordenador</v>
      </c>
      <c r="G16" s="248">
        <v>1</v>
      </c>
      <c r="H16" s="556" t="s">
        <v>515</v>
      </c>
      <c r="I16" s="556" t="s">
        <v>395</v>
      </c>
      <c r="J16" s="557" t="s">
        <v>516</v>
      </c>
      <c r="K16" s="554">
        <f>Dados!$G$14</f>
        <v>6</v>
      </c>
      <c r="L16" s="554">
        <f>VLOOKUP(I16,Voos!$K$9:$L$14,2,FALSE)</f>
        <v>497.33333333333331</v>
      </c>
      <c r="M16" s="558">
        <f t="shared" si="2"/>
        <v>2984</v>
      </c>
      <c r="N16" s="554">
        <f>K16*IF(D16="Reunião de Alinhamento",(2+0.5),IF(D16="Inspeção de Campo",6.5,IF(D16="Pesquisa de Campo",5.5,1.5)))</f>
        <v>33</v>
      </c>
      <c r="O16" s="554">
        <f>VLOOKUP(I16,Diárias!$B$8:$D$36,2,FALSE)</f>
        <v>600</v>
      </c>
      <c r="P16" s="494">
        <f>O16*N16*G16</f>
        <v>19800</v>
      </c>
      <c r="Q16" s="251">
        <f t="shared" si="1"/>
        <v>22784</v>
      </c>
      <c r="R16" s="531" t="str">
        <f t="shared" si="3"/>
        <v>3</v>
      </c>
    </row>
    <row r="17" spans="1:18" s="231" customFormat="1" ht="21.95" customHeight="1">
      <c r="A17" s="522" t="s">
        <v>755</v>
      </c>
      <c r="B17" s="755"/>
      <c r="C17" s="749"/>
      <c r="D17" s="553" t="s">
        <v>550</v>
      </c>
      <c r="E17" s="559" t="s">
        <v>200</v>
      </c>
      <c r="F17" s="555" t="str">
        <f>VLOOKUP($E17,'TC 10-2023'!$B:$Z,2,FALSE)</f>
        <v>Engenheiro coordenador</v>
      </c>
      <c r="G17" s="554">
        <v>1</v>
      </c>
      <c r="H17" s="556" t="s">
        <v>515</v>
      </c>
      <c r="I17" s="556" t="s">
        <v>395</v>
      </c>
      <c r="J17" s="557" t="s">
        <v>516</v>
      </c>
      <c r="K17" s="554">
        <v>1</v>
      </c>
      <c r="L17" s="554">
        <f>VLOOKUP(I17,Voos!$K$9:$L$14,2,FALSE)</f>
        <v>497.33333333333331</v>
      </c>
      <c r="M17" s="558">
        <f t="shared" ref="M17:M19" si="9">L17*K17*G17</f>
        <v>497.33333333333331</v>
      </c>
      <c r="N17" s="554">
        <f t="shared" si="8"/>
        <v>2.5</v>
      </c>
      <c r="O17" s="554">
        <f>VLOOKUP(I17,Diárias!$B$8:$D$36,2,FALSE)</f>
        <v>600</v>
      </c>
      <c r="P17" s="494">
        <f t="shared" ref="P17:P19" si="10">O17*N17*G17</f>
        <v>1500</v>
      </c>
      <c r="Q17" s="251">
        <f t="shared" ref="Q17:Q19" si="11">ROUND(P17+M17,4)</f>
        <v>1997.3333</v>
      </c>
      <c r="R17" s="531" t="str">
        <f t="shared" si="3"/>
        <v>3</v>
      </c>
    </row>
    <row r="18" spans="1:18" s="231" customFormat="1" ht="21.95" customHeight="1">
      <c r="A18" s="522" t="str">
        <f t="shared" si="4"/>
        <v>3.1.2</v>
      </c>
      <c r="B18" s="755"/>
      <c r="C18" s="750"/>
      <c r="D18" s="259" t="s">
        <v>550</v>
      </c>
      <c r="E18" s="252" t="s">
        <v>199</v>
      </c>
      <c r="F18" s="253" t="str">
        <f>VLOOKUP($E18,'TC 10-2023'!$B:$Z,2,FALSE)</f>
        <v>Engenheiro consultor especial</v>
      </c>
      <c r="G18" s="252">
        <v>1</v>
      </c>
      <c r="H18" s="254" t="s">
        <v>515</v>
      </c>
      <c r="I18" s="254" t="s">
        <v>395</v>
      </c>
      <c r="J18" s="255" t="s">
        <v>516</v>
      </c>
      <c r="K18" s="252">
        <v>1</v>
      </c>
      <c r="L18" s="252">
        <f>VLOOKUP(I18,Voos!$K$9:$L$14,2,FALSE)</f>
        <v>497.33333333333331</v>
      </c>
      <c r="M18" s="256">
        <f t="shared" si="9"/>
        <v>497.33333333333331</v>
      </c>
      <c r="N18" s="252">
        <f t="shared" si="8"/>
        <v>2.5</v>
      </c>
      <c r="O18" s="252">
        <f>VLOOKUP(I18,Diárias!$B$8:$D$36,2,FALSE)</f>
        <v>600</v>
      </c>
      <c r="P18" s="495">
        <f t="shared" si="10"/>
        <v>1500</v>
      </c>
      <c r="Q18" s="257">
        <f t="shared" si="11"/>
        <v>1997.3333</v>
      </c>
      <c r="R18" s="531" t="str">
        <f t="shared" si="3"/>
        <v>3</v>
      </c>
    </row>
    <row r="19" spans="1:18" s="231" customFormat="1" ht="21.95" customHeight="1">
      <c r="A19" s="522" t="s">
        <v>729</v>
      </c>
      <c r="B19" s="755"/>
      <c r="C19" s="748">
        <v>3</v>
      </c>
      <c r="D19" s="258" t="s">
        <v>734</v>
      </c>
      <c r="E19" s="244" t="s">
        <v>200</v>
      </c>
      <c r="F19" s="245" t="str">
        <f>VLOOKUP($E19,'TC 10-2023'!$B:$Z,2,FALSE)</f>
        <v>Engenheiro coordenador</v>
      </c>
      <c r="G19" s="248">
        <v>1</v>
      </c>
      <c r="H19" s="556" t="s">
        <v>515</v>
      </c>
      <c r="I19" s="556" t="s">
        <v>395</v>
      </c>
      <c r="J19" s="557" t="s">
        <v>516</v>
      </c>
      <c r="K19" s="554">
        <f>Dados!$G$14</f>
        <v>6</v>
      </c>
      <c r="L19" s="554">
        <f>VLOOKUP(I19,Voos!$K$9:$L$14,2,FALSE)</f>
        <v>497.33333333333331</v>
      </c>
      <c r="M19" s="558">
        <f t="shared" si="9"/>
        <v>2984</v>
      </c>
      <c r="N19" s="554">
        <f t="shared" si="8"/>
        <v>33</v>
      </c>
      <c r="O19" s="554">
        <f>VLOOKUP(I19,Diárias!$B$8:$D$36,2,FALSE)</f>
        <v>600</v>
      </c>
      <c r="P19" s="494">
        <f t="shared" si="10"/>
        <v>19800</v>
      </c>
      <c r="Q19" s="251">
        <f t="shared" si="11"/>
        <v>22784</v>
      </c>
      <c r="R19" s="531" t="str">
        <f t="shared" si="3"/>
        <v>4</v>
      </c>
    </row>
    <row r="20" spans="1:18" s="231" customFormat="1" ht="21.95" customHeight="1">
      <c r="A20" s="522" t="s">
        <v>762</v>
      </c>
      <c r="B20" s="755"/>
      <c r="C20" s="749"/>
      <c r="D20" s="553" t="s">
        <v>550</v>
      </c>
      <c r="E20" s="559" t="s">
        <v>200</v>
      </c>
      <c r="F20" s="555" t="str">
        <f>VLOOKUP($E20,'TC 10-2023'!$B:$Z,2,FALSE)</f>
        <v>Engenheiro coordenador</v>
      </c>
      <c r="G20" s="554">
        <v>1</v>
      </c>
      <c r="H20" s="556" t="s">
        <v>515</v>
      </c>
      <c r="I20" s="556" t="s">
        <v>395</v>
      </c>
      <c r="J20" s="557" t="s">
        <v>516</v>
      </c>
      <c r="K20" s="554">
        <v>1</v>
      </c>
      <c r="L20" s="554">
        <f>VLOOKUP(I20,Voos!$K$9:$L$14,2,FALSE)</f>
        <v>497.33333333333331</v>
      </c>
      <c r="M20" s="558">
        <f t="shared" ref="M20:M21" si="12">L20*K20*G20</f>
        <v>497.33333333333331</v>
      </c>
      <c r="N20" s="554">
        <f t="shared" si="8"/>
        <v>2.5</v>
      </c>
      <c r="O20" s="554">
        <f>VLOOKUP(I20,Diárias!$B$8:$D$36,2,FALSE)</f>
        <v>600</v>
      </c>
      <c r="P20" s="494">
        <f t="shared" ref="P20:P21" si="13">O20*N20*G20</f>
        <v>1500</v>
      </c>
      <c r="Q20" s="251">
        <f t="shared" ref="Q20:Q21" si="14">ROUND(P20+M20,4)</f>
        <v>1997.3333</v>
      </c>
      <c r="R20" s="531" t="str">
        <f t="shared" si="3"/>
        <v>4</v>
      </c>
    </row>
    <row r="21" spans="1:18" s="231" customFormat="1" ht="21.95" customHeight="1">
      <c r="A21" s="522" t="str">
        <f t="shared" si="4"/>
        <v>4.1.2</v>
      </c>
      <c r="B21" s="756"/>
      <c r="C21" s="750"/>
      <c r="D21" s="259" t="s">
        <v>550</v>
      </c>
      <c r="E21" s="252" t="s">
        <v>199</v>
      </c>
      <c r="F21" s="253" t="str">
        <f>VLOOKUP($E21,'TC 10-2023'!$B:$Z,2,FALSE)</f>
        <v>Engenheiro consultor especial</v>
      </c>
      <c r="G21" s="252">
        <v>1</v>
      </c>
      <c r="H21" s="254" t="s">
        <v>515</v>
      </c>
      <c r="I21" s="254" t="s">
        <v>395</v>
      </c>
      <c r="J21" s="255" t="s">
        <v>516</v>
      </c>
      <c r="K21" s="252">
        <v>1</v>
      </c>
      <c r="L21" s="252">
        <f>VLOOKUP(I21,Voos!$K$9:$L$14,2,FALSE)</f>
        <v>497.33333333333331</v>
      </c>
      <c r="M21" s="256">
        <f t="shared" si="12"/>
        <v>497.33333333333331</v>
      </c>
      <c r="N21" s="252">
        <f t="shared" si="8"/>
        <v>2.5</v>
      </c>
      <c r="O21" s="252">
        <f>VLOOKUP(I21,Diárias!$B$8:$D$36,2,FALSE)</f>
        <v>600</v>
      </c>
      <c r="P21" s="495">
        <f t="shared" si="13"/>
        <v>1500</v>
      </c>
      <c r="Q21" s="257">
        <f t="shared" si="14"/>
        <v>1997.3333</v>
      </c>
      <c r="R21" s="531" t="str">
        <f t="shared" si="3"/>
        <v>4</v>
      </c>
    </row>
    <row r="22" spans="1:18" s="231" customFormat="1" ht="21.95" customHeight="1">
      <c r="A22" s="522" t="s">
        <v>551</v>
      </c>
      <c r="B22" s="760" t="str">
        <f>Produtos!D11</f>
        <v>Dimensão de Engenharia (EEN)</v>
      </c>
      <c r="C22" s="748">
        <v>1</v>
      </c>
      <c r="D22" s="258" t="s">
        <v>550</v>
      </c>
      <c r="E22" s="244" t="s">
        <v>200</v>
      </c>
      <c r="F22" s="245" t="str">
        <f>VLOOKUP($E22,'TC 10-2023'!$B:$Z,2,FALSE)</f>
        <v>Engenheiro coordenador</v>
      </c>
      <c r="G22" s="248">
        <v>1</v>
      </c>
      <c r="H22" s="246" t="s">
        <v>515</v>
      </c>
      <c r="I22" s="246" t="s">
        <v>395</v>
      </c>
      <c r="J22" s="247" t="s">
        <v>516</v>
      </c>
      <c r="K22" s="248">
        <v>1</v>
      </c>
      <c r="L22" s="248">
        <f>VLOOKUP(I22,Voos!$K$9:$L$14,2,FALSE)</f>
        <v>497.33333333333331</v>
      </c>
      <c r="M22" s="249">
        <f t="shared" si="2"/>
        <v>497.33333333333331</v>
      </c>
      <c r="N22" s="248">
        <f t="shared" si="8"/>
        <v>2.5</v>
      </c>
      <c r="O22" s="248">
        <f>VLOOKUP(I22,Diárias!$B$8:$D$36,2,FALSE)</f>
        <v>600</v>
      </c>
      <c r="P22" s="493">
        <f t="shared" si="0"/>
        <v>1500</v>
      </c>
      <c r="Q22" s="250">
        <f t="shared" si="1"/>
        <v>1997.3333</v>
      </c>
      <c r="R22" s="531" t="str">
        <f t="shared" si="3"/>
        <v>2</v>
      </c>
    </row>
    <row r="23" spans="1:18" s="231" customFormat="1" ht="21.95" customHeight="1">
      <c r="A23" s="522" t="str">
        <f t="shared" si="4"/>
        <v>2.2</v>
      </c>
      <c r="B23" s="761"/>
      <c r="C23" s="750"/>
      <c r="D23" s="259" t="s">
        <v>550</v>
      </c>
      <c r="E23" s="252" t="s">
        <v>199</v>
      </c>
      <c r="F23" s="253" t="str">
        <f>VLOOKUP($E23,'TC 10-2023'!$B:$Z,2,FALSE)</f>
        <v>Engenheiro consultor especial</v>
      </c>
      <c r="G23" s="252">
        <v>1</v>
      </c>
      <c r="H23" s="254" t="s">
        <v>515</v>
      </c>
      <c r="I23" s="254" t="s">
        <v>395</v>
      </c>
      <c r="J23" s="255" t="s">
        <v>516</v>
      </c>
      <c r="K23" s="252">
        <v>1</v>
      </c>
      <c r="L23" s="252">
        <f>VLOOKUP(I23,Voos!$K$9:$L$14,2,FALSE)</f>
        <v>497.33333333333331</v>
      </c>
      <c r="M23" s="256">
        <f t="shared" si="2"/>
        <v>497.33333333333331</v>
      </c>
      <c r="N23" s="252">
        <f t="shared" si="8"/>
        <v>2.5</v>
      </c>
      <c r="O23" s="252">
        <f>VLOOKUP(I23,Diárias!$B$8:$D$36,2,FALSE)</f>
        <v>600</v>
      </c>
      <c r="P23" s="495">
        <f t="shared" si="0"/>
        <v>1500</v>
      </c>
      <c r="Q23" s="257">
        <f t="shared" si="1"/>
        <v>1997.3333</v>
      </c>
      <c r="R23" s="531" t="str">
        <f t="shared" si="3"/>
        <v>2</v>
      </c>
    </row>
    <row r="24" spans="1:18" s="231" customFormat="1" ht="21.95" customHeight="1">
      <c r="A24" s="522" t="s">
        <v>713</v>
      </c>
      <c r="B24" s="761"/>
      <c r="C24" s="748">
        <v>2</v>
      </c>
      <c r="D24" s="258" t="s">
        <v>550</v>
      </c>
      <c r="E24" s="244" t="s">
        <v>200</v>
      </c>
      <c r="F24" s="245" t="str">
        <f>VLOOKUP($E24,'TC 10-2023'!$B:$Z,2,FALSE)</f>
        <v>Engenheiro coordenador</v>
      </c>
      <c r="G24" s="248">
        <v>1</v>
      </c>
      <c r="H24" s="246" t="s">
        <v>515</v>
      </c>
      <c r="I24" s="246" t="s">
        <v>395</v>
      </c>
      <c r="J24" s="247" t="s">
        <v>516</v>
      </c>
      <c r="K24" s="248">
        <v>1</v>
      </c>
      <c r="L24" s="248">
        <f>VLOOKUP(I24,Voos!$K$9:$L$14,2,FALSE)</f>
        <v>497.33333333333331</v>
      </c>
      <c r="M24" s="249">
        <f t="shared" ref="M24:M25" si="15">L24*K24*G24</f>
        <v>497.33333333333331</v>
      </c>
      <c r="N24" s="248">
        <f t="shared" si="8"/>
        <v>2.5</v>
      </c>
      <c r="O24" s="248">
        <f>VLOOKUP(I24,Diárias!$B$8:$D$36,2,FALSE)</f>
        <v>600</v>
      </c>
      <c r="P24" s="493">
        <f t="shared" ref="P24:P25" si="16">O24*N24*G24</f>
        <v>1500</v>
      </c>
      <c r="Q24" s="250">
        <f t="shared" ref="Q24:Q25" si="17">ROUND(P24+M24,4)</f>
        <v>1997.3333</v>
      </c>
      <c r="R24" s="531" t="str">
        <f t="shared" si="3"/>
        <v>3</v>
      </c>
    </row>
    <row r="25" spans="1:18" s="231" customFormat="1" ht="21.95" customHeight="1">
      <c r="A25" s="522" t="str">
        <f t="shared" si="4"/>
        <v>3.2</v>
      </c>
      <c r="B25" s="761"/>
      <c r="C25" s="750"/>
      <c r="D25" s="259" t="s">
        <v>550</v>
      </c>
      <c r="E25" s="252" t="s">
        <v>199</v>
      </c>
      <c r="F25" s="253" t="str">
        <f>VLOOKUP($E25,'TC 10-2023'!$B:$Z,2,FALSE)</f>
        <v>Engenheiro consultor especial</v>
      </c>
      <c r="G25" s="252">
        <v>1</v>
      </c>
      <c r="H25" s="254" t="s">
        <v>515</v>
      </c>
      <c r="I25" s="254" t="s">
        <v>395</v>
      </c>
      <c r="J25" s="255" t="s">
        <v>516</v>
      </c>
      <c r="K25" s="252">
        <v>1</v>
      </c>
      <c r="L25" s="252">
        <f>VLOOKUP(I25,Voos!$K$9:$L$14,2,FALSE)</f>
        <v>497.33333333333331</v>
      </c>
      <c r="M25" s="256">
        <f t="shared" si="15"/>
        <v>497.33333333333331</v>
      </c>
      <c r="N25" s="252">
        <f t="shared" si="8"/>
        <v>2.5</v>
      </c>
      <c r="O25" s="252">
        <f>VLOOKUP(I25,Diárias!$B$8:$D$36,2,FALSE)</f>
        <v>600</v>
      </c>
      <c r="P25" s="495">
        <f t="shared" si="16"/>
        <v>1500</v>
      </c>
      <c r="Q25" s="257">
        <f t="shared" si="17"/>
        <v>1997.3333</v>
      </c>
      <c r="R25" s="531" t="str">
        <f t="shared" si="3"/>
        <v>3</v>
      </c>
    </row>
    <row r="26" spans="1:18" s="231" customFormat="1" ht="21.95" customHeight="1">
      <c r="A26" s="522" t="s">
        <v>723</v>
      </c>
      <c r="B26" s="761"/>
      <c r="C26" s="748">
        <v>3</v>
      </c>
      <c r="D26" s="258" t="s">
        <v>550</v>
      </c>
      <c r="E26" s="244" t="s">
        <v>200</v>
      </c>
      <c r="F26" s="245" t="str">
        <f>VLOOKUP($E26,'TC 10-2023'!$B:$Z,2,FALSE)</f>
        <v>Engenheiro coordenador</v>
      </c>
      <c r="G26" s="248">
        <v>1</v>
      </c>
      <c r="H26" s="246" t="s">
        <v>515</v>
      </c>
      <c r="I26" s="246" t="s">
        <v>395</v>
      </c>
      <c r="J26" s="247" t="s">
        <v>516</v>
      </c>
      <c r="K26" s="248">
        <v>1</v>
      </c>
      <c r="L26" s="248">
        <f>VLOOKUP(I26,Voos!$K$9:$L$14,2,FALSE)</f>
        <v>497.33333333333331</v>
      </c>
      <c r="M26" s="249">
        <f t="shared" ref="M26:M27" si="18">L26*K26*G26</f>
        <v>497.33333333333331</v>
      </c>
      <c r="N26" s="248">
        <f t="shared" si="8"/>
        <v>2.5</v>
      </c>
      <c r="O26" s="248">
        <f>VLOOKUP(I26,Diárias!$B$8:$D$36,2,FALSE)</f>
        <v>600</v>
      </c>
      <c r="P26" s="493">
        <f t="shared" ref="P26:P27" si="19">O26*N26*G26</f>
        <v>1500</v>
      </c>
      <c r="Q26" s="250">
        <f t="shared" ref="Q26:Q27" si="20">ROUND(P26+M26,4)</f>
        <v>1997.3333</v>
      </c>
      <c r="R26" s="531" t="str">
        <f t="shared" si="3"/>
        <v>4</v>
      </c>
    </row>
    <row r="27" spans="1:18" s="231" customFormat="1" ht="21.95" customHeight="1">
      <c r="A27" s="522" t="str">
        <f t="shared" si="4"/>
        <v>4.2</v>
      </c>
      <c r="B27" s="762"/>
      <c r="C27" s="750"/>
      <c r="D27" s="259" t="s">
        <v>550</v>
      </c>
      <c r="E27" s="252" t="s">
        <v>199</v>
      </c>
      <c r="F27" s="253" t="str">
        <f>VLOOKUP($E27,'TC 10-2023'!$B:$Z,2,FALSE)</f>
        <v>Engenheiro consultor especial</v>
      </c>
      <c r="G27" s="252">
        <v>1</v>
      </c>
      <c r="H27" s="254" t="s">
        <v>515</v>
      </c>
      <c r="I27" s="254" t="s">
        <v>395</v>
      </c>
      <c r="J27" s="255" t="s">
        <v>516</v>
      </c>
      <c r="K27" s="252">
        <v>1</v>
      </c>
      <c r="L27" s="252">
        <f>VLOOKUP(I27,Voos!$K$9:$L$14,2,FALSE)</f>
        <v>497.33333333333331</v>
      </c>
      <c r="M27" s="256">
        <f t="shared" si="18"/>
        <v>497.33333333333331</v>
      </c>
      <c r="N27" s="252">
        <f t="shared" si="8"/>
        <v>2.5</v>
      </c>
      <c r="O27" s="252">
        <f>VLOOKUP(I27,Diárias!$B$8:$D$36,2,FALSE)</f>
        <v>600</v>
      </c>
      <c r="P27" s="495">
        <f t="shared" si="19"/>
        <v>1500</v>
      </c>
      <c r="Q27" s="257">
        <f t="shared" si="20"/>
        <v>1997.3333</v>
      </c>
      <c r="R27" s="531" t="str">
        <f t="shared" si="3"/>
        <v>4</v>
      </c>
    </row>
    <row r="28" spans="1:18" s="231" customFormat="1" ht="21.95" customHeight="1">
      <c r="A28" s="521" t="s">
        <v>747</v>
      </c>
      <c r="B28" s="754" t="str">
        <f>Produtos!D12</f>
        <v>Dimensão Operacional (EOP)</v>
      </c>
      <c r="C28" s="748">
        <v>1</v>
      </c>
      <c r="D28" s="553" t="s">
        <v>550</v>
      </c>
      <c r="E28" s="559" t="s">
        <v>200</v>
      </c>
      <c r="F28" s="555" t="str">
        <f>VLOOKUP($E28,'TC 10-2023'!$B:$Z,2,FALSE)</f>
        <v>Engenheiro coordenador</v>
      </c>
      <c r="G28" s="554">
        <v>1</v>
      </c>
      <c r="H28" s="556" t="s">
        <v>515</v>
      </c>
      <c r="I28" s="556" t="s">
        <v>395</v>
      </c>
      <c r="J28" s="557" t="s">
        <v>516</v>
      </c>
      <c r="K28" s="554">
        <v>1</v>
      </c>
      <c r="L28" s="554">
        <f>VLOOKUP(I28,Voos!$K$9:$L$14,2,FALSE)</f>
        <v>497.33333333333331</v>
      </c>
      <c r="M28" s="558">
        <f t="shared" si="2"/>
        <v>497.33333333333331</v>
      </c>
      <c r="N28" s="554">
        <f t="shared" si="8"/>
        <v>2.5</v>
      </c>
      <c r="O28" s="554">
        <f>VLOOKUP(I28,Diárias!$B$8:$D$36,2,FALSE)</f>
        <v>600</v>
      </c>
      <c r="P28" s="494">
        <f t="shared" si="0"/>
        <v>1500</v>
      </c>
      <c r="Q28" s="251">
        <f t="shared" si="1"/>
        <v>1997.3333</v>
      </c>
      <c r="R28" s="531" t="str">
        <f t="shared" si="3"/>
        <v>2</v>
      </c>
    </row>
    <row r="29" spans="1:18" s="231" customFormat="1" ht="21.95" customHeight="1">
      <c r="A29" s="521" t="str">
        <f>A28</f>
        <v>2.3</v>
      </c>
      <c r="B29" s="755"/>
      <c r="C29" s="749"/>
      <c r="D29" s="553" t="s">
        <v>550</v>
      </c>
      <c r="E29" s="554" t="s">
        <v>199</v>
      </c>
      <c r="F29" s="555" t="str">
        <f>VLOOKUP($E29,'TC 10-2023'!$B:$Z,2,FALSE)</f>
        <v>Engenheiro consultor especial</v>
      </c>
      <c r="G29" s="554">
        <v>1</v>
      </c>
      <c r="H29" s="556" t="s">
        <v>515</v>
      </c>
      <c r="I29" s="556" t="s">
        <v>395</v>
      </c>
      <c r="J29" s="557" t="s">
        <v>516</v>
      </c>
      <c r="K29" s="554">
        <v>1</v>
      </c>
      <c r="L29" s="554">
        <f>VLOOKUP(I29,Voos!$K$9:$L$14,2,FALSE)</f>
        <v>497.33333333333331</v>
      </c>
      <c r="M29" s="558">
        <f t="shared" si="2"/>
        <v>497.33333333333331</v>
      </c>
      <c r="N29" s="554">
        <f t="shared" si="8"/>
        <v>2.5</v>
      </c>
      <c r="O29" s="554">
        <f>VLOOKUP(I29,Diárias!$B$8:$D$36,2,FALSE)</f>
        <v>600</v>
      </c>
      <c r="P29" s="494">
        <f t="shared" si="0"/>
        <v>1500</v>
      </c>
      <c r="Q29" s="251">
        <f t="shared" si="1"/>
        <v>1997.3333</v>
      </c>
      <c r="R29" s="531" t="str">
        <f t="shared" si="3"/>
        <v>2</v>
      </c>
    </row>
    <row r="30" spans="1:18" s="231" customFormat="1" ht="21.95" customHeight="1">
      <c r="A30" s="522" t="s">
        <v>724</v>
      </c>
      <c r="B30" s="755"/>
      <c r="C30" s="749"/>
      <c r="D30" s="553" t="s">
        <v>613</v>
      </c>
      <c r="E30" s="554" t="s">
        <v>199</v>
      </c>
      <c r="F30" s="555" t="str">
        <f>VLOOKUP($E30,'TC 10-2023'!$B:$Z,2,FALSE)</f>
        <v>Engenheiro consultor especial</v>
      </c>
      <c r="G30" s="554">
        <v>1</v>
      </c>
      <c r="H30" s="556" t="s">
        <v>515</v>
      </c>
      <c r="I30" s="565" t="s">
        <v>557</v>
      </c>
      <c r="J30" s="557" t="s">
        <v>516</v>
      </c>
      <c r="K30" s="554">
        <v>1</v>
      </c>
      <c r="L30" s="554">
        <f>VLOOKUP(I30,Voos!$K$9:$L$14,2,FALSE)</f>
        <v>626.52083333333326</v>
      </c>
      <c r="M30" s="558">
        <f t="shared" si="2"/>
        <v>626.52083333333326</v>
      </c>
      <c r="N30" s="554">
        <f t="shared" si="8"/>
        <v>6.5</v>
      </c>
      <c r="O30" s="554">
        <f>VLOOKUP(I30,Diárias!$B$8:$D$36,2,FALSE)</f>
        <v>455</v>
      </c>
      <c r="P30" s="494">
        <f t="shared" si="0"/>
        <v>2957.5</v>
      </c>
      <c r="Q30" s="251">
        <f t="shared" si="1"/>
        <v>3584.0207999999998</v>
      </c>
      <c r="R30" s="531" t="str">
        <f t="shared" si="3"/>
        <v>2</v>
      </c>
    </row>
    <row r="31" spans="1:18" s="231" customFormat="1" ht="21.95" customHeight="1">
      <c r="A31" s="522" t="str">
        <f>A30</f>
        <v>2.3.1</v>
      </c>
      <c r="B31" s="755"/>
      <c r="C31" s="749"/>
      <c r="D31" s="553" t="s">
        <v>613</v>
      </c>
      <c r="E31" s="554" t="s">
        <v>206</v>
      </c>
      <c r="F31" s="555" t="str">
        <f>VLOOKUP($E31,'TC 10-2023'!$B:$Z,2,FALSE)</f>
        <v>Engenheiro de projetos sênior</v>
      </c>
      <c r="G31" s="554">
        <v>1</v>
      </c>
      <c r="H31" s="556" t="s">
        <v>515</v>
      </c>
      <c r="I31" s="565" t="s">
        <v>557</v>
      </c>
      <c r="J31" s="557" t="s">
        <v>516</v>
      </c>
      <c r="K31" s="554">
        <v>1</v>
      </c>
      <c r="L31" s="554">
        <f>VLOOKUP(I31,Voos!$K$9:$L$14,2,FALSE)</f>
        <v>626.52083333333326</v>
      </c>
      <c r="M31" s="558">
        <f t="shared" si="2"/>
        <v>626.52083333333326</v>
      </c>
      <c r="N31" s="554">
        <f t="shared" si="8"/>
        <v>6.5</v>
      </c>
      <c r="O31" s="554">
        <f>VLOOKUP(I31,Diárias!$B$8:$D$36,2,FALSE)</f>
        <v>455</v>
      </c>
      <c r="P31" s="494">
        <f t="shared" si="0"/>
        <v>2957.5</v>
      </c>
      <c r="Q31" s="251">
        <f t="shared" si="1"/>
        <v>3584.0207999999998</v>
      </c>
      <c r="R31" s="531" t="str">
        <f t="shared" si="3"/>
        <v>2</v>
      </c>
    </row>
    <row r="32" spans="1:18" s="231" customFormat="1" ht="21.95" customHeight="1">
      <c r="A32" s="522" t="str">
        <f>A31</f>
        <v>2.3.1</v>
      </c>
      <c r="B32" s="755"/>
      <c r="C32" s="750"/>
      <c r="D32" s="259" t="s">
        <v>613</v>
      </c>
      <c r="E32" s="252" t="s">
        <v>205</v>
      </c>
      <c r="F32" s="253" t="str">
        <f>VLOOKUP($E32,'TC 10-2023'!$B:$Z,2,FALSE)</f>
        <v>Engenheiro de projetos pleno</v>
      </c>
      <c r="G32" s="252">
        <v>1</v>
      </c>
      <c r="H32" s="254" t="s">
        <v>515</v>
      </c>
      <c r="I32" s="566" t="s">
        <v>557</v>
      </c>
      <c r="J32" s="255" t="s">
        <v>516</v>
      </c>
      <c r="K32" s="252">
        <v>1</v>
      </c>
      <c r="L32" s="252">
        <f>VLOOKUP(I32,Voos!$K$9:$L$14,2,FALSE)</f>
        <v>626.52083333333326</v>
      </c>
      <c r="M32" s="256">
        <f t="shared" si="2"/>
        <v>626.52083333333326</v>
      </c>
      <c r="N32" s="252">
        <f t="shared" si="8"/>
        <v>6.5</v>
      </c>
      <c r="O32" s="252">
        <f>VLOOKUP(I32,Diárias!$B$8:$D$36,2,FALSE)</f>
        <v>455</v>
      </c>
      <c r="P32" s="495">
        <f t="shared" si="0"/>
        <v>2957.5</v>
      </c>
      <c r="Q32" s="257">
        <f t="shared" si="1"/>
        <v>3584.0207999999998</v>
      </c>
      <c r="R32" s="531" t="str">
        <f t="shared" si="3"/>
        <v>2</v>
      </c>
    </row>
    <row r="33" spans="1:18" s="231" customFormat="1" ht="21.95" customHeight="1">
      <c r="A33" s="521" t="s">
        <v>725</v>
      </c>
      <c r="B33" s="755"/>
      <c r="C33" s="748">
        <v>2</v>
      </c>
      <c r="D33" s="553" t="s">
        <v>550</v>
      </c>
      <c r="E33" s="559" t="s">
        <v>200</v>
      </c>
      <c r="F33" s="555" t="str">
        <f>VLOOKUP($E33,'TC 10-2023'!$B:$Z,2,FALSE)</f>
        <v>Engenheiro coordenador</v>
      </c>
      <c r="G33" s="554">
        <v>1</v>
      </c>
      <c r="H33" s="556" t="s">
        <v>515</v>
      </c>
      <c r="I33" s="556" t="s">
        <v>395</v>
      </c>
      <c r="J33" s="557" t="s">
        <v>516</v>
      </c>
      <c r="K33" s="554">
        <v>1</v>
      </c>
      <c r="L33" s="554">
        <f>VLOOKUP(I33,Voos!$K$9:$L$14,2,FALSE)</f>
        <v>497.33333333333331</v>
      </c>
      <c r="M33" s="558">
        <f t="shared" ref="M33:M37" si="21">L33*K33*G33</f>
        <v>497.33333333333331</v>
      </c>
      <c r="N33" s="554">
        <f t="shared" si="8"/>
        <v>2.5</v>
      </c>
      <c r="O33" s="554">
        <f>VLOOKUP(I33,Diárias!$B$8:$D$36,2,FALSE)</f>
        <v>600</v>
      </c>
      <c r="P33" s="494">
        <f t="shared" ref="P33:P37" si="22">O33*N33*G33</f>
        <v>1500</v>
      </c>
      <c r="Q33" s="251">
        <f t="shared" ref="Q33:Q37" si="23">ROUND(P33+M33,4)</f>
        <v>1997.3333</v>
      </c>
      <c r="R33" s="531" t="str">
        <f t="shared" si="3"/>
        <v>3</v>
      </c>
    </row>
    <row r="34" spans="1:18" s="231" customFormat="1" ht="21.95" customHeight="1">
      <c r="A34" s="521" t="str">
        <f>A33</f>
        <v>3.3</v>
      </c>
      <c r="B34" s="755"/>
      <c r="C34" s="749"/>
      <c r="D34" s="553" t="s">
        <v>550</v>
      </c>
      <c r="E34" s="554" t="s">
        <v>199</v>
      </c>
      <c r="F34" s="555" t="str">
        <f>VLOOKUP($E34,'TC 10-2023'!$B:$Z,2,FALSE)</f>
        <v>Engenheiro consultor especial</v>
      </c>
      <c r="G34" s="554">
        <v>1</v>
      </c>
      <c r="H34" s="556" t="s">
        <v>515</v>
      </c>
      <c r="I34" s="556" t="s">
        <v>395</v>
      </c>
      <c r="J34" s="557" t="s">
        <v>516</v>
      </c>
      <c r="K34" s="554">
        <v>1</v>
      </c>
      <c r="L34" s="554">
        <f>VLOOKUP(I34,Voos!$K$9:$L$14,2,FALSE)</f>
        <v>497.33333333333331</v>
      </c>
      <c r="M34" s="558">
        <f t="shared" si="21"/>
        <v>497.33333333333331</v>
      </c>
      <c r="N34" s="554">
        <f t="shared" si="8"/>
        <v>2.5</v>
      </c>
      <c r="O34" s="554">
        <f>VLOOKUP(I34,Diárias!$B$8:$D$36,2,FALSE)</f>
        <v>600</v>
      </c>
      <c r="P34" s="494">
        <f t="shared" si="22"/>
        <v>1500</v>
      </c>
      <c r="Q34" s="251">
        <f t="shared" si="23"/>
        <v>1997.3333</v>
      </c>
      <c r="R34" s="531" t="str">
        <f t="shared" si="3"/>
        <v>3</v>
      </c>
    </row>
    <row r="35" spans="1:18" s="231" customFormat="1" ht="21.95" customHeight="1">
      <c r="A35" s="522" t="s">
        <v>769</v>
      </c>
      <c r="B35" s="755"/>
      <c r="C35" s="749"/>
      <c r="D35" s="553" t="s">
        <v>613</v>
      </c>
      <c r="E35" s="554" t="s">
        <v>199</v>
      </c>
      <c r="F35" s="555" t="str">
        <f>VLOOKUP($E35,'TC 10-2023'!$B:$Z,2,FALSE)</f>
        <v>Engenheiro consultor especial</v>
      </c>
      <c r="G35" s="554">
        <v>1</v>
      </c>
      <c r="H35" s="556" t="s">
        <v>515</v>
      </c>
      <c r="I35" s="565" t="s">
        <v>557</v>
      </c>
      <c r="J35" s="557" t="s">
        <v>516</v>
      </c>
      <c r="K35" s="554">
        <v>1</v>
      </c>
      <c r="L35" s="554">
        <f>VLOOKUP(I35,Voos!$K$9:$L$14,2,FALSE)</f>
        <v>626.52083333333326</v>
      </c>
      <c r="M35" s="558">
        <f t="shared" si="21"/>
        <v>626.52083333333326</v>
      </c>
      <c r="N35" s="554">
        <f t="shared" si="8"/>
        <v>6.5</v>
      </c>
      <c r="O35" s="554">
        <f>VLOOKUP(I35,Diárias!$B$8:$D$36,2,FALSE)</f>
        <v>455</v>
      </c>
      <c r="P35" s="494">
        <f t="shared" si="22"/>
        <v>2957.5</v>
      </c>
      <c r="Q35" s="251">
        <f t="shared" si="23"/>
        <v>3584.0207999999998</v>
      </c>
      <c r="R35" s="531" t="str">
        <f t="shared" si="3"/>
        <v>3</v>
      </c>
    </row>
    <row r="36" spans="1:18" s="231" customFormat="1" ht="21.95" customHeight="1">
      <c r="A36" s="522" t="str">
        <f>A35</f>
        <v>3.3.1</v>
      </c>
      <c r="B36" s="755"/>
      <c r="C36" s="749"/>
      <c r="D36" s="553" t="s">
        <v>613</v>
      </c>
      <c r="E36" s="554" t="s">
        <v>206</v>
      </c>
      <c r="F36" s="555" t="str">
        <f>VLOOKUP($E36,'TC 10-2023'!$B:$Z,2,FALSE)</f>
        <v>Engenheiro de projetos sênior</v>
      </c>
      <c r="G36" s="554">
        <v>1</v>
      </c>
      <c r="H36" s="556" t="s">
        <v>515</v>
      </c>
      <c r="I36" s="565" t="s">
        <v>557</v>
      </c>
      <c r="J36" s="557" t="s">
        <v>516</v>
      </c>
      <c r="K36" s="554">
        <v>1</v>
      </c>
      <c r="L36" s="554">
        <f>VLOOKUP(I36,Voos!$K$9:$L$14,2,FALSE)</f>
        <v>626.52083333333326</v>
      </c>
      <c r="M36" s="558">
        <f t="shared" si="21"/>
        <v>626.52083333333326</v>
      </c>
      <c r="N36" s="554">
        <f t="shared" si="8"/>
        <v>6.5</v>
      </c>
      <c r="O36" s="554">
        <f>VLOOKUP(I36,Diárias!$B$8:$D$36,2,FALSE)</f>
        <v>455</v>
      </c>
      <c r="P36" s="494">
        <f t="shared" si="22"/>
        <v>2957.5</v>
      </c>
      <c r="Q36" s="251">
        <f t="shared" si="23"/>
        <v>3584.0207999999998</v>
      </c>
      <c r="R36" s="531" t="str">
        <f t="shared" si="3"/>
        <v>3</v>
      </c>
    </row>
    <row r="37" spans="1:18" s="231" customFormat="1" ht="21.95" customHeight="1">
      <c r="A37" s="522" t="str">
        <f>A36</f>
        <v>3.3.1</v>
      </c>
      <c r="B37" s="755"/>
      <c r="C37" s="750"/>
      <c r="D37" s="259" t="s">
        <v>613</v>
      </c>
      <c r="E37" s="252" t="s">
        <v>205</v>
      </c>
      <c r="F37" s="253" t="str">
        <f>VLOOKUP($E37,'TC 10-2023'!$B:$Z,2,FALSE)</f>
        <v>Engenheiro de projetos pleno</v>
      </c>
      <c r="G37" s="252">
        <v>1</v>
      </c>
      <c r="H37" s="254" t="s">
        <v>515</v>
      </c>
      <c r="I37" s="566" t="s">
        <v>557</v>
      </c>
      <c r="J37" s="255" t="s">
        <v>516</v>
      </c>
      <c r="K37" s="252">
        <v>1</v>
      </c>
      <c r="L37" s="252">
        <f>VLOOKUP(I37,Voos!$K$9:$L$14,2,FALSE)</f>
        <v>626.52083333333326</v>
      </c>
      <c r="M37" s="256">
        <f t="shared" si="21"/>
        <v>626.52083333333326</v>
      </c>
      <c r="N37" s="252">
        <f t="shared" si="8"/>
        <v>6.5</v>
      </c>
      <c r="O37" s="252">
        <f>VLOOKUP(I37,Diárias!$B$8:$D$36,2,FALSE)</f>
        <v>455</v>
      </c>
      <c r="P37" s="495">
        <f t="shared" si="22"/>
        <v>2957.5</v>
      </c>
      <c r="Q37" s="257">
        <f t="shared" si="23"/>
        <v>3584.0207999999998</v>
      </c>
      <c r="R37" s="531" t="str">
        <f t="shared" si="3"/>
        <v>3</v>
      </c>
    </row>
    <row r="38" spans="1:18" s="231" customFormat="1" ht="21.95" customHeight="1">
      <c r="A38" s="521" t="s">
        <v>726</v>
      </c>
      <c r="B38" s="755"/>
      <c r="C38" s="748">
        <v>3</v>
      </c>
      <c r="D38" s="553" t="s">
        <v>550</v>
      </c>
      <c r="E38" s="559" t="s">
        <v>200</v>
      </c>
      <c r="F38" s="555" t="str">
        <f>VLOOKUP($E38,'TC 10-2023'!$B:$Z,2,FALSE)</f>
        <v>Engenheiro coordenador</v>
      </c>
      <c r="G38" s="554">
        <v>1</v>
      </c>
      <c r="H38" s="556" t="s">
        <v>515</v>
      </c>
      <c r="I38" s="556" t="s">
        <v>395</v>
      </c>
      <c r="J38" s="557" t="s">
        <v>516</v>
      </c>
      <c r="K38" s="554">
        <v>1</v>
      </c>
      <c r="L38" s="554">
        <f>VLOOKUP(I38,Voos!$K$9:$L$14,2,FALSE)</f>
        <v>497.33333333333331</v>
      </c>
      <c r="M38" s="558">
        <f t="shared" ref="M38:M42" si="24">L38*K38*G38</f>
        <v>497.33333333333331</v>
      </c>
      <c r="N38" s="554">
        <f t="shared" si="8"/>
        <v>2.5</v>
      </c>
      <c r="O38" s="554">
        <f>VLOOKUP(I38,Diárias!$B$8:$D$36,2,FALSE)</f>
        <v>600</v>
      </c>
      <c r="P38" s="494">
        <f t="shared" ref="P38:P42" si="25">O38*N38*G38</f>
        <v>1500</v>
      </c>
      <c r="Q38" s="251">
        <f t="shared" ref="Q38:Q42" si="26">ROUND(P38+M38,4)</f>
        <v>1997.3333</v>
      </c>
      <c r="R38" s="531" t="str">
        <f t="shared" si="3"/>
        <v>4</v>
      </c>
    </row>
    <row r="39" spans="1:18" s="231" customFormat="1" ht="21.95" customHeight="1">
      <c r="A39" s="521" t="str">
        <f>A38</f>
        <v>4.3</v>
      </c>
      <c r="B39" s="755"/>
      <c r="C39" s="749"/>
      <c r="D39" s="553" t="s">
        <v>550</v>
      </c>
      <c r="E39" s="554" t="s">
        <v>199</v>
      </c>
      <c r="F39" s="555" t="str">
        <f>VLOOKUP($E39,'TC 10-2023'!$B:$Z,2,FALSE)</f>
        <v>Engenheiro consultor especial</v>
      </c>
      <c r="G39" s="554">
        <v>1</v>
      </c>
      <c r="H39" s="556" t="s">
        <v>515</v>
      </c>
      <c r="I39" s="556" t="s">
        <v>395</v>
      </c>
      <c r="J39" s="557" t="s">
        <v>516</v>
      </c>
      <c r="K39" s="554">
        <v>1</v>
      </c>
      <c r="L39" s="554">
        <f>VLOOKUP(I39,Voos!$K$9:$L$14,2,FALSE)</f>
        <v>497.33333333333331</v>
      </c>
      <c r="M39" s="558">
        <f t="shared" si="24"/>
        <v>497.33333333333331</v>
      </c>
      <c r="N39" s="554">
        <f t="shared" si="8"/>
        <v>2.5</v>
      </c>
      <c r="O39" s="554">
        <f>VLOOKUP(I39,Diárias!$B$8:$D$36,2,FALSE)</f>
        <v>600</v>
      </c>
      <c r="P39" s="494">
        <f t="shared" si="25"/>
        <v>1500</v>
      </c>
      <c r="Q39" s="251">
        <f t="shared" si="26"/>
        <v>1997.3333</v>
      </c>
      <c r="R39" s="531" t="str">
        <f t="shared" si="3"/>
        <v>4</v>
      </c>
    </row>
    <row r="40" spans="1:18" s="231" customFormat="1" ht="21.95" customHeight="1">
      <c r="A40" s="522" t="s">
        <v>730</v>
      </c>
      <c r="B40" s="755"/>
      <c r="C40" s="749"/>
      <c r="D40" s="553" t="s">
        <v>613</v>
      </c>
      <c r="E40" s="554" t="s">
        <v>199</v>
      </c>
      <c r="F40" s="555" t="str">
        <f>VLOOKUP($E40,'TC 10-2023'!$B:$Z,2,FALSE)</f>
        <v>Engenheiro consultor especial</v>
      </c>
      <c r="G40" s="554">
        <v>1</v>
      </c>
      <c r="H40" s="556" t="s">
        <v>515</v>
      </c>
      <c r="I40" s="565" t="s">
        <v>557</v>
      </c>
      <c r="J40" s="557" t="s">
        <v>516</v>
      </c>
      <c r="K40" s="554">
        <v>1</v>
      </c>
      <c r="L40" s="554">
        <f>VLOOKUP(I40,Voos!$K$9:$L$14,2,FALSE)</f>
        <v>626.52083333333326</v>
      </c>
      <c r="M40" s="558">
        <f t="shared" si="24"/>
        <v>626.52083333333326</v>
      </c>
      <c r="N40" s="554">
        <f t="shared" si="8"/>
        <v>6.5</v>
      </c>
      <c r="O40" s="554">
        <f>VLOOKUP(I40,Diárias!$B$8:$D$36,2,FALSE)</f>
        <v>455</v>
      </c>
      <c r="P40" s="494">
        <f t="shared" si="25"/>
        <v>2957.5</v>
      </c>
      <c r="Q40" s="251">
        <f t="shared" si="26"/>
        <v>3584.0207999999998</v>
      </c>
      <c r="R40" s="531" t="str">
        <f t="shared" si="3"/>
        <v>4</v>
      </c>
    </row>
    <row r="41" spans="1:18" s="231" customFormat="1" ht="21.95" customHeight="1">
      <c r="A41" s="522" t="str">
        <f>A40</f>
        <v>4.3.1</v>
      </c>
      <c r="B41" s="755"/>
      <c r="C41" s="749"/>
      <c r="D41" s="553" t="s">
        <v>613</v>
      </c>
      <c r="E41" s="554" t="s">
        <v>206</v>
      </c>
      <c r="F41" s="555" t="str">
        <f>VLOOKUP($E41,'TC 10-2023'!$B:$Z,2,FALSE)</f>
        <v>Engenheiro de projetos sênior</v>
      </c>
      <c r="G41" s="554">
        <v>1</v>
      </c>
      <c r="H41" s="556" t="s">
        <v>515</v>
      </c>
      <c r="I41" s="565" t="s">
        <v>557</v>
      </c>
      <c r="J41" s="557" t="s">
        <v>516</v>
      </c>
      <c r="K41" s="554">
        <v>1</v>
      </c>
      <c r="L41" s="554">
        <f>VLOOKUP(I41,Voos!$K$9:$L$14,2,FALSE)</f>
        <v>626.52083333333326</v>
      </c>
      <c r="M41" s="558">
        <f t="shared" si="24"/>
        <v>626.52083333333326</v>
      </c>
      <c r="N41" s="554">
        <f t="shared" si="8"/>
        <v>6.5</v>
      </c>
      <c r="O41" s="554">
        <f>VLOOKUP(I41,Diárias!$B$8:$D$36,2,FALSE)</f>
        <v>455</v>
      </c>
      <c r="P41" s="494">
        <f t="shared" si="25"/>
        <v>2957.5</v>
      </c>
      <c r="Q41" s="251">
        <f t="shared" si="26"/>
        <v>3584.0207999999998</v>
      </c>
      <c r="R41" s="531" t="str">
        <f t="shared" si="3"/>
        <v>4</v>
      </c>
    </row>
    <row r="42" spans="1:18" s="231" customFormat="1" ht="21.95" customHeight="1">
      <c r="A42" s="522" t="str">
        <f>A41</f>
        <v>4.3.1</v>
      </c>
      <c r="B42" s="756"/>
      <c r="C42" s="750"/>
      <c r="D42" s="259" t="s">
        <v>613</v>
      </c>
      <c r="E42" s="252" t="s">
        <v>205</v>
      </c>
      <c r="F42" s="253" t="str">
        <f>VLOOKUP($E42,'TC 10-2023'!$B:$Z,2,FALSE)</f>
        <v>Engenheiro de projetos pleno</v>
      </c>
      <c r="G42" s="252">
        <v>1</v>
      </c>
      <c r="H42" s="254" t="s">
        <v>515</v>
      </c>
      <c r="I42" s="566" t="s">
        <v>557</v>
      </c>
      <c r="J42" s="255" t="s">
        <v>516</v>
      </c>
      <c r="K42" s="252">
        <v>1</v>
      </c>
      <c r="L42" s="252">
        <f>VLOOKUP(I42,Voos!$K$9:$L$14,2,FALSE)</f>
        <v>626.52083333333326</v>
      </c>
      <c r="M42" s="256">
        <f t="shared" si="24"/>
        <v>626.52083333333326</v>
      </c>
      <c r="N42" s="252">
        <f t="shared" si="8"/>
        <v>6.5</v>
      </c>
      <c r="O42" s="252">
        <f>VLOOKUP(I42,Diárias!$B$8:$D$36,2,FALSE)</f>
        <v>455</v>
      </c>
      <c r="P42" s="495">
        <f t="shared" si="25"/>
        <v>2957.5</v>
      </c>
      <c r="Q42" s="257">
        <f t="shared" si="26"/>
        <v>3584.0207999999998</v>
      </c>
      <c r="R42" s="531" t="str">
        <f t="shared" si="3"/>
        <v>4</v>
      </c>
    </row>
    <row r="43" spans="1:18" ht="21.95" customHeight="1">
      <c r="A43" s="521" t="s">
        <v>748</v>
      </c>
      <c r="B43" s="754" t="str">
        <f>Produtos!D14</f>
        <v>Dimensão Socioambiental (EMA)</v>
      </c>
      <c r="C43" s="748">
        <v>1</v>
      </c>
      <c r="D43" s="258" t="s">
        <v>550</v>
      </c>
      <c r="E43" s="244" t="s">
        <v>200</v>
      </c>
      <c r="F43" s="245" t="str">
        <f>VLOOKUP($E43,'TC 10-2023'!$B:$Z,2,FALSE)</f>
        <v>Engenheiro coordenador</v>
      </c>
      <c r="G43" s="248">
        <v>1</v>
      </c>
      <c r="H43" s="246" t="s">
        <v>515</v>
      </c>
      <c r="I43" s="246" t="s">
        <v>395</v>
      </c>
      <c r="J43" s="247" t="s">
        <v>516</v>
      </c>
      <c r="K43" s="248">
        <v>1</v>
      </c>
      <c r="L43" s="248">
        <f>VLOOKUP(I43,Voos!$K$9:$L$14,2,FALSE)</f>
        <v>497.33333333333331</v>
      </c>
      <c r="M43" s="249">
        <f t="shared" si="2"/>
        <v>497.33333333333331</v>
      </c>
      <c r="N43" s="248">
        <f t="shared" si="8"/>
        <v>2.5</v>
      </c>
      <c r="O43" s="248">
        <f>VLOOKUP(I43,Diárias!$B$8:$D$36,2,FALSE)</f>
        <v>600</v>
      </c>
      <c r="P43" s="493">
        <f t="shared" si="0"/>
        <v>1500</v>
      </c>
      <c r="Q43" s="250">
        <f t="shared" si="1"/>
        <v>1997.3333</v>
      </c>
      <c r="R43" s="531" t="str">
        <f t="shared" si="3"/>
        <v>2</v>
      </c>
    </row>
    <row r="44" spans="1:18" ht="21.95" customHeight="1">
      <c r="A44" s="521" t="str">
        <f t="shared" ref="A44:A66" si="27">A43</f>
        <v>2.4</v>
      </c>
      <c r="B44" s="755"/>
      <c r="C44" s="750"/>
      <c r="D44" s="553" t="s">
        <v>550</v>
      </c>
      <c r="E44" s="554" t="str">
        <f>'2.4.EMA'!$B$18</f>
        <v>P8044</v>
      </c>
      <c r="F44" s="555" t="str">
        <f>VLOOKUP($E44,'TC 10-2023'!$B:$Z,2,FALSE)</f>
        <v xml:space="preserve">Coordenador ambiental </v>
      </c>
      <c r="G44" s="554">
        <v>1</v>
      </c>
      <c r="H44" s="556" t="s">
        <v>515</v>
      </c>
      <c r="I44" s="556" t="s">
        <v>395</v>
      </c>
      <c r="J44" s="557" t="s">
        <v>516</v>
      </c>
      <c r="K44" s="554">
        <v>1</v>
      </c>
      <c r="L44" s="554">
        <f>VLOOKUP(I44,Voos!$K$9:$L$14,2,FALSE)</f>
        <v>497.33333333333331</v>
      </c>
      <c r="M44" s="558">
        <f t="shared" si="2"/>
        <v>497.33333333333331</v>
      </c>
      <c r="N44" s="554">
        <f t="shared" si="8"/>
        <v>2.5</v>
      </c>
      <c r="O44" s="554">
        <f>VLOOKUP(I44,Diárias!$B$8:$D$36,2,FALSE)</f>
        <v>600</v>
      </c>
      <c r="P44" s="494">
        <f t="shared" si="0"/>
        <v>1500</v>
      </c>
      <c r="Q44" s="251">
        <f t="shared" si="1"/>
        <v>1997.3333</v>
      </c>
      <c r="R44" s="531" t="str">
        <f t="shared" si="3"/>
        <v>2</v>
      </c>
    </row>
    <row r="45" spans="1:18" ht="21.95" customHeight="1">
      <c r="A45" s="521" t="s">
        <v>756</v>
      </c>
      <c r="B45" s="755"/>
      <c r="C45" s="748">
        <v>2</v>
      </c>
      <c r="D45" s="258" t="s">
        <v>550</v>
      </c>
      <c r="E45" s="244" t="s">
        <v>200</v>
      </c>
      <c r="F45" s="245" t="str">
        <f>VLOOKUP($E45,'TC 10-2023'!$B:$Z,2,FALSE)</f>
        <v>Engenheiro coordenador</v>
      </c>
      <c r="G45" s="248">
        <v>1</v>
      </c>
      <c r="H45" s="246" t="s">
        <v>515</v>
      </c>
      <c r="I45" s="246" t="s">
        <v>395</v>
      </c>
      <c r="J45" s="247" t="s">
        <v>516</v>
      </c>
      <c r="K45" s="248">
        <v>1</v>
      </c>
      <c r="L45" s="248">
        <f>VLOOKUP(I45,Voos!$K$9:$L$14,2,FALSE)</f>
        <v>497.33333333333331</v>
      </c>
      <c r="M45" s="249">
        <f t="shared" ref="M45:M46" si="28">L45*K45*G45</f>
        <v>497.33333333333331</v>
      </c>
      <c r="N45" s="248">
        <f t="shared" si="8"/>
        <v>2.5</v>
      </c>
      <c r="O45" s="248">
        <f>VLOOKUP(I45,Diárias!$B$8:$D$36,2,FALSE)</f>
        <v>600</v>
      </c>
      <c r="P45" s="493">
        <f t="shared" ref="P45:P46" si="29">O45*N45*G45</f>
        <v>1500</v>
      </c>
      <c r="Q45" s="250">
        <f t="shared" ref="Q45:Q46" si="30">ROUND(P45+M45,4)</f>
        <v>1997.3333</v>
      </c>
      <c r="R45" s="531" t="str">
        <f t="shared" si="3"/>
        <v>3</v>
      </c>
    </row>
    <row r="46" spans="1:18" ht="21.95" customHeight="1">
      <c r="A46" s="521" t="str">
        <f t="shared" si="27"/>
        <v>3.4</v>
      </c>
      <c r="B46" s="755"/>
      <c r="C46" s="750"/>
      <c r="D46" s="553" t="s">
        <v>550</v>
      </c>
      <c r="E46" s="554" t="str">
        <f>'2.4.EMA'!$B$18</f>
        <v>P8044</v>
      </c>
      <c r="F46" s="555" t="str">
        <f>VLOOKUP($E46,'TC 10-2023'!$B:$Z,2,FALSE)</f>
        <v xml:space="preserve">Coordenador ambiental </v>
      </c>
      <c r="G46" s="554">
        <v>1</v>
      </c>
      <c r="H46" s="556" t="s">
        <v>515</v>
      </c>
      <c r="I46" s="556" t="s">
        <v>395</v>
      </c>
      <c r="J46" s="557" t="s">
        <v>516</v>
      </c>
      <c r="K46" s="554">
        <v>1</v>
      </c>
      <c r="L46" s="554">
        <f>VLOOKUP(I46,Voos!$K$9:$L$14,2,FALSE)</f>
        <v>497.33333333333331</v>
      </c>
      <c r="M46" s="558">
        <f t="shared" si="28"/>
        <v>497.33333333333331</v>
      </c>
      <c r="N46" s="554">
        <f t="shared" si="8"/>
        <v>2.5</v>
      </c>
      <c r="O46" s="554">
        <f>VLOOKUP(I46,Diárias!$B$8:$D$36,2,FALSE)</f>
        <v>600</v>
      </c>
      <c r="P46" s="494">
        <f t="shared" si="29"/>
        <v>1500</v>
      </c>
      <c r="Q46" s="251">
        <f t="shared" si="30"/>
        <v>1997.3333</v>
      </c>
      <c r="R46" s="531" t="str">
        <f t="shared" si="3"/>
        <v>3</v>
      </c>
    </row>
    <row r="47" spans="1:18" ht="21.95" customHeight="1">
      <c r="A47" s="521" t="s">
        <v>763</v>
      </c>
      <c r="B47" s="755"/>
      <c r="C47" s="748">
        <v>3</v>
      </c>
      <c r="D47" s="258" t="s">
        <v>550</v>
      </c>
      <c r="E47" s="244" t="s">
        <v>200</v>
      </c>
      <c r="F47" s="245" t="str">
        <f>VLOOKUP($E47,'TC 10-2023'!$B:$Z,2,FALSE)</f>
        <v>Engenheiro coordenador</v>
      </c>
      <c r="G47" s="248">
        <v>1</v>
      </c>
      <c r="H47" s="246" t="s">
        <v>515</v>
      </c>
      <c r="I47" s="246" t="s">
        <v>395</v>
      </c>
      <c r="J47" s="247" t="s">
        <v>516</v>
      </c>
      <c r="K47" s="248">
        <v>1</v>
      </c>
      <c r="L47" s="248">
        <f>VLOOKUP(I47,Voos!$K$9:$L$14,2,FALSE)</f>
        <v>497.33333333333331</v>
      </c>
      <c r="M47" s="249">
        <f t="shared" ref="M47:M48" si="31">L47*K47*G47</f>
        <v>497.33333333333331</v>
      </c>
      <c r="N47" s="248">
        <f t="shared" si="8"/>
        <v>2.5</v>
      </c>
      <c r="O47" s="248">
        <f>VLOOKUP(I47,Diárias!$B$8:$D$36,2,FALSE)</f>
        <v>600</v>
      </c>
      <c r="P47" s="493">
        <f t="shared" ref="P47:P48" si="32">O47*N47*G47</f>
        <v>1500</v>
      </c>
      <c r="Q47" s="250">
        <f t="shared" ref="Q47:Q48" si="33">ROUND(P47+M47,4)</f>
        <v>1997.3333</v>
      </c>
      <c r="R47" s="531" t="str">
        <f t="shared" si="3"/>
        <v>4</v>
      </c>
    </row>
    <row r="48" spans="1:18" ht="21.95" customHeight="1">
      <c r="A48" s="521" t="str">
        <f t="shared" si="27"/>
        <v>4.4</v>
      </c>
      <c r="B48" s="756"/>
      <c r="C48" s="750"/>
      <c r="D48" s="259" t="s">
        <v>550</v>
      </c>
      <c r="E48" s="252" t="str">
        <f>'2.4.EMA'!$B$18</f>
        <v>P8044</v>
      </c>
      <c r="F48" s="253" t="str">
        <f>VLOOKUP($E48,'TC 10-2023'!$B:$Z,2,FALSE)</f>
        <v xml:space="preserve">Coordenador ambiental </v>
      </c>
      <c r="G48" s="252">
        <v>1</v>
      </c>
      <c r="H48" s="254" t="s">
        <v>515</v>
      </c>
      <c r="I48" s="254" t="s">
        <v>395</v>
      </c>
      <c r="J48" s="255" t="s">
        <v>516</v>
      </c>
      <c r="K48" s="252">
        <v>1</v>
      </c>
      <c r="L48" s="252">
        <f>VLOOKUP(I48,Voos!$K$9:$L$14,2,FALSE)</f>
        <v>497.33333333333331</v>
      </c>
      <c r="M48" s="256">
        <f t="shared" si="31"/>
        <v>497.33333333333331</v>
      </c>
      <c r="N48" s="252">
        <f t="shared" si="8"/>
        <v>2.5</v>
      </c>
      <c r="O48" s="252">
        <f>VLOOKUP(I48,Diárias!$B$8:$D$36,2,FALSE)</f>
        <v>600</v>
      </c>
      <c r="P48" s="495">
        <f t="shared" si="32"/>
        <v>1500</v>
      </c>
      <c r="Q48" s="257">
        <f t="shared" si="33"/>
        <v>1997.3333</v>
      </c>
      <c r="R48" s="531" t="str">
        <f t="shared" si="3"/>
        <v>4</v>
      </c>
    </row>
    <row r="49" spans="1:18" ht="21.95" customHeight="1">
      <c r="A49" s="521" t="s">
        <v>749</v>
      </c>
      <c r="B49" s="754" t="str">
        <f>Produtos!D15</f>
        <v>Dimensão Econômico-Financeira (MEF)</v>
      </c>
      <c r="C49" s="748">
        <v>1</v>
      </c>
      <c r="D49" s="258" t="s">
        <v>550</v>
      </c>
      <c r="E49" s="244" t="s">
        <v>200</v>
      </c>
      <c r="F49" s="245" t="str">
        <f>VLOOKUP($E49,'TC 10-2023'!$B:$Z,2,FALSE)</f>
        <v>Engenheiro coordenador</v>
      </c>
      <c r="G49" s="248">
        <v>1</v>
      </c>
      <c r="H49" s="246" t="s">
        <v>515</v>
      </c>
      <c r="I49" s="246" t="s">
        <v>395</v>
      </c>
      <c r="J49" s="247" t="s">
        <v>516</v>
      </c>
      <c r="K49" s="248">
        <v>1</v>
      </c>
      <c r="L49" s="248">
        <f>VLOOKUP(I49,Voos!$K$9:$L$14,2,FALSE)</f>
        <v>497.33333333333331</v>
      </c>
      <c r="M49" s="249">
        <f t="shared" si="2"/>
        <v>497.33333333333331</v>
      </c>
      <c r="N49" s="248">
        <f t="shared" si="8"/>
        <v>2.5</v>
      </c>
      <c r="O49" s="248">
        <f>VLOOKUP(I49,Diárias!$B$8:$D$36,2,FALSE)</f>
        <v>600</v>
      </c>
      <c r="P49" s="493">
        <f t="shared" si="0"/>
        <v>1500</v>
      </c>
      <c r="Q49" s="250">
        <f t="shared" si="1"/>
        <v>1997.3333</v>
      </c>
      <c r="R49" s="531" t="str">
        <f t="shared" si="3"/>
        <v>2</v>
      </c>
    </row>
    <row r="50" spans="1:18" ht="21.95" customHeight="1">
      <c r="A50" s="521" t="str">
        <f t="shared" si="27"/>
        <v>2.5</v>
      </c>
      <c r="B50" s="755"/>
      <c r="C50" s="750"/>
      <c r="D50" s="553" t="s">
        <v>550</v>
      </c>
      <c r="E50" s="554" t="s">
        <v>199</v>
      </c>
      <c r="F50" s="555" t="str">
        <f>VLOOKUP($E50,'TC 10-2023'!$B:$Z,2,FALSE)</f>
        <v>Engenheiro consultor especial</v>
      </c>
      <c r="G50" s="554">
        <v>1</v>
      </c>
      <c r="H50" s="556" t="s">
        <v>515</v>
      </c>
      <c r="I50" s="556" t="s">
        <v>395</v>
      </c>
      <c r="J50" s="557" t="s">
        <v>516</v>
      </c>
      <c r="K50" s="554">
        <v>1</v>
      </c>
      <c r="L50" s="554">
        <f>VLOOKUP(I50,Voos!$K$9:$L$14,2,FALSE)</f>
        <v>497.33333333333331</v>
      </c>
      <c r="M50" s="558">
        <f t="shared" si="2"/>
        <v>497.33333333333331</v>
      </c>
      <c r="N50" s="554">
        <f t="shared" si="8"/>
        <v>2.5</v>
      </c>
      <c r="O50" s="554">
        <f>VLOOKUP(I50,Diárias!$B$8:$D$36,2,FALSE)</f>
        <v>600</v>
      </c>
      <c r="P50" s="494">
        <f t="shared" si="0"/>
        <v>1500</v>
      </c>
      <c r="Q50" s="251">
        <f t="shared" si="1"/>
        <v>1997.3333</v>
      </c>
      <c r="R50" s="531" t="str">
        <f t="shared" si="3"/>
        <v>2</v>
      </c>
    </row>
    <row r="51" spans="1:18" ht="21.95" customHeight="1">
      <c r="A51" s="521" t="s">
        <v>757</v>
      </c>
      <c r="B51" s="755"/>
      <c r="C51" s="748">
        <v>2</v>
      </c>
      <c r="D51" s="258" t="s">
        <v>550</v>
      </c>
      <c r="E51" s="244" t="s">
        <v>200</v>
      </c>
      <c r="F51" s="245" t="str">
        <f>VLOOKUP($E51,'TC 10-2023'!$B:$Z,2,FALSE)</f>
        <v>Engenheiro coordenador</v>
      </c>
      <c r="G51" s="248">
        <v>1</v>
      </c>
      <c r="H51" s="246" t="s">
        <v>515</v>
      </c>
      <c r="I51" s="246" t="s">
        <v>395</v>
      </c>
      <c r="J51" s="247" t="s">
        <v>516</v>
      </c>
      <c r="K51" s="248">
        <v>1</v>
      </c>
      <c r="L51" s="248">
        <f>VLOOKUP(I51,Voos!$K$9:$L$14,2,FALSE)</f>
        <v>497.33333333333331</v>
      </c>
      <c r="M51" s="249">
        <f t="shared" ref="M51:M52" si="34">L51*K51*G51</f>
        <v>497.33333333333331</v>
      </c>
      <c r="N51" s="248">
        <f t="shared" si="8"/>
        <v>2.5</v>
      </c>
      <c r="O51" s="248">
        <f>VLOOKUP(I51,Diárias!$B$8:$D$36,2,FALSE)</f>
        <v>600</v>
      </c>
      <c r="P51" s="493">
        <f t="shared" ref="P51:P52" si="35">O51*N51*G51</f>
        <v>1500</v>
      </c>
      <c r="Q51" s="250">
        <f t="shared" ref="Q51:Q52" si="36">ROUND(P51+M51,4)</f>
        <v>1997.3333</v>
      </c>
      <c r="R51" s="531" t="str">
        <f t="shared" si="3"/>
        <v>3</v>
      </c>
    </row>
    <row r="52" spans="1:18" ht="21.95" customHeight="1">
      <c r="A52" s="521" t="str">
        <f t="shared" si="27"/>
        <v>3.5</v>
      </c>
      <c r="B52" s="755"/>
      <c r="C52" s="750"/>
      <c r="D52" s="553" t="s">
        <v>550</v>
      </c>
      <c r="E52" s="554" t="s">
        <v>199</v>
      </c>
      <c r="F52" s="555" t="str">
        <f>VLOOKUP($E52,'TC 10-2023'!$B:$Z,2,FALSE)</f>
        <v>Engenheiro consultor especial</v>
      </c>
      <c r="G52" s="554">
        <v>1</v>
      </c>
      <c r="H52" s="556" t="s">
        <v>515</v>
      </c>
      <c r="I52" s="556" t="s">
        <v>395</v>
      </c>
      <c r="J52" s="557" t="s">
        <v>516</v>
      </c>
      <c r="K52" s="554">
        <v>1</v>
      </c>
      <c r="L52" s="554">
        <f>VLOOKUP(I52,Voos!$K$9:$L$14,2,FALSE)</f>
        <v>497.33333333333331</v>
      </c>
      <c r="M52" s="558">
        <f t="shared" si="34"/>
        <v>497.33333333333331</v>
      </c>
      <c r="N52" s="554">
        <f t="shared" si="8"/>
        <v>2.5</v>
      </c>
      <c r="O52" s="554">
        <f>VLOOKUP(I52,Diárias!$B$8:$D$36,2,FALSE)</f>
        <v>600</v>
      </c>
      <c r="P52" s="494">
        <f t="shared" si="35"/>
        <v>1500</v>
      </c>
      <c r="Q52" s="251">
        <f t="shared" si="36"/>
        <v>1997.3333</v>
      </c>
      <c r="R52" s="531" t="str">
        <f t="shared" si="3"/>
        <v>3</v>
      </c>
    </row>
    <row r="53" spans="1:18" ht="21.95" customHeight="1">
      <c r="A53" s="521" t="s">
        <v>764</v>
      </c>
      <c r="B53" s="755"/>
      <c r="C53" s="748">
        <v>3</v>
      </c>
      <c r="D53" s="258" t="s">
        <v>550</v>
      </c>
      <c r="E53" s="244" t="s">
        <v>200</v>
      </c>
      <c r="F53" s="245" t="str">
        <f>VLOOKUP($E53,'TC 10-2023'!$B:$Z,2,FALSE)</f>
        <v>Engenheiro coordenador</v>
      </c>
      <c r="G53" s="248">
        <v>1</v>
      </c>
      <c r="H53" s="246" t="s">
        <v>515</v>
      </c>
      <c r="I53" s="246" t="s">
        <v>395</v>
      </c>
      <c r="J53" s="247" t="s">
        <v>516</v>
      </c>
      <c r="K53" s="248">
        <v>1</v>
      </c>
      <c r="L53" s="248">
        <f>VLOOKUP(I53,Voos!$K$9:$L$14,2,FALSE)</f>
        <v>497.33333333333331</v>
      </c>
      <c r="M53" s="249">
        <f t="shared" ref="M53:M54" si="37">L53*K53*G53</f>
        <v>497.33333333333331</v>
      </c>
      <c r="N53" s="248">
        <f t="shared" si="8"/>
        <v>2.5</v>
      </c>
      <c r="O53" s="248">
        <f>VLOOKUP(I53,Diárias!$B$8:$D$36,2,FALSE)</f>
        <v>600</v>
      </c>
      <c r="P53" s="493">
        <f t="shared" ref="P53:P54" si="38">O53*N53*G53</f>
        <v>1500</v>
      </c>
      <c r="Q53" s="250">
        <f t="shared" ref="Q53:Q54" si="39">ROUND(P53+M53,4)</f>
        <v>1997.3333</v>
      </c>
      <c r="R53" s="531" t="str">
        <f t="shared" si="3"/>
        <v>4</v>
      </c>
    </row>
    <row r="54" spans="1:18" ht="21.95" customHeight="1">
      <c r="A54" s="521" t="str">
        <f t="shared" si="27"/>
        <v>4.5</v>
      </c>
      <c r="B54" s="756"/>
      <c r="C54" s="750"/>
      <c r="D54" s="259" t="s">
        <v>550</v>
      </c>
      <c r="E54" s="252" t="s">
        <v>199</v>
      </c>
      <c r="F54" s="253" t="str">
        <f>VLOOKUP($E54,'TC 10-2023'!$B:$Z,2,FALSE)</f>
        <v>Engenheiro consultor especial</v>
      </c>
      <c r="G54" s="252">
        <v>1</v>
      </c>
      <c r="H54" s="254" t="s">
        <v>515</v>
      </c>
      <c r="I54" s="254" t="s">
        <v>395</v>
      </c>
      <c r="J54" s="255" t="s">
        <v>516</v>
      </c>
      <c r="K54" s="252">
        <v>1</v>
      </c>
      <c r="L54" s="252">
        <f>VLOOKUP(I54,Voos!$K$9:$L$14,2,FALSE)</f>
        <v>497.33333333333331</v>
      </c>
      <c r="M54" s="256">
        <f t="shared" si="37"/>
        <v>497.33333333333331</v>
      </c>
      <c r="N54" s="252">
        <f t="shared" si="8"/>
        <v>2.5</v>
      </c>
      <c r="O54" s="252">
        <f>VLOOKUP(I54,Diárias!$B$8:$D$36,2,FALSE)</f>
        <v>600</v>
      </c>
      <c r="P54" s="495">
        <f t="shared" si="38"/>
        <v>1500</v>
      </c>
      <c r="Q54" s="257">
        <f t="shared" si="39"/>
        <v>1997.3333</v>
      </c>
      <c r="R54" s="531" t="str">
        <f t="shared" si="3"/>
        <v>4</v>
      </c>
    </row>
    <row r="55" spans="1:18" ht="21.95" customHeight="1">
      <c r="A55" s="521" t="s">
        <v>750</v>
      </c>
      <c r="B55" s="755" t="str">
        <f>Produtos!D16</f>
        <v>Apoio e revisão pós Audiência Pública</v>
      </c>
      <c r="C55" s="748">
        <v>1</v>
      </c>
      <c r="D55" s="631" t="s">
        <v>772</v>
      </c>
      <c r="E55" s="244" t="s">
        <v>200</v>
      </c>
      <c r="F55" s="245" t="str">
        <f>VLOOKUP($E55,'TC 10-2023'!$B:$Z,2,FALSE)</f>
        <v>Engenheiro coordenador</v>
      </c>
      <c r="G55" s="248">
        <f t="shared" ref="G55:G66" si="40">K55</f>
        <v>1</v>
      </c>
      <c r="H55" s="246" t="s">
        <v>515</v>
      </c>
      <c r="I55" s="246" t="s">
        <v>395</v>
      </c>
      <c r="J55" s="247" t="s">
        <v>516</v>
      </c>
      <c r="K55" s="248">
        <v>1</v>
      </c>
      <c r="L55" s="248">
        <f>VLOOKUP(I55,Voos!$K$9:$L$14,2,FALSE)</f>
        <v>497.33333333333331</v>
      </c>
      <c r="M55" s="249">
        <f t="shared" si="2"/>
        <v>497.33333333333331</v>
      </c>
      <c r="N55" s="248">
        <f t="shared" si="8"/>
        <v>1.5</v>
      </c>
      <c r="O55" s="248">
        <f>VLOOKUP(I55,Diárias!$B$8:$D$36,2,FALSE)</f>
        <v>600</v>
      </c>
      <c r="P55" s="493">
        <f t="shared" si="0"/>
        <v>900</v>
      </c>
      <c r="Q55" s="250">
        <f t="shared" si="1"/>
        <v>1397.3333</v>
      </c>
      <c r="R55" s="531" t="str">
        <f t="shared" si="3"/>
        <v>2</v>
      </c>
    </row>
    <row r="56" spans="1:18" ht="21.95" customHeight="1">
      <c r="A56" s="521" t="str">
        <f t="shared" si="27"/>
        <v>2.6</v>
      </c>
      <c r="B56" s="755"/>
      <c r="C56" s="749"/>
      <c r="D56" s="633" t="s">
        <v>772</v>
      </c>
      <c r="E56" s="554" t="s">
        <v>199</v>
      </c>
      <c r="F56" s="555" t="str">
        <f>VLOOKUP($E56,'TC 10-2023'!$B:$Z,2,FALSE)</f>
        <v>Engenheiro consultor especial</v>
      </c>
      <c r="G56" s="554">
        <f t="shared" si="40"/>
        <v>1</v>
      </c>
      <c r="H56" s="556" t="s">
        <v>515</v>
      </c>
      <c r="I56" s="556" t="s">
        <v>395</v>
      </c>
      <c r="J56" s="557" t="s">
        <v>516</v>
      </c>
      <c r="K56" s="554">
        <v>1</v>
      </c>
      <c r="L56" s="554">
        <f>VLOOKUP(I56,Voos!$K$9:$L$14,2,FALSE)</f>
        <v>497.33333333333331</v>
      </c>
      <c r="M56" s="558">
        <f t="shared" si="2"/>
        <v>497.33333333333331</v>
      </c>
      <c r="N56" s="554">
        <f t="shared" si="8"/>
        <v>1.5</v>
      </c>
      <c r="O56" s="554">
        <f>VLOOKUP(I56,Diárias!$B$8:$D$36,2,FALSE)</f>
        <v>600</v>
      </c>
      <c r="P56" s="494">
        <f t="shared" si="0"/>
        <v>900</v>
      </c>
      <c r="Q56" s="251">
        <f t="shared" si="1"/>
        <v>1397.3333</v>
      </c>
      <c r="R56" s="531" t="str">
        <f t="shared" si="3"/>
        <v>2</v>
      </c>
    </row>
    <row r="57" spans="1:18" ht="21.95" customHeight="1">
      <c r="A57" s="521" t="s">
        <v>750</v>
      </c>
      <c r="B57" s="755"/>
      <c r="C57" s="749"/>
      <c r="D57" s="633" t="s">
        <v>773</v>
      </c>
      <c r="E57" s="559" t="s">
        <v>200</v>
      </c>
      <c r="F57" s="555" t="str">
        <f>VLOOKUP($E57,'TC 10-2023'!$B:$Z,2,FALSE)</f>
        <v>Engenheiro coordenador</v>
      </c>
      <c r="G57" s="554">
        <f t="shared" ref="G57:G58" si="41">K57</f>
        <v>1</v>
      </c>
      <c r="H57" s="556" t="s">
        <v>515</v>
      </c>
      <c r="I57" s="556" t="s">
        <v>395</v>
      </c>
      <c r="J57" s="557" t="s">
        <v>516</v>
      </c>
      <c r="K57" s="554">
        <v>1</v>
      </c>
      <c r="L57" s="554">
        <f>VLOOKUP(I57,Voos!$K$9:$L$14,2,FALSE)</f>
        <v>497.33333333333331</v>
      </c>
      <c r="M57" s="558">
        <f t="shared" ref="M57:M58" si="42">L57*K57*G57</f>
        <v>497.33333333333331</v>
      </c>
      <c r="N57" s="554">
        <v>2.5</v>
      </c>
      <c r="O57" s="554">
        <f>VLOOKUP(I57,Diárias!$B$8:$D$36,2,FALSE)</f>
        <v>600</v>
      </c>
      <c r="P57" s="494">
        <f t="shared" ref="P57:P58" si="43">O57*N57*G57</f>
        <v>1500</v>
      </c>
      <c r="Q57" s="251">
        <f t="shared" ref="Q57:Q58" si="44">ROUND(P57+M57,4)</f>
        <v>1997.3333</v>
      </c>
      <c r="R57" s="531" t="str">
        <f t="shared" ref="R57:R58" si="45">LEFT(A57,1)</f>
        <v>2</v>
      </c>
    </row>
    <row r="58" spans="1:18" ht="21.95" customHeight="1">
      <c r="A58" s="521" t="str">
        <f t="shared" si="27"/>
        <v>2.6</v>
      </c>
      <c r="B58" s="755"/>
      <c r="C58" s="750"/>
      <c r="D58" s="632" t="s">
        <v>773</v>
      </c>
      <c r="E58" s="252" t="s">
        <v>199</v>
      </c>
      <c r="F58" s="253" t="str">
        <f>VLOOKUP($E58,'TC 10-2023'!$B:$Z,2,FALSE)</f>
        <v>Engenheiro consultor especial</v>
      </c>
      <c r="G58" s="252">
        <f t="shared" si="41"/>
        <v>1</v>
      </c>
      <c r="H58" s="254" t="s">
        <v>515</v>
      </c>
      <c r="I58" s="254" t="s">
        <v>395</v>
      </c>
      <c r="J58" s="255" t="s">
        <v>516</v>
      </c>
      <c r="K58" s="252">
        <v>1</v>
      </c>
      <c r="L58" s="252">
        <f>VLOOKUP(I58,Voos!$K$9:$L$14,2,FALSE)</f>
        <v>497.33333333333331</v>
      </c>
      <c r="M58" s="256">
        <f t="shared" si="42"/>
        <v>497.33333333333331</v>
      </c>
      <c r="N58" s="252">
        <v>2.5</v>
      </c>
      <c r="O58" s="252">
        <f>VLOOKUP(I58,Diárias!$B$8:$D$36,2,FALSE)</f>
        <v>600</v>
      </c>
      <c r="P58" s="495">
        <f t="shared" si="43"/>
        <v>1500</v>
      </c>
      <c r="Q58" s="257">
        <f t="shared" si="44"/>
        <v>1997.3333</v>
      </c>
      <c r="R58" s="531" t="str">
        <f t="shared" si="45"/>
        <v>2</v>
      </c>
    </row>
    <row r="59" spans="1:18" ht="21.95" customHeight="1">
      <c r="A59" s="521" t="s">
        <v>758</v>
      </c>
      <c r="B59" s="755"/>
      <c r="C59" s="748">
        <v>2</v>
      </c>
      <c r="D59" s="631" t="s">
        <v>772</v>
      </c>
      <c r="E59" s="244" t="s">
        <v>200</v>
      </c>
      <c r="F59" s="245" t="str">
        <f>VLOOKUP($E59,'TC 10-2023'!$B:$Z,2,FALSE)</f>
        <v>Engenheiro coordenador</v>
      </c>
      <c r="G59" s="248">
        <f t="shared" si="40"/>
        <v>1</v>
      </c>
      <c r="H59" s="246" t="s">
        <v>515</v>
      </c>
      <c r="I59" s="246" t="s">
        <v>395</v>
      </c>
      <c r="J59" s="247" t="s">
        <v>516</v>
      </c>
      <c r="K59" s="248">
        <v>1</v>
      </c>
      <c r="L59" s="248">
        <f>VLOOKUP(I59,Voos!$K$9:$L$14,2,FALSE)</f>
        <v>497.33333333333331</v>
      </c>
      <c r="M59" s="249">
        <f t="shared" ref="M59:M60" si="46">L59*K59*G59</f>
        <v>497.33333333333331</v>
      </c>
      <c r="N59" s="248">
        <f t="shared" si="8"/>
        <v>1.5</v>
      </c>
      <c r="O59" s="248">
        <f>VLOOKUP(I59,Diárias!$B$8:$D$36,2,FALSE)</f>
        <v>600</v>
      </c>
      <c r="P59" s="493">
        <f t="shared" ref="P59:P60" si="47">O59*N59*G59</f>
        <v>900</v>
      </c>
      <c r="Q59" s="250">
        <f t="shared" ref="Q59:Q60" si="48">ROUND(P59+M59,4)</f>
        <v>1397.3333</v>
      </c>
      <c r="R59" s="531" t="str">
        <f t="shared" si="3"/>
        <v>3</v>
      </c>
    </row>
    <row r="60" spans="1:18" ht="21.95" customHeight="1">
      <c r="A60" s="521" t="str">
        <f t="shared" si="27"/>
        <v>3.6</v>
      </c>
      <c r="B60" s="755"/>
      <c r="C60" s="749"/>
      <c r="D60" s="633" t="s">
        <v>772</v>
      </c>
      <c r="E60" s="554" t="s">
        <v>199</v>
      </c>
      <c r="F60" s="555" t="str">
        <f>VLOOKUP($E60,'TC 10-2023'!$B:$Z,2,FALSE)</f>
        <v>Engenheiro consultor especial</v>
      </c>
      <c r="G60" s="554">
        <f t="shared" si="40"/>
        <v>1</v>
      </c>
      <c r="H60" s="556" t="s">
        <v>515</v>
      </c>
      <c r="I60" s="556" t="s">
        <v>395</v>
      </c>
      <c r="J60" s="557" t="s">
        <v>516</v>
      </c>
      <c r="K60" s="554">
        <v>1</v>
      </c>
      <c r="L60" s="554">
        <f>VLOOKUP(I60,Voos!$K$9:$L$14,2,FALSE)</f>
        <v>497.33333333333331</v>
      </c>
      <c r="M60" s="558">
        <f t="shared" si="46"/>
        <v>497.33333333333331</v>
      </c>
      <c r="N60" s="554">
        <f t="shared" si="8"/>
        <v>1.5</v>
      </c>
      <c r="O60" s="554">
        <f>VLOOKUP(I60,Diárias!$B$8:$D$36,2,FALSE)</f>
        <v>600</v>
      </c>
      <c r="P60" s="494">
        <f t="shared" si="47"/>
        <v>900</v>
      </c>
      <c r="Q60" s="251">
        <f t="shared" si="48"/>
        <v>1397.3333</v>
      </c>
      <c r="R60" s="531" t="str">
        <f t="shared" si="3"/>
        <v>3</v>
      </c>
    </row>
    <row r="61" spans="1:18" ht="21.95" customHeight="1">
      <c r="A61" s="521" t="s">
        <v>758</v>
      </c>
      <c r="B61" s="755"/>
      <c r="C61" s="749"/>
      <c r="D61" s="633" t="s">
        <v>773</v>
      </c>
      <c r="E61" s="559" t="s">
        <v>200</v>
      </c>
      <c r="F61" s="555" t="str">
        <f>VLOOKUP($E61,'TC 10-2023'!$B:$Z,2,FALSE)</f>
        <v>Engenheiro coordenador</v>
      </c>
      <c r="G61" s="554">
        <f t="shared" ref="G61:G62" si="49">K61</f>
        <v>1</v>
      </c>
      <c r="H61" s="556" t="s">
        <v>515</v>
      </c>
      <c r="I61" s="556" t="s">
        <v>405</v>
      </c>
      <c r="J61" s="557" t="s">
        <v>516</v>
      </c>
      <c r="K61" s="554">
        <v>1</v>
      </c>
      <c r="L61" s="554">
        <f>VLOOKUP(I61,Voos!$K$9:$L$14,2,FALSE)</f>
        <v>784.25</v>
      </c>
      <c r="M61" s="558">
        <f t="shared" ref="M61:M62" si="50">L61*K61*G61</f>
        <v>784.25</v>
      </c>
      <c r="N61" s="554">
        <v>3.5</v>
      </c>
      <c r="O61" s="554">
        <f>(1.5*Diárias!C13+2*Diárias!D13)/3.5</f>
        <v>480.71428571428572</v>
      </c>
      <c r="P61" s="494">
        <f t="shared" ref="P61:P62" si="51">O61*N61*G61</f>
        <v>1682.5</v>
      </c>
      <c r="Q61" s="251">
        <f t="shared" ref="Q61:Q62" si="52">ROUND(P61+M61,4)</f>
        <v>2466.75</v>
      </c>
      <c r="R61" s="531" t="str">
        <f t="shared" ref="R61:R62" si="53">LEFT(A61,1)</f>
        <v>3</v>
      </c>
    </row>
    <row r="62" spans="1:18" ht="21.95" customHeight="1">
      <c r="A62" s="521" t="str">
        <f t="shared" si="27"/>
        <v>3.6</v>
      </c>
      <c r="B62" s="755"/>
      <c r="C62" s="750"/>
      <c r="D62" s="632" t="s">
        <v>773</v>
      </c>
      <c r="E62" s="252" t="s">
        <v>199</v>
      </c>
      <c r="F62" s="253" t="str">
        <f>VLOOKUP($E62,'TC 10-2023'!$B:$Z,2,FALSE)</f>
        <v>Engenheiro consultor especial</v>
      </c>
      <c r="G62" s="252">
        <f t="shared" si="49"/>
        <v>1</v>
      </c>
      <c r="H62" s="254" t="s">
        <v>515</v>
      </c>
      <c r="I62" s="254" t="s">
        <v>405</v>
      </c>
      <c r="J62" s="255" t="s">
        <v>516</v>
      </c>
      <c r="K62" s="252">
        <v>1</v>
      </c>
      <c r="L62" s="252">
        <f>VLOOKUP(I62,Voos!$K$9:$L$14,2,FALSE)</f>
        <v>784.25</v>
      </c>
      <c r="M62" s="256">
        <f t="shared" si="50"/>
        <v>784.25</v>
      </c>
      <c r="N62" s="252">
        <v>3.5</v>
      </c>
      <c r="O62" s="252">
        <f>(1.5*Diárias!C14+2*Diárias!D14)/3.5</f>
        <v>480.71428571428572</v>
      </c>
      <c r="P62" s="495">
        <f t="shared" si="51"/>
        <v>1682.5</v>
      </c>
      <c r="Q62" s="257">
        <f t="shared" si="52"/>
        <v>2466.75</v>
      </c>
      <c r="R62" s="531" t="str">
        <f t="shared" si="53"/>
        <v>3</v>
      </c>
    </row>
    <row r="63" spans="1:18" ht="21.95" customHeight="1">
      <c r="A63" s="521" t="s">
        <v>765</v>
      </c>
      <c r="B63" s="755"/>
      <c r="C63" s="748">
        <v>3</v>
      </c>
      <c r="D63" s="631" t="s">
        <v>772</v>
      </c>
      <c r="E63" s="244" t="s">
        <v>200</v>
      </c>
      <c r="F63" s="245" t="str">
        <f>VLOOKUP($E63,'TC 10-2023'!$B:$Z,2,FALSE)</f>
        <v>Engenheiro coordenador</v>
      </c>
      <c r="G63" s="248">
        <f t="shared" ref="G63:G64" si="54">K63</f>
        <v>1</v>
      </c>
      <c r="H63" s="246" t="s">
        <v>515</v>
      </c>
      <c r="I63" s="246" t="s">
        <v>395</v>
      </c>
      <c r="J63" s="247" t="s">
        <v>516</v>
      </c>
      <c r="K63" s="248">
        <v>1</v>
      </c>
      <c r="L63" s="248">
        <f>VLOOKUP(I63,Voos!$K$9:$L$14,2,FALSE)</f>
        <v>497.33333333333331</v>
      </c>
      <c r="M63" s="249">
        <f t="shared" ref="M63:M64" si="55">L63*K63*G63</f>
        <v>497.33333333333331</v>
      </c>
      <c r="N63" s="248">
        <f t="shared" ref="N63:N64" si="56">K63*IF(D63="Reunião de Alinhamento",(2+0.5),IF(D63="Inspeção de Campo",6.5,IF(D63="Pesquisa de Campo",5.5,1.5)))</f>
        <v>1.5</v>
      </c>
      <c r="O63" s="248">
        <f>VLOOKUP(I63,Diárias!$B$8:$D$36,2,FALSE)</f>
        <v>600</v>
      </c>
      <c r="P63" s="493">
        <f t="shared" ref="P63:P64" si="57">O63*N63*G63</f>
        <v>900</v>
      </c>
      <c r="Q63" s="250">
        <f t="shared" ref="Q63:Q64" si="58">ROUND(P63+M63,4)</f>
        <v>1397.3333</v>
      </c>
      <c r="R63" s="531" t="str">
        <f t="shared" ref="R63:R64" si="59">LEFT(A63,1)</f>
        <v>4</v>
      </c>
    </row>
    <row r="64" spans="1:18" ht="21.95" customHeight="1">
      <c r="A64" s="521" t="str">
        <f t="shared" si="27"/>
        <v>4.6</v>
      </c>
      <c r="B64" s="755"/>
      <c r="C64" s="749"/>
      <c r="D64" s="633" t="s">
        <v>772</v>
      </c>
      <c r="E64" s="554" t="s">
        <v>199</v>
      </c>
      <c r="F64" s="555" t="str">
        <f>VLOOKUP($E64,'TC 10-2023'!$B:$Z,2,FALSE)</f>
        <v>Engenheiro consultor especial</v>
      </c>
      <c r="G64" s="554">
        <f t="shared" si="54"/>
        <v>1</v>
      </c>
      <c r="H64" s="556" t="s">
        <v>515</v>
      </c>
      <c r="I64" s="556" t="s">
        <v>395</v>
      </c>
      <c r="J64" s="557" t="s">
        <v>516</v>
      </c>
      <c r="K64" s="554">
        <v>1</v>
      </c>
      <c r="L64" s="554">
        <f>VLOOKUP(I64,Voos!$K$9:$L$14,2,FALSE)</f>
        <v>497.33333333333331</v>
      </c>
      <c r="M64" s="558">
        <f t="shared" si="55"/>
        <v>497.33333333333331</v>
      </c>
      <c r="N64" s="554">
        <f t="shared" si="56"/>
        <v>1.5</v>
      </c>
      <c r="O64" s="554">
        <f>VLOOKUP(I64,Diárias!$B$8:$D$36,2,FALSE)</f>
        <v>600</v>
      </c>
      <c r="P64" s="494">
        <f t="shared" si="57"/>
        <v>900</v>
      </c>
      <c r="Q64" s="251">
        <f t="shared" si="58"/>
        <v>1397.3333</v>
      </c>
      <c r="R64" s="531" t="str">
        <f t="shared" si="59"/>
        <v>4</v>
      </c>
    </row>
    <row r="65" spans="1:18" ht="21.95" customHeight="1">
      <c r="A65" s="521" t="s">
        <v>765</v>
      </c>
      <c r="B65" s="755"/>
      <c r="C65" s="749"/>
      <c r="D65" s="633" t="s">
        <v>773</v>
      </c>
      <c r="E65" s="559" t="s">
        <v>200</v>
      </c>
      <c r="F65" s="555" t="str">
        <f>VLOOKUP($E65,'TC 10-2023'!$B:$Z,2,FALSE)</f>
        <v>Engenheiro coordenador</v>
      </c>
      <c r="G65" s="554">
        <f t="shared" si="40"/>
        <v>1</v>
      </c>
      <c r="H65" s="556" t="s">
        <v>515</v>
      </c>
      <c r="I65" s="556" t="s">
        <v>430</v>
      </c>
      <c r="J65" s="557" t="s">
        <v>516</v>
      </c>
      <c r="K65" s="554">
        <v>1</v>
      </c>
      <c r="L65" s="554">
        <f>VLOOKUP(I65,Voos!$K$9:$L$14,2,FALSE)</f>
        <v>632</v>
      </c>
      <c r="M65" s="558">
        <f t="shared" ref="M65:M66" si="60">L65*K65*G65</f>
        <v>632</v>
      </c>
      <c r="N65" s="554">
        <v>3.5</v>
      </c>
      <c r="O65" s="554">
        <f>(Diárias!C27*1.5+2*Diárias!D27)/3.5</f>
        <v>480.71428571428572</v>
      </c>
      <c r="P65" s="494">
        <f t="shared" ref="P65:P66" si="61">O65*N65*G65</f>
        <v>1682.5</v>
      </c>
      <c r="Q65" s="251">
        <f t="shared" ref="Q65:Q66" si="62">ROUND(P65+M65,4)</f>
        <v>2314.5</v>
      </c>
      <c r="R65" s="531" t="str">
        <f t="shared" si="3"/>
        <v>4</v>
      </c>
    </row>
    <row r="66" spans="1:18" ht="21.95" customHeight="1">
      <c r="A66" s="521" t="str">
        <f t="shared" si="27"/>
        <v>4.6</v>
      </c>
      <c r="B66" s="756"/>
      <c r="C66" s="750"/>
      <c r="D66" s="632" t="s">
        <v>773</v>
      </c>
      <c r="E66" s="252" t="s">
        <v>199</v>
      </c>
      <c r="F66" s="253" t="str">
        <f>VLOOKUP($E66,'TC 10-2023'!$B:$Z,2,FALSE)</f>
        <v>Engenheiro consultor especial</v>
      </c>
      <c r="G66" s="252">
        <f t="shared" si="40"/>
        <v>1</v>
      </c>
      <c r="H66" s="254" t="s">
        <v>515</v>
      </c>
      <c r="I66" s="254" t="s">
        <v>430</v>
      </c>
      <c r="J66" s="255" t="s">
        <v>516</v>
      </c>
      <c r="K66" s="252">
        <v>1</v>
      </c>
      <c r="L66" s="252">
        <f>VLOOKUP(I66,Voos!$K$9:$L$14,2,FALSE)</f>
        <v>632</v>
      </c>
      <c r="M66" s="256">
        <f t="shared" si="60"/>
        <v>632</v>
      </c>
      <c r="N66" s="252">
        <v>3.5</v>
      </c>
      <c r="O66" s="252">
        <f>(Diárias!C28*1.5+2*Diárias!D28)/3.5</f>
        <v>480.71428571428572</v>
      </c>
      <c r="P66" s="495">
        <f t="shared" si="61"/>
        <v>1682.5</v>
      </c>
      <c r="Q66" s="257">
        <f t="shared" si="62"/>
        <v>2314.5</v>
      </c>
      <c r="R66" s="531" t="str">
        <f t="shared" si="3"/>
        <v>4</v>
      </c>
    </row>
    <row r="67" spans="1:18" ht="29.25" customHeight="1">
      <c r="A67" s="521"/>
      <c r="B67" s="303" t="s">
        <v>569</v>
      </c>
      <c r="C67" s="515"/>
      <c r="D67" s="295"/>
      <c r="E67" s="296"/>
      <c r="F67" s="297"/>
      <c r="G67" s="297"/>
      <c r="H67" s="298"/>
      <c r="I67" s="298"/>
      <c r="J67" s="299"/>
      <c r="K67" s="296"/>
      <c r="L67" s="296"/>
      <c r="M67" s="300"/>
      <c r="N67" s="296"/>
      <c r="O67" s="300"/>
      <c r="P67" s="301"/>
      <c r="Q67" s="230">
        <f>SUM(Q10:Q66)</f>
        <v>190261.35249999992</v>
      </c>
    </row>
    <row r="68" spans="1:18" ht="29.25" customHeight="1">
      <c r="A68" s="521"/>
      <c r="B68" s="304" t="s">
        <v>144</v>
      </c>
      <c r="C68" s="516"/>
      <c r="D68" s="295"/>
      <c r="E68" s="296"/>
      <c r="F68" s="297"/>
      <c r="G68" s="297"/>
      <c r="H68" s="298"/>
      <c r="I68" s="298"/>
      <c r="J68" s="299"/>
      <c r="K68" s="296"/>
      <c r="L68" s="296"/>
      <c r="M68" s="300"/>
      <c r="N68" s="296"/>
      <c r="O68" s="300"/>
      <c r="P68" s="282">
        <f ca="1">Dados!$C$17</f>
        <v>0.44600000000000001</v>
      </c>
      <c r="Q68" s="230">
        <f ca="1">P68*Q67</f>
        <v>84856.563214999973</v>
      </c>
    </row>
    <row r="69" spans="1:18" ht="30" customHeight="1">
      <c r="A69" s="521"/>
      <c r="B69" s="291" t="s">
        <v>145</v>
      </c>
      <c r="C69" s="292"/>
      <c r="D69" s="560"/>
      <c r="E69" s="561"/>
      <c r="F69" s="562"/>
      <c r="G69" s="562"/>
      <c r="H69" s="560"/>
      <c r="I69" s="560"/>
      <c r="J69" s="561"/>
      <c r="K69" s="561"/>
      <c r="L69" s="561"/>
      <c r="M69" s="561"/>
      <c r="N69" s="563"/>
      <c r="O69" s="563"/>
      <c r="P69" s="564" t="s">
        <v>517</v>
      </c>
      <c r="Q69" s="302">
        <f ca="1">ROUND(Q68+Q67,2)</f>
        <v>275117.92</v>
      </c>
    </row>
    <row r="70" spans="1:18" ht="18" customHeight="1">
      <c r="A70" s="521"/>
      <c r="B70" s="260"/>
      <c r="C70" s="260"/>
      <c r="D70" s="260"/>
      <c r="E70" s="261"/>
      <c r="F70" s="262"/>
      <c r="G70" s="262"/>
      <c r="H70" s="260"/>
      <c r="I70" s="260"/>
      <c r="J70" s="261"/>
      <c r="K70" s="261"/>
      <c r="L70" s="261"/>
      <c r="M70" s="261"/>
      <c r="N70" s="263"/>
      <c r="O70" s="263"/>
      <c r="P70" s="264"/>
      <c r="Q70" s="265"/>
    </row>
    <row r="71" spans="1:18" ht="15" customHeight="1">
      <c r="A71" s="521"/>
      <c r="B71" s="233" t="s">
        <v>469</v>
      </c>
      <c r="C71" s="233"/>
    </row>
    <row r="72" spans="1:18" ht="15" customHeight="1">
      <c r="A72" s="521"/>
      <c r="B72" s="769" t="s">
        <v>590</v>
      </c>
      <c r="C72" s="769"/>
      <c r="D72" s="769"/>
      <c r="E72" s="769"/>
      <c r="F72" s="769"/>
      <c r="G72" s="769"/>
      <c r="H72" s="769"/>
      <c r="I72" s="769"/>
      <c r="J72" s="769"/>
      <c r="K72" s="769"/>
      <c r="L72" s="769"/>
      <c r="M72" s="769"/>
      <c r="N72" s="769"/>
      <c r="O72" s="769"/>
      <c r="P72" s="769"/>
      <c r="Q72" s="769"/>
    </row>
    <row r="73" spans="1:18" ht="15" customHeight="1">
      <c r="A73" s="521"/>
      <c r="B73" s="769" t="s">
        <v>782</v>
      </c>
      <c r="C73" s="769"/>
      <c r="D73" s="769"/>
      <c r="E73" s="769"/>
      <c r="F73" s="769"/>
      <c r="G73" s="769"/>
      <c r="H73" s="769"/>
      <c r="I73" s="769"/>
      <c r="J73" s="769"/>
      <c r="K73" s="769"/>
      <c r="L73" s="769"/>
      <c r="M73" s="769"/>
      <c r="N73" s="769"/>
      <c r="O73" s="769"/>
      <c r="P73" s="769"/>
      <c r="Q73" s="769"/>
    </row>
    <row r="74" spans="1:18" ht="30.75" customHeight="1">
      <c r="A74" s="521"/>
      <c r="B74" s="769" t="str">
        <f>"(3) Previsão de inspeção de campo com duração de "&amp;Dados!C15&amp;" semanas no total, sendo 1 semana para cada segmento, considerando a chegada no domingo e o retorno no sábado (6 pernoites), com a origem nas possíveis cidades sede e o destino nas capitais dos traçados."</f>
        <v>(3) Previsão de inspeção de campo com duração de 3 semanas no total, sendo 1 semana para cada segmento, considerando a chegada no domingo e o retorno no sábado (6 pernoites), com a origem nas possíveis cidades sede e o destino nas capitais dos traçados.</v>
      </c>
      <c r="C74" s="769"/>
      <c r="D74" s="769"/>
      <c r="E74" s="769"/>
      <c r="F74" s="769"/>
      <c r="G74" s="769"/>
      <c r="H74" s="769"/>
      <c r="I74" s="769"/>
      <c r="J74" s="769"/>
      <c r="K74" s="769"/>
      <c r="L74" s="769"/>
      <c r="M74" s="769"/>
      <c r="N74" s="769"/>
      <c r="O74" s="769"/>
      <c r="P74" s="769"/>
      <c r="Q74" s="769"/>
    </row>
    <row r="75" spans="1:18" ht="15" customHeight="1">
      <c r="A75" s="521"/>
      <c r="B75" s="769" t="s">
        <v>783</v>
      </c>
      <c r="C75" s="769"/>
      <c r="D75" s="769"/>
      <c r="E75" s="769"/>
      <c r="F75" s="769"/>
      <c r="G75" s="769"/>
      <c r="H75" s="769"/>
      <c r="I75" s="769"/>
      <c r="J75" s="769"/>
      <c r="K75" s="769"/>
      <c r="L75" s="769"/>
      <c r="M75" s="769"/>
      <c r="N75" s="769"/>
      <c r="O75" s="769"/>
      <c r="P75" s="769"/>
      <c r="Q75" s="769"/>
    </row>
    <row r="76" spans="1:18" ht="15" customHeight="1">
      <c r="A76" s="521"/>
      <c r="B76" s="634" t="s">
        <v>779</v>
      </c>
      <c r="C76" s="619"/>
      <c r="D76" s="619"/>
      <c r="E76" s="619"/>
      <c r="F76" s="619"/>
      <c r="G76" s="619"/>
      <c r="H76" s="619"/>
      <c r="I76" s="619"/>
      <c r="J76" s="619"/>
      <c r="K76" s="619"/>
      <c r="L76" s="619"/>
      <c r="M76" s="619"/>
      <c r="N76" s="619"/>
      <c r="O76" s="619"/>
      <c r="P76" s="619"/>
      <c r="Q76" s="619"/>
    </row>
    <row r="77" spans="1:18" ht="15" customHeight="1">
      <c r="A77" s="521"/>
      <c r="B77" s="634" t="s">
        <v>780</v>
      </c>
      <c r="C77" s="619"/>
      <c r="D77" s="619"/>
      <c r="E77" s="619"/>
      <c r="F77" s="619"/>
      <c r="G77" s="619"/>
      <c r="H77" s="619"/>
      <c r="I77" s="619"/>
      <c r="J77" s="619"/>
      <c r="K77" s="619"/>
      <c r="L77" s="619"/>
      <c r="M77" s="619"/>
      <c r="N77" s="619"/>
      <c r="O77" s="619"/>
      <c r="P77" s="619"/>
      <c r="Q77" s="619"/>
    </row>
    <row r="78" spans="1:18" ht="15" customHeight="1">
      <c r="A78" s="521"/>
      <c r="B78" s="634" t="s">
        <v>781</v>
      </c>
      <c r="C78" s="619"/>
      <c r="D78" s="619"/>
      <c r="E78" s="619"/>
      <c r="F78" s="619"/>
      <c r="G78" s="619"/>
      <c r="H78" s="619"/>
      <c r="I78" s="619"/>
      <c r="J78" s="619"/>
      <c r="K78" s="619"/>
      <c r="L78" s="619"/>
      <c r="M78" s="619"/>
      <c r="N78" s="619"/>
      <c r="O78" s="619"/>
      <c r="P78" s="619"/>
      <c r="Q78" s="619"/>
    </row>
    <row r="79" spans="1:18" ht="42.75" customHeight="1">
      <c r="A79" s="521"/>
      <c r="B79" s="769" t="s">
        <v>778</v>
      </c>
      <c r="C79" s="769"/>
      <c r="D79" s="769"/>
      <c r="E79" s="769"/>
      <c r="F79" s="769"/>
      <c r="G79" s="769"/>
      <c r="H79" s="769"/>
      <c r="I79" s="769"/>
      <c r="J79" s="769"/>
      <c r="K79" s="769"/>
      <c r="L79" s="769"/>
      <c r="M79" s="769"/>
      <c r="N79" s="769"/>
      <c r="O79" s="769"/>
      <c r="P79" s="769"/>
      <c r="Q79" s="769"/>
    </row>
    <row r="80" spans="1:18">
      <c r="A80" s="521"/>
    </row>
  </sheetData>
  <mergeCells count="45">
    <mergeCell ref="B43:B48"/>
    <mergeCell ref="C43:C44"/>
    <mergeCell ref="C45:C46"/>
    <mergeCell ref="C47:C48"/>
    <mergeCell ref="B55:B66"/>
    <mergeCell ref="B79:Q79"/>
    <mergeCell ref="B73:Q73"/>
    <mergeCell ref="B74:Q74"/>
    <mergeCell ref="B72:Q72"/>
    <mergeCell ref="B49:B54"/>
    <mergeCell ref="C49:C50"/>
    <mergeCell ref="C51:C52"/>
    <mergeCell ref="C53:C54"/>
    <mergeCell ref="B75:Q75"/>
    <mergeCell ref="C55:C58"/>
    <mergeCell ref="C59:C62"/>
    <mergeCell ref="C63:C66"/>
    <mergeCell ref="C19:C21"/>
    <mergeCell ref="B3:M3"/>
    <mergeCell ref="B6:D6"/>
    <mergeCell ref="B7:B9"/>
    <mergeCell ref="D7:D9"/>
    <mergeCell ref="E7:E9"/>
    <mergeCell ref="F7:F9"/>
    <mergeCell ref="G7:G8"/>
    <mergeCell ref="J8:J9"/>
    <mergeCell ref="H7:M7"/>
    <mergeCell ref="H8:H9"/>
    <mergeCell ref="I8:I9"/>
    <mergeCell ref="Q7:Q8"/>
    <mergeCell ref="C28:C32"/>
    <mergeCell ref="N7:P7"/>
    <mergeCell ref="B28:B42"/>
    <mergeCell ref="C33:C37"/>
    <mergeCell ref="C38:C42"/>
    <mergeCell ref="C7:C9"/>
    <mergeCell ref="C26:C27"/>
    <mergeCell ref="C10:C12"/>
    <mergeCell ref="B22:B27"/>
    <mergeCell ref="C22:C23"/>
    <mergeCell ref="C24:C25"/>
    <mergeCell ref="B10:B12"/>
    <mergeCell ref="C13:C15"/>
    <mergeCell ref="B13:B21"/>
    <mergeCell ref="C16:C18"/>
  </mergeCells>
  <phoneticPr fontId="19" type="noConversion"/>
  <printOptions horizontalCentered="1"/>
  <pageMargins left="0.39370078740157483" right="0.39370078740157483" top="0.59055118110236227" bottom="0.39370078740157483" header="0.31496062992125984" footer="0.31496062992125984"/>
  <pageSetup paperSize="9" scale="68" fitToHeight="3" orientation="landscape" r:id="rId1"/>
  <rowBreaks count="1" manualBreakCount="1">
    <brk id="62" min="1" max="16" man="1"/>
  </rowBreaks>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067E6-997C-4F7F-8DAE-E4E144D0A005}">
  <sheetPr>
    <tabColor theme="1"/>
  </sheetPr>
  <dimension ref="A1:J6"/>
  <sheetViews>
    <sheetView workbookViewId="0"/>
  </sheetViews>
  <sheetFormatPr defaultRowHeight="18.75"/>
  <cols>
    <col min="1" max="9" width="9.140625" style="202"/>
    <col min="10" max="10" width="15.28515625" style="202" customWidth="1"/>
    <col min="11" max="16384" width="9.140625" style="202"/>
  </cols>
  <sheetData>
    <row r="1" spans="1:10">
      <c r="A1" s="201"/>
      <c r="B1" s="201"/>
      <c r="C1" s="201"/>
      <c r="D1" s="201"/>
      <c r="E1" s="201"/>
      <c r="F1" s="201"/>
      <c r="G1" s="201"/>
      <c r="H1" s="201"/>
      <c r="I1" s="201"/>
      <c r="J1" s="201"/>
    </row>
    <row r="2" spans="1:10">
      <c r="A2" s="201"/>
      <c r="B2" s="201" t="s">
        <v>484</v>
      </c>
      <c r="C2" s="201"/>
      <c r="D2" s="201"/>
      <c r="E2" s="201"/>
      <c r="F2" s="201"/>
      <c r="G2" s="201"/>
      <c r="H2" s="201"/>
      <c r="I2" s="201"/>
      <c r="J2" s="201"/>
    </row>
    <row r="3" spans="1:10" ht="31.5" customHeight="1">
      <c r="A3" s="201"/>
      <c r="B3" s="200" t="s">
        <v>485</v>
      </c>
      <c r="C3" s="200"/>
      <c r="D3" s="200"/>
      <c r="E3" s="200"/>
      <c r="F3" s="200"/>
      <c r="G3" s="200"/>
      <c r="H3" s="200"/>
      <c r="I3" s="200"/>
      <c r="J3" s="200"/>
    </row>
    <row r="4" spans="1:10" ht="25.5" customHeight="1">
      <c r="A4" s="201"/>
      <c r="B4" s="200" t="s">
        <v>486</v>
      </c>
      <c r="C4" s="200"/>
      <c r="D4" s="200"/>
      <c r="E4" s="200"/>
      <c r="F4" s="200"/>
      <c r="G4" s="200"/>
      <c r="H4" s="200"/>
      <c r="I4" s="200"/>
      <c r="J4" s="200"/>
    </row>
    <row r="5" spans="1:10" ht="25.5" customHeight="1">
      <c r="A5" s="201"/>
      <c r="B5" s="200" t="s">
        <v>570</v>
      </c>
      <c r="C5" s="200"/>
      <c r="D5" s="200"/>
      <c r="E5" s="200"/>
      <c r="F5" s="200"/>
      <c r="G5" s="200"/>
      <c r="H5" s="200"/>
      <c r="I5" s="200"/>
      <c r="J5" s="200"/>
    </row>
    <row r="6" spans="1:10">
      <c r="A6" s="201"/>
      <c r="B6" s="201"/>
      <c r="C6" s="201"/>
      <c r="D6" s="201"/>
      <c r="E6" s="201"/>
      <c r="F6" s="201"/>
      <c r="G6" s="201"/>
      <c r="H6" s="201"/>
      <c r="I6" s="201"/>
      <c r="J6" s="201"/>
    </row>
  </sheetData>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1446-3243-4CCD-ABDB-02A1F3883491}">
  <sheetPr>
    <tabColor rgb="FFFFC000"/>
  </sheetPr>
  <dimension ref="A1:L44"/>
  <sheetViews>
    <sheetView topLeftCell="A7" workbookViewId="0">
      <selection activeCell="D27" sqref="D27"/>
    </sheetView>
  </sheetViews>
  <sheetFormatPr defaultRowHeight="15" customHeight="1"/>
  <cols>
    <col min="1" max="1" width="15.42578125" style="182" customWidth="1"/>
    <col min="2" max="2" width="15.85546875" style="182" customWidth="1"/>
    <col min="3" max="6" width="15.5703125" style="182" customWidth="1"/>
    <col min="7" max="7" width="13.85546875" style="182" bestFit="1" customWidth="1"/>
    <col min="8" max="8" width="9.140625" style="182"/>
    <col min="9" max="9" width="52.28515625" style="182" customWidth="1"/>
    <col min="10" max="12" width="18" style="182" customWidth="1"/>
    <col min="13" max="16384" width="9.140625" style="182"/>
  </cols>
  <sheetData>
    <row r="1" spans="1:12" ht="21" customHeight="1">
      <c r="A1" s="195" t="s">
        <v>469</v>
      </c>
      <c r="B1" s="193" t="s">
        <v>477</v>
      </c>
      <c r="C1" s="192"/>
      <c r="D1" s="192"/>
      <c r="E1" s="192"/>
      <c r="F1" s="192"/>
      <c r="G1" s="192"/>
    </row>
    <row r="2" spans="1:12" ht="21" customHeight="1">
      <c r="A2" s="196"/>
      <c r="B2" s="194" t="s">
        <v>478</v>
      </c>
      <c r="C2" s="192"/>
      <c r="D2" s="192"/>
      <c r="E2" s="192"/>
      <c r="F2" s="192"/>
      <c r="G2" s="192"/>
    </row>
    <row r="3" spans="1:12" ht="21" customHeight="1">
      <c r="A3" s="196"/>
      <c r="B3" s="194" t="s">
        <v>482</v>
      </c>
      <c r="C3" s="192"/>
      <c r="D3" s="192"/>
      <c r="E3" s="192"/>
      <c r="F3" s="192"/>
      <c r="G3" s="192"/>
    </row>
    <row r="4" spans="1:12" ht="21" customHeight="1">
      <c r="A4" s="196"/>
      <c r="B4" s="194" t="s">
        <v>481</v>
      </c>
      <c r="C4" s="192"/>
      <c r="D4" s="192"/>
      <c r="E4" s="192"/>
      <c r="F4" s="192"/>
      <c r="G4" s="192"/>
    </row>
    <row r="5" spans="1:12" ht="17.25" customHeight="1">
      <c r="A5" s="190"/>
    </row>
    <row r="6" spans="1:12" ht="29.25" customHeight="1">
      <c r="A6" s="770" t="s">
        <v>334</v>
      </c>
      <c r="B6" s="770" t="s">
        <v>393</v>
      </c>
      <c r="C6" s="770" t="s">
        <v>483</v>
      </c>
      <c r="D6" s="770"/>
      <c r="E6" s="770" t="s">
        <v>476</v>
      </c>
      <c r="F6" s="770"/>
      <c r="I6" s="437" t="s">
        <v>603</v>
      </c>
      <c r="J6" s="133"/>
      <c r="K6" s="133"/>
      <c r="L6" s="133"/>
    </row>
    <row r="7" spans="1:12" ht="44.25" customHeight="1">
      <c r="A7" s="771"/>
      <c r="B7" s="771"/>
      <c r="C7" s="197" t="s">
        <v>479</v>
      </c>
      <c r="D7" s="197" t="s">
        <v>480</v>
      </c>
      <c r="E7" s="197" t="s">
        <v>479</v>
      </c>
      <c r="F7" s="197" t="s">
        <v>480</v>
      </c>
      <c r="I7" s="189" t="s">
        <v>445</v>
      </c>
      <c r="J7" s="189" t="s">
        <v>471</v>
      </c>
      <c r="K7" s="189" t="s">
        <v>446</v>
      </c>
      <c r="L7" s="189" t="s">
        <v>447</v>
      </c>
    </row>
    <row r="8" spans="1:12" ht="15" customHeight="1">
      <c r="A8" s="198" t="s">
        <v>394</v>
      </c>
      <c r="B8" s="306" t="s">
        <v>395</v>
      </c>
      <c r="C8" s="198">
        <f>J10</f>
        <v>600</v>
      </c>
      <c r="D8" s="198">
        <f t="shared" ref="D8:D34" si="0">$L$10</f>
        <v>455</v>
      </c>
      <c r="E8" s="198">
        <f>$J$11</f>
        <v>425</v>
      </c>
      <c r="F8" s="198">
        <f t="shared" ref="F8:F34" si="1">$L$11</f>
        <v>335</v>
      </c>
      <c r="I8" s="189" t="s">
        <v>472</v>
      </c>
      <c r="J8" s="189">
        <v>900</v>
      </c>
      <c r="K8" s="189">
        <v>800</v>
      </c>
      <c r="L8" s="189">
        <v>750</v>
      </c>
    </row>
    <row r="9" spans="1:12" ht="15" customHeight="1">
      <c r="A9" s="198" t="s">
        <v>396</v>
      </c>
      <c r="B9" s="306" t="s">
        <v>397</v>
      </c>
      <c r="C9" s="198">
        <f>J10</f>
        <v>600</v>
      </c>
      <c r="D9" s="198">
        <f t="shared" si="0"/>
        <v>455</v>
      </c>
      <c r="E9" s="198">
        <f>$J$11</f>
        <v>425</v>
      </c>
      <c r="F9" s="198">
        <f t="shared" si="1"/>
        <v>335</v>
      </c>
      <c r="I9" s="189" t="s">
        <v>473</v>
      </c>
      <c r="J9" s="189">
        <v>800</v>
      </c>
      <c r="K9" s="189">
        <v>700</v>
      </c>
      <c r="L9" s="189">
        <v>650</v>
      </c>
    </row>
    <row r="10" spans="1:12" ht="15" customHeight="1">
      <c r="A10" s="198" t="s">
        <v>398</v>
      </c>
      <c r="B10" s="306" t="s">
        <v>399</v>
      </c>
      <c r="C10" s="198">
        <f>J10</f>
        <v>600</v>
      </c>
      <c r="D10" s="198">
        <f t="shared" si="0"/>
        <v>455</v>
      </c>
      <c r="E10" s="198">
        <f>$J$11</f>
        <v>425</v>
      </c>
      <c r="F10" s="198">
        <f t="shared" si="1"/>
        <v>335</v>
      </c>
      <c r="I10" s="189" t="s">
        <v>474</v>
      </c>
      <c r="J10" s="189">
        <v>600</v>
      </c>
      <c r="K10" s="189">
        <v>515</v>
      </c>
      <c r="L10" s="189">
        <v>455</v>
      </c>
    </row>
    <row r="11" spans="1:12" ht="15" customHeight="1">
      <c r="A11" s="198" t="s">
        <v>400</v>
      </c>
      <c r="B11" s="306" t="s">
        <v>401</v>
      </c>
      <c r="C11" s="198">
        <f>$K$10</f>
        <v>515</v>
      </c>
      <c r="D11" s="198">
        <f t="shared" si="0"/>
        <v>455</v>
      </c>
      <c r="E11" s="198">
        <f>$K$11</f>
        <v>380</v>
      </c>
      <c r="F11" s="198">
        <f t="shared" si="1"/>
        <v>335</v>
      </c>
      <c r="I11" s="189" t="s">
        <v>475</v>
      </c>
      <c r="J11" s="189">
        <v>425</v>
      </c>
      <c r="K11" s="189">
        <v>380</v>
      </c>
      <c r="L11" s="189">
        <v>335</v>
      </c>
    </row>
    <row r="12" spans="1:12" ht="15" customHeight="1">
      <c r="A12" s="198" t="s">
        <v>402</v>
      </c>
      <c r="B12" s="306" t="s">
        <v>403</v>
      </c>
      <c r="C12" s="198">
        <f>$K$10</f>
        <v>515</v>
      </c>
      <c r="D12" s="198">
        <f t="shared" si="0"/>
        <v>455</v>
      </c>
      <c r="E12" s="198">
        <f>$K$11</f>
        <v>380</v>
      </c>
      <c r="F12" s="198">
        <f t="shared" si="1"/>
        <v>335</v>
      </c>
    </row>
    <row r="13" spans="1:12" ht="15" customHeight="1">
      <c r="A13" s="198" t="s">
        <v>404</v>
      </c>
      <c r="B13" s="306" t="s">
        <v>405</v>
      </c>
      <c r="C13" s="198">
        <f>$K$10</f>
        <v>515</v>
      </c>
      <c r="D13" s="198">
        <f t="shared" si="0"/>
        <v>455</v>
      </c>
      <c r="E13" s="198">
        <f>$K$11</f>
        <v>380</v>
      </c>
      <c r="F13" s="198">
        <f t="shared" si="1"/>
        <v>335</v>
      </c>
      <c r="I13" s="438" t="s">
        <v>604</v>
      </c>
      <c r="J13" s="191"/>
      <c r="K13" s="191"/>
      <c r="L13" s="191"/>
    </row>
    <row r="14" spans="1:12" ht="15" customHeight="1">
      <c r="A14" s="198" t="s">
        <v>406</v>
      </c>
      <c r="B14" s="306" t="s">
        <v>407</v>
      </c>
      <c r="C14" s="198">
        <f>$K$10</f>
        <v>515</v>
      </c>
      <c r="D14" s="198">
        <f t="shared" si="0"/>
        <v>455</v>
      </c>
      <c r="E14" s="198">
        <f>$K$11</f>
        <v>380</v>
      </c>
      <c r="F14" s="198">
        <f t="shared" si="1"/>
        <v>335</v>
      </c>
    </row>
    <row r="15" spans="1:12" ht="15" customHeight="1">
      <c r="A15" s="198" t="s">
        <v>408</v>
      </c>
      <c r="B15" s="306" t="s">
        <v>409</v>
      </c>
      <c r="C15" s="198">
        <f>$K$10</f>
        <v>515</v>
      </c>
      <c r="D15" s="198">
        <f t="shared" si="0"/>
        <v>455</v>
      </c>
      <c r="E15" s="198">
        <f>$K$11</f>
        <v>380</v>
      </c>
      <c r="F15" s="198">
        <f t="shared" si="1"/>
        <v>335</v>
      </c>
    </row>
    <row r="16" spans="1:12" ht="15" customHeight="1">
      <c r="A16" s="198" t="s">
        <v>388</v>
      </c>
      <c r="B16" s="306" t="s">
        <v>392</v>
      </c>
      <c r="C16" s="198">
        <f>J10</f>
        <v>600</v>
      </c>
      <c r="D16" s="198">
        <f t="shared" si="0"/>
        <v>455</v>
      </c>
      <c r="E16" s="198">
        <f>$J$11</f>
        <v>425</v>
      </c>
      <c r="F16" s="198">
        <f t="shared" si="1"/>
        <v>335</v>
      </c>
    </row>
    <row r="17" spans="1:6" ht="15" customHeight="1">
      <c r="A17" s="198" t="s">
        <v>410</v>
      </c>
      <c r="B17" s="306" t="s">
        <v>411</v>
      </c>
      <c r="C17" s="198">
        <f t="shared" ref="C17:C34" si="2">$K$10</f>
        <v>515</v>
      </c>
      <c r="D17" s="198">
        <f t="shared" si="0"/>
        <v>455</v>
      </c>
      <c r="E17" s="198">
        <f t="shared" ref="E17:E34" si="3">$K$11</f>
        <v>380</v>
      </c>
      <c r="F17" s="198">
        <f t="shared" si="1"/>
        <v>335</v>
      </c>
    </row>
    <row r="18" spans="1:6" ht="15" customHeight="1">
      <c r="A18" s="198" t="s">
        <v>412</v>
      </c>
      <c r="B18" s="306" t="s">
        <v>413</v>
      </c>
      <c r="C18" s="198">
        <f t="shared" si="2"/>
        <v>515</v>
      </c>
      <c r="D18" s="198">
        <f t="shared" si="0"/>
        <v>455</v>
      </c>
      <c r="E18" s="198">
        <f t="shared" si="3"/>
        <v>380</v>
      </c>
      <c r="F18" s="198">
        <f t="shared" si="1"/>
        <v>335</v>
      </c>
    </row>
    <row r="19" spans="1:6" ht="15" customHeight="1">
      <c r="A19" s="198" t="s">
        <v>414</v>
      </c>
      <c r="B19" s="306" t="s">
        <v>415</v>
      </c>
      <c r="C19" s="198">
        <f t="shared" si="2"/>
        <v>515</v>
      </c>
      <c r="D19" s="198">
        <f t="shared" si="0"/>
        <v>455</v>
      </c>
      <c r="E19" s="198">
        <f t="shared" si="3"/>
        <v>380</v>
      </c>
      <c r="F19" s="198">
        <f t="shared" si="1"/>
        <v>335</v>
      </c>
    </row>
    <row r="20" spans="1:6" ht="15" customHeight="1">
      <c r="A20" s="198" t="s">
        <v>416</v>
      </c>
      <c r="B20" s="306" t="s">
        <v>381</v>
      </c>
      <c r="C20" s="198">
        <f t="shared" si="2"/>
        <v>515</v>
      </c>
      <c r="D20" s="198">
        <f t="shared" si="0"/>
        <v>455</v>
      </c>
      <c r="E20" s="198">
        <f t="shared" si="3"/>
        <v>380</v>
      </c>
      <c r="F20" s="198">
        <f t="shared" si="1"/>
        <v>335</v>
      </c>
    </row>
    <row r="21" spans="1:6" ht="15" customHeight="1">
      <c r="A21" s="198" t="s">
        <v>417</v>
      </c>
      <c r="B21" s="306" t="s">
        <v>418</v>
      </c>
      <c r="C21" s="198">
        <f t="shared" si="2"/>
        <v>515</v>
      </c>
      <c r="D21" s="198">
        <f t="shared" si="0"/>
        <v>455</v>
      </c>
      <c r="E21" s="198">
        <f t="shared" si="3"/>
        <v>380</v>
      </c>
      <c r="F21" s="198">
        <f t="shared" si="1"/>
        <v>335</v>
      </c>
    </row>
    <row r="22" spans="1:6" ht="15" customHeight="1">
      <c r="A22" s="198" t="s">
        <v>419</v>
      </c>
      <c r="B22" s="306" t="s">
        <v>420</v>
      </c>
      <c r="C22" s="198">
        <f t="shared" si="2"/>
        <v>515</v>
      </c>
      <c r="D22" s="198">
        <f t="shared" si="0"/>
        <v>455</v>
      </c>
      <c r="E22" s="198">
        <f t="shared" si="3"/>
        <v>380</v>
      </c>
      <c r="F22" s="198">
        <f t="shared" si="1"/>
        <v>335</v>
      </c>
    </row>
    <row r="23" spans="1:6" ht="15" customHeight="1">
      <c r="A23" s="198" t="s">
        <v>421</v>
      </c>
      <c r="B23" s="306" t="s">
        <v>422</v>
      </c>
      <c r="C23" s="198">
        <f t="shared" si="2"/>
        <v>515</v>
      </c>
      <c r="D23" s="198">
        <f t="shared" si="0"/>
        <v>455</v>
      </c>
      <c r="E23" s="198">
        <f t="shared" si="3"/>
        <v>380</v>
      </c>
      <c r="F23" s="198">
        <f t="shared" si="1"/>
        <v>335</v>
      </c>
    </row>
    <row r="24" spans="1:6" ht="15" customHeight="1">
      <c r="A24" s="198" t="s">
        <v>423</v>
      </c>
      <c r="B24" s="306" t="s">
        <v>424</v>
      </c>
      <c r="C24" s="198">
        <f t="shared" si="2"/>
        <v>515</v>
      </c>
      <c r="D24" s="198">
        <f t="shared" si="0"/>
        <v>455</v>
      </c>
      <c r="E24" s="198">
        <f t="shared" si="3"/>
        <v>380</v>
      </c>
      <c r="F24" s="198">
        <f t="shared" si="1"/>
        <v>335</v>
      </c>
    </row>
    <row r="25" spans="1:6" ht="15" customHeight="1">
      <c r="A25" s="198" t="s">
        <v>425</v>
      </c>
      <c r="B25" s="306" t="s">
        <v>426</v>
      </c>
      <c r="C25" s="198">
        <f t="shared" si="2"/>
        <v>515</v>
      </c>
      <c r="D25" s="198">
        <f t="shared" si="0"/>
        <v>455</v>
      </c>
      <c r="E25" s="198">
        <f t="shared" si="3"/>
        <v>380</v>
      </c>
      <c r="F25" s="198">
        <f t="shared" si="1"/>
        <v>335</v>
      </c>
    </row>
    <row r="26" spans="1:6" ht="15" customHeight="1">
      <c r="A26" s="198" t="s">
        <v>427</v>
      </c>
      <c r="B26" s="306" t="s">
        <v>428</v>
      </c>
      <c r="C26" s="198">
        <f t="shared" si="2"/>
        <v>515</v>
      </c>
      <c r="D26" s="198">
        <f t="shared" si="0"/>
        <v>455</v>
      </c>
      <c r="E26" s="198">
        <f t="shared" si="3"/>
        <v>380</v>
      </c>
      <c r="F26" s="198">
        <f t="shared" si="1"/>
        <v>335</v>
      </c>
    </row>
    <row r="27" spans="1:6" ht="15" customHeight="1">
      <c r="A27" s="198" t="s">
        <v>429</v>
      </c>
      <c r="B27" s="306" t="s">
        <v>430</v>
      </c>
      <c r="C27" s="198">
        <f t="shared" si="2"/>
        <v>515</v>
      </c>
      <c r="D27" s="198">
        <f t="shared" si="0"/>
        <v>455</v>
      </c>
      <c r="E27" s="198">
        <f t="shared" si="3"/>
        <v>380</v>
      </c>
      <c r="F27" s="198">
        <f t="shared" si="1"/>
        <v>335</v>
      </c>
    </row>
    <row r="28" spans="1:6" ht="15" customHeight="1">
      <c r="A28" s="198" t="s">
        <v>431</v>
      </c>
      <c r="B28" s="306" t="s">
        <v>432</v>
      </c>
      <c r="C28" s="198">
        <f t="shared" si="2"/>
        <v>515</v>
      </c>
      <c r="D28" s="198">
        <f t="shared" si="0"/>
        <v>455</v>
      </c>
      <c r="E28" s="198">
        <f t="shared" si="3"/>
        <v>380</v>
      </c>
      <c r="F28" s="198">
        <f t="shared" si="1"/>
        <v>335</v>
      </c>
    </row>
    <row r="29" spans="1:6" ht="15" customHeight="1">
      <c r="A29" s="198" t="s">
        <v>433</v>
      </c>
      <c r="B29" s="306" t="s">
        <v>434</v>
      </c>
      <c r="C29" s="198">
        <f t="shared" si="2"/>
        <v>515</v>
      </c>
      <c r="D29" s="198">
        <f t="shared" si="0"/>
        <v>455</v>
      </c>
      <c r="E29" s="198">
        <f t="shared" si="3"/>
        <v>380</v>
      </c>
      <c r="F29" s="198">
        <f t="shared" si="1"/>
        <v>335</v>
      </c>
    </row>
    <row r="30" spans="1:6" ht="15" customHeight="1">
      <c r="A30" s="198" t="s">
        <v>435</v>
      </c>
      <c r="B30" s="306" t="s">
        <v>436</v>
      </c>
      <c r="C30" s="198">
        <f t="shared" si="2"/>
        <v>515</v>
      </c>
      <c r="D30" s="198">
        <f t="shared" si="0"/>
        <v>455</v>
      </c>
      <c r="E30" s="198">
        <f t="shared" si="3"/>
        <v>380</v>
      </c>
      <c r="F30" s="198">
        <f t="shared" si="1"/>
        <v>335</v>
      </c>
    </row>
    <row r="31" spans="1:6" ht="15" customHeight="1">
      <c r="A31" s="198" t="s">
        <v>437</v>
      </c>
      <c r="B31" s="306" t="s">
        <v>438</v>
      </c>
      <c r="C31" s="198">
        <f t="shared" si="2"/>
        <v>515</v>
      </c>
      <c r="D31" s="198">
        <f t="shared" si="0"/>
        <v>455</v>
      </c>
      <c r="E31" s="198">
        <f t="shared" si="3"/>
        <v>380</v>
      </c>
      <c r="F31" s="198">
        <f t="shared" si="1"/>
        <v>335</v>
      </c>
    </row>
    <row r="32" spans="1:6" ht="15" customHeight="1">
      <c r="A32" s="198" t="s">
        <v>439</v>
      </c>
      <c r="B32" s="306" t="s">
        <v>440</v>
      </c>
      <c r="C32" s="198">
        <f t="shared" si="2"/>
        <v>515</v>
      </c>
      <c r="D32" s="198">
        <f t="shared" si="0"/>
        <v>455</v>
      </c>
      <c r="E32" s="198">
        <f t="shared" si="3"/>
        <v>380</v>
      </c>
      <c r="F32" s="198">
        <f t="shared" si="1"/>
        <v>335</v>
      </c>
    </row>
    <row r="33" spans="1:6" ht="15" customHeight="1">
      <c r="A33" s="198" t="s">
        <v>441</v>
      </c>
      <c r="B33" s="306" t="s">
        <v>442</v>
      </c>
      <c r="C33" s="198">
        <f t="shared" si="2"/>
        <v>515</v>
      </c>
      <c r="D33" s="198">
        <f t="shared" si="0"/>
        <v>455</v>
      </c>
      <c r="E33" s="198">
        <f t="shared" si="3"/>
        <v>380</v>
      </c>
      <c r="F33" s="198">
        <f t="shared" si="1"/>
        <v>335</v>
      </c>
    </row>
    <row r="34" spans="1:6" ht="15" customHeight="1">
      <c r="A34" s="198" t="s">
        <v>443</v>
      </c>
      <c r="B34" s="306" t="s">
        <v>444</v>
      </c>
      <c r="C34" s="198">
        <f t="shared" si="2"/>
        <v>515</v>
      </c>
      <c r="D34" s="198">
        <f t="shared" si="0"/>
        <v>455</v>
      </c>
      <c r="E34" s="198">
        <f t="shared" si="3"/>
        <v>380</v>
      </c>
      <c r="F34" s="198">
        <f t="shared" si="1"/>
        <v>335</v>
      </c>
    </row>
    <row r="35" spans="1:6" ht="15" customHeight="1">
      <c r="A35" s="198"/>
      <c r="B35" s="307" t="s">
        <v>557</v>
      </c>
      <c r="C35" s="198">
        <v>455</v>
      </c>
      <c r="D35" s="198">
        <f>D34</f>
        <v>455</v>
      </c>
      <c r="E35" s="198">
        <f>F35</f>
        <v>335</v>
      </c>
      <c r="F35" s="198">
        <f>F34</f>
        <v>335</v>
      </c>
    </row>
    <row r="36" spans="1:6" ht="15" customHeight="1">
      <c r="B36" s="182" t="s">
        <v>614</v>
      </c>
      <c r="C36" s="182">
        <v>515</v>
      </c>
    </row>
    <row r="44" spans="1:6" ht="15" customHeight="1">
      <c r="E44" s="191"/>
    </row>
  </sheetData>
  <mergeCells count="4">
    <mergeCell ref="C6:D6"/>
    <mergeCell ref="B6:B7"/>
    <mergeCell ref="A6:A7"/>
    <mergeCell ref="E6:F6"/>
  </mergeCells>
  <hyperlinks>
    <hyperlink ref="I6" r:id="rId1" display="http://legislacao.planalto.gov.br/legisla/legislacao.nsf/Viw_Identificacao/DEC 11.872-2023?OpenDocument" xr:uid="{5FB5B38C-5100-49F2-9DD5-C1E8FB42B7A2}"/>
    <hyperlink ref="I13" r:id="rId2" location="art1" xr:uid="{97FB485E-578B-4028-94A8-95C1F0069E57}"/>
  </hyperlinks>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F635-E9C7-4E81-B570-A3C2E67C4703}">
  <sheetPr>
    <tabColor rgb="FFFFC000"/>
  </sheetPr>
  <dimension ref="B1:N37"/>
  <sheetViews>
    <sheetView workbookViewId="0">
      <selection activeCell="J14" sqref="J14"/>
    </sheetView>
  </sheetViews>
  <sheetFormatPr defaultColWidth="9.140625" defaultRowHeight="15"/>
  <cols>
    <col min="1" max="1" width="1.7109375" style="141" customWidth="1"/>
    <col min="2" max="2" width="13" style="141" customWidth="1"/>
    <col min="3" max="3" width="16.28515625" style="141" customWidth="1"/>
    <col min="4" max="4" width="11.140625" style="141" customWidth="1"/>
    <col min="5" max="5" width="6.7109375" style="141" customWidth="1"/>
    <col min="6" max="8" width="11.140625" style="141" customWidth="1"/>
    <col min="9" max="9" width="10" style="141" customWidth="1"/>
    <col min="10" max="10" width="16" style="174" customWidth="1"/>
    <col min="11" max="11" width="19.5703125" style="141" bestFit="1" customWidth="1"/>
    <col min="12" max="12" width="14.140625" style="141" customWidth="1"/>
    <col min="13" max="13" width="9.5703125" style="141" customWidth="1"/>
    <col min="14" max="14" width="5.5703125" style="141" customWidth="1"/>
    <col min="15" max="16384" width="9.140625" style="141"/>
  </cols>
  <sheetData>
    <row r="1" spans="2:14" ht="7.5" customHeight="1"/>
    <row r="2" spans="2:14" ht="19.5" customHeight="1">
      <c r="B2" s="183" t="s">
        <v>469</v>
      </c>
      <c r="C2" s="183" t="s">
        <v>521</v>
      </c>
      <c r="D2" s="183"/>
      <c r="E2" s="183"/>
      <c r="F2" s="183"/>
      <c r="G2" s="183"/>
      <c r="H2" s="188"/>
      <c r="J2" s="141"/>
    </row>
    <row r="3" spans="2:14" ht="19.5" customHeight="1">
      <c r="B3" s="183"/>
      <c r="C3" s="183" t="s">
        <v>470</v>
      </c>
      <c r="D3" s="183"/>
      <c r="E3" s="183"/>
      <c r="F3" s="183"/>
      <c r="G3" s="183"/>
      <c r="H3" s="188"/>
      <c r="J3" s="141"/>
    </row>
    <row r="4" spans="2:14" ht="19.5" customHeight="1">
      <c r="B4" s="183"/>
      <c r="C4" s="183" t="s">
        <v>468</v>
      </c>
      <c r="D4" s="183"/>
      <c r="E4" s="183"/>
      <c r="F4" s="183"/>
      <c r="G4" s="183"/>
      <c r="H4" s="188"/>
      <c r="J4" s="141"/>
    </row>
    <row r="5" spans="2:14" ht="19.5" customHeight="1">
      <c r="B5" s="183"/>
      <c r="C5" s="183" t="s">
        <v>520</v>
      </c>
      <c r="D5" s="183"/>
      <c r="E5" s="183"/>
      <c r="F5" s="183"/>
      <c r="G5" s="183"/>
      <c r="H5" s="188"/>
      <c r="J5" s="141"/>
    </row>
    <row r="6" spans="2:14" ht="30" customHeight="1">
      <c r="B6" s="169"/>
      <c r="C6" s="170"/>
      <c r="D6" s="170"/>
      <c r="J6" s="141"/>
    </row>
    <row r="7" spans="2:14" ht="15.75" customHeight="1" thickBot="1">
      <c r="B7" s="184" t="s">
        <v>519</v>
      </c>
      <c r="C7" s="185"/>
      <c r="D7" s="185"/>
      <c r="E7" s="186"/>
      <c r="F7" s="186"/>
      <c r="G7" s="186"/>
      <c r="H7" s="186"/>
      <c r="J7" s="550" t="s">
        <v>556</v>
      </c>
      <c r="K7" s="551"/>
      <c r="L7" s="552"/>
    </row>
    <row r="8" spans="2:14" ht="15.75" customHeight="1" thickTop="1">
      <c r="B8" s="169"/>
      <c r="C8" s="170"/>
      <c r="D8" s="170"/>
      <c r="I8" s="139"/>
      <c r="J8" s="243" t="s">
        <v>466</v>
      </c>
      <c r="K8" s="243" t="s">
        <v>465</v>
      </c>
      <c r="L8" s="243" t="s">
        <v>383</v>
      </c>
      <c r="M8" s="139"/>
      <c r="N8" s="139"/>
    </row>
    <row r="9" spans="2:14" ht="15.75" customHeight="1">
      <c r="B9" s="171" t="s">
        <v>466</v>
      </c>
      <c r="C9" s="171" t="s">
        <v>465</v>
      </c>
      <c r="D9" s="171" t="s">
        <v>383</v>
      </c>
      <c r="F9" s="171" t="s">
        <v>385</v>
      </c>
      <c r="G9" s="171" t="s">
        <v>386</v>
      </c>
      <c r="H9" s="171" t="s">
        <v>387</v>
      </c>
      <c r="J9" s="241" t="s">
        <v>515</v>
      </c>
      <c r="K9" s="240" t="str">
        <f>C10</f>
        <v>Goiânia</v>
      </c>
      <c r="L9" s="242">
        <f>D14</f>
        <v>592.5</v>
      </c>
    </row>
    <row r="10" spans="2:14" ht="15.75" customHeight="1">
      <c r="B10" s="172" t="s">
        <v>388</v>
      </c>
      <c r="C10" s="172" t="s">
        <v>418</v>
      </c>
      <c r="D10" s="173" cm="1">
        <f t="array" ref="D10">(MIN(IF(F10:H10&gt;0,F10:H10)))</f>
        <v>415</v>
      </c>
      <c r="F10" s="214">
        <v>417</v>
      </c>
      <c r="G10" s="214">
        <v>415</v>
      </c>
      <c r="H10" s="214">
        <v>437</v>
      </c>
      <c r="J10" s="241" t="s">
        <v>515</v>
      </c>
      <c r="K10" s="240" t="str">
        <f>C17</f>
        <v>Brasília</v>
      </c>
      <c r="L10" s="242">
        <f>D21</f>
        <v>497.33333333333331</v>
      </c>
    </row>
    <row r="11" spans="2:14" ht="15.75" customHeight="1">
      <c r="B11" s="172" t="s">
        <v>391</v>
      </c>
      <c r="C11" s="172" t="s">
        <v>645</v>
      </c>
      <c r="D11" s="173" cm="1">
        <f t="array" ref="D11">(MIN(IF(F11:H11&gt;0,F11:H11)))</f>
        <v>973</v>
      </c>
      <c r="F11" s="214">
        <v>1148</v>
      </c>
      <c r="G11" s="214">
        <v>1188</v>
      </c>
      <c r="H11" s="214">
        <v>973</v>
      </c>
      <c r="J11" s="241" t="s">
        <v>515</v>
      </c>
      <c r="K11" s="240" t="str">
        <f>C24</f>
        <v>Porto Alegre</v>
      </c>
      <c r="L11" s="242">
        <f>D28</f>
        <v>784.25</v>
      </c>
    </row>
    <row r="12" spans="2:14" ht="15.75" customHeight="1">
      <c r="B12" s="172" t="s">
        <v>389</v>
      </c>
      <c r="C12" s="172" t="s">
        <v>645</v>
      </c>
      <c r="D12" s="173" cm="1">
        <f t="array" ref="D12">(MIN(IF(F12:H12&gt;0,F12:H12)))</f>
        <v>666</v>
      </c>
      <c r="F12" s="214">
        <v>666</v>
      </c>
      <c r="G12" s="214">
        <v>895</v>
      </c>
      <c r="H12" s="214">
        <v>772</v>
      </c>
      <c r="J12" s="241" t="s">
        <v>515</v>
      </c>
      <c r="K12" s="240" t="str">
        <f>C31</f>
        <v>Curitiba</v>
      </c>
      <c r="L12" s="242">
        <f>D35</f>
        <v>632</v>
      </c>
    </row>
    <row r="13" spans="2:14" ht="15.75" customHeight="1">
      <c r="B13" s="172" t="s">
        <v>390</v>
      </c>
      <c r="C13" s="172" t="s">
        <v>645</v>
      </c>
      <c r="D13" s="173" cm="1">
        <f t="array" ref="D13">(MIN(IF(F13:H13&gt;0,F13:H13)))</f>
        <v>316</v>
      </c>
      <c r="F13" s="214">
        <v>319</v>
      </c>
      <c r="G13" s="214">
        <v>316</v>
      </c>
      <c r="H13" s="214" t="s">
        <v>265</v>
      </c>
      <c r="J13" s="241" t="s">
        <v>515</v>
      </c>
      <c r="K13" s="241" t="s">
        <v>557</v>
      </c>
      <c r="L13" s="242">
        <f>D37</f>
        <v>626.52083333333326</v>
      </c>
    </row>
    <row r="14" spans="2:14" ht="15.75" customHeight="1">
      <c r="B14" s="772" t="s">
        <v>467</v>
      </c>
      <c r="C14" s="773"/>
      <c r="D14" s="187">
        <f>AVERAGEIF(D10:D13,"&gt;0",D10:D13)</f>
        <v>592.5</v>
      </c>
      <c r="F14" s="215"/>
      <c r="G14" s="215"/>
      <c r="H14" s="215"/>
      <c r="J14" s="141"/>
    </row>
    <row r="15" spans="2:14" ht="15.75" customHeight="1">
      <c r="C15" s="435"/>
      <c r="D15" s="435"/>
      <c r="E15" s="169"/>
      <c r="F15" s="216"/>
      <c r="G15" s="216"/>
      <c r="H15" s="216"/>
      <c r="I15" s="139"/>
      <c r="M15" s="139"/>
      <c r="N15" s="139"/>
    </row>
    <row r="16" spans="2:14" ht="15.75" customHeight="1">
      <c r="B16" s="171" t="s">
        <v>382</v>
      </c>
      <c r="C16" s="171" t="s">
        <v>384</v>
      </c>
      <c r="D16" s="171" t="s">
        <v>383</v>
      </c>
      <c r="E16" s="169"/>
      <c r="F16" s="217" t="s">
        <v>385</v>
      </c>
      <c r="G16" s="217" t="s">
        <v>386</v>
      </c>
      <c r="H16" s="217" t="s">
        <v>387</v>
      </c>
      <c r="J16" s="141"/>
    </row>
    <row r="17" spans="2:10" ht="15.75" customHeight="1">
      <c r="B17" s="172" t="s">
        <v>388</v>
      </c>
      <c r="C17" s="172" t="s">
        <v>395</v>
      </c>
      <c r="D17" s="173" cm="1">
        <f t="array" ref="D17">(MIN(IF(F17:H17&gt;0,F17:H17)))</f>
        <v>392</v>
      </c>
      <c r="E17" s="169"/>
      <c r="F17" s="214">
        <v>440</v>
      </c>
      <c r="G17" s="214">
        <v>392</v>
      </c>
      <c r="H17" s="214">
        <v>411</v>
      </c>
      <c r="J17" s="141"/>
    </row>
    <row r="18" spans="2:10" ht="15.75" customHeight="1">
      <c r="B18" s="172" t="s">
        <v>391</v>
      </c>
      <c r="C18" s="172" t="s">
        <v>602</v>
      </c>
      <c r="D18" s="173" cm="1">
        <f t="array" ref="D18">(MIN(IF(F18:H18&gt;0,F18:H18)))</f>
        <v>626</v>
      </c>
      <c r="E18" s="176"/>
      <c r="F18" s="214">
        <v>1370</v>
      </c>
      <c r="G18" s="218">
        <v>626</v>
      </c>
      <c r="H18" s="214">
        <v>1106</v>
      </c>
    </row>
    <row r="19" spans="2:10" ht="15.75" customHeight="1">
      <c r="B19" s="172" t="s">
        <v>389</v>
      </c>
      <c r="C19" s="172" t="s">
        <v>602</v>
      </c>
      <c r="D19" s="173" cm="1">
        <f t="array" ref="D19">(MIN(IF(F19:H19&gt;0,F19:H19)))</f>
        <v>474</v>
      </c>
      <c r="E19" s="176"/>
      <c r="F19" s="214">
        <v>474</v>
      </c>
      <c r="G19" s="214">
        <v>575</v>
      </c>
      <c r="H19" s="214">
        <v>557</v>
      </c>
    </row>
    <row r="20" spans="2:10" ht="15.75" customHeight="1">
      <c r="B20" s="172" t="s">
        <v>390</v>
      </c>
      <c r="C20" s="172" t="s">
        <v>602</v>
      </c>
      <c r="D20" s="173" cm="1">
        <f t="array" ref="D20">(MIN(IF(F20:H20&gt;0,F20:H20)))</f>
        <v>0</v>
      </c>
      <c r="E20" s="176"/>
      <c r="F20" s="214" t="s">
        <v>265</v>
      </c>
      <c r="G20" s="214" t="s">
        <v>265</v>
      </c>
      <c r="H20" s="214" t="s">
        <v>265</v>
      </c>
    </row>
    <row r="21" spans="2:10" ht="15.75" customHeight="1">
      <c r="B21" s="772" t="s">
        <v>467</v>
      </c>
      <c r="C21" s="773"/>
      <c r="D21" s="187">
        <f>AVERAGEIF(D17:D20,"&gt;0",D17:D20)</f>
        <v>497.33333333333331</v>
      </c>
      <c r="F21" s="215"/>
      <c r="G21" s="215"/>
      <c r="H21" s="215"/>
    </row>
    <row r="22" spans="2:10" ht="15.75" customHeight="1">
      <c r="B22" s="169"/>
      <c r="C22" s="170"/>
      <c r="D22" s="170"/>
      <c r="F22" s="215"/>
      <c r="G22" s="215"/>
      <c r="H22" s="215"/>
    </row>
    <row r="23" spans="2:10" ht="15.75" customHeight="1">
      <c r="B23" s="171" t="s">
        <v>382</v>
      </c>
      <c r="C23" s="171" t="s">
        <v>384</v>
      </c>
      <c r="D23" s="171" t="s">
        <v>383</v>
      </c>
      <c r="E23" s="169"/>
      <c r="F23" s="217" t="s">
        <v>385</v>
      </c>
      <c r="G23" s="217" t="s">
        <v>386</v>
      </c>
      <c r="H23" s="217" t="s">
        <v>387</v>
      </c>
    </row>
    <row r="24" spans="2:10" ht="15.75" customHeight="1">
      <c r="B24" s="172" t="s">
        <v>388</v>
      </c>
      <c r="C24" s="172" t="s">
        <v>405</v>
      </c>
      <c r="D24" s="173" cm="1">
        <f t="array" ref="D24">(MIN(IF(F24:H24&gt;0,F24:H24)))</f>
        <v>656</v>
      </c>
      <c r="E24" s="169"/>
      <c r="F24" s="214">
        <v>680</v>
      </c>
      <c r="G24" s="214">
        <v>858</v>
      </c>
      <c r="H24" s="214">
        <v>656</v>
      </c>
    </row>
    <row r="25" spans="2:10" ht="15.75" customHeight="1">
      <c r="B25" s="172" t="s">
        <v>391</v>
      </c>
      <c r="C25" s="172" t="s">
        <v>646</v>
      </c>
      <c r="D25" s="173" cm="1">
        <f t="array" ref="D25">(MIN(IF(F25:H25&gt;0,F25:H25)))</f>
        <v>504</v>
      </c>
      <c r="E25" s="176"/>
      <c r="F25" s="214">
        <v>504</v>
      </c>
      <c r="G25" s="214">
        <v>678</v>
      </c>
      <c r="H25" s="214">
        <v>780</v>
      </c>
      <c r="J25" s="141"/>
    </row>
    <row r="26" spans="2:10" ht="15.75" customHeight="1">
      <c r="B26" s="172" t="s">
        <v>389</v>
      </c>
      <c r="C26" s="172" t="s">
        <v>646</v>
      </c>
      <c r="D26" s="173" cm="1">
        <f t="array" ref="D26">(MIN(IF(F26:H26&gt;0,F26:H26)))</f>
        <v>882</v>
      </c>
      <c r="E26" s="176"/>
      <c r="F26" s="214">
        <v>1307</v>
      </c>
      <c r="G26" s="214">
        <v>984</v>
      </c>
      <c r="H26" s="214">
        <v>882</v>
      </c>
      <c r="J26" s="141"/>
    </row>
    <row r="27" spans="2:10" ht="15.75" customHeight="1">
      <c r="B27" s="172" t="s">
        <v>390</v>
      </c>
      <c r="C27" s="172" t="s">
        <v>646</v>
      </c>
      <c r="D27" s="173" cm="1">
        <f t="array" ref="D27">(MIN(IF(F27:H27&gt;0,F27:H27)))</f>
        <v>1095</v>
      </c>
      <c r="E27" s="176"/>
      <c r="F27" s="214">
        <v>1814</v>
      </c>
      <c r="G27" s="214">
        <v>1095</v>
      </c>
      <c r="H27" s="214">
        <v>1112</v>
      </c>
    </row>
    <row r="28" spans="2:10" ht="15.75" customHeight="1">
      <c r="B28" s="772" t="s">
        <v>467</v>
      </c>
      <c r="C28" s="773"/>
      <c r="D28" s="187">
        <f>AVERAGEIF(D24:D27,"&gt;0",D24:D27)</f>
        <v>784.25</v>
      </c>
      <c r="F28" s="215"/>
      <c r="G28" s="215"/>
      <c r="H28" s="215"/>
    </row>
    <row r="29" spans="2:10" ht="15.75" customHeight="1">
      <c r="B29" s="169"/>
      <c r="C29" s="170"/>
      <c r="D29" s="170"/>
      <c r="F29" s="215"/>
      <c r="G29" s="215"/>
      <c r="H29" s="215"/>
    </row>
    <row r="30" spans="2:10">
      <c r="B30" s="171" t="s">
        <v>382</v>
      </c>
      <c r="C30" s="171" t="s">
        <v>384</v>
      </c>
      <c r="D30" s="171" t="s">
        <v>383</v>
      </c>
      <c r="E30" s="169"/>
      <c r="F30" s="217" t="s">
        <v>385</v>
      </c>
      <c r="G30" s="217" t="s">
        <v>386</v>
      </c>
      <c r="H30" s="217" t="s">
        <v>387</v>
      </c>
    </row>
    <row r="31" spans="2:10">
      <c r="B31" s="446" t="s">
        <v>388</v>
      </c>
      <c r="C31" s="446" t="s">
        <v>430</v>
      </c>
      <c r="D31" s="447" cm="1">
        <f t="array" ref="D31">(MIN(IF(F31:H31&gt;0,F31:H31)))</f>
        <v>298</v>
      </c>
      <c r="E31" s="169"/>
      <c r="F31" s="214">
        <v>319</v>
      </c>
      <c r="G31" s="214">
        <v>319</v>
      </c>
      <c r="H31" s="214">
        <v>298</v>
      </c>
    </row>
    <row r="32" spans="2:10" ht="15" customHeight="1">
      <c r="B32" s="172" t="s">
        <v>391</v>
      </c>
      <c r="C32" s="446" t="s">
        <v>647</v>
      </c>
      <c r="D32" s="173" cm="1">
        <f t="array" ref="D32">(MIN(IF(F32:H32&gt;0,F32:H32)))</f>
        <v>617</v>
      </c>
      <c r="E32" s="176"/>
      <c r="F32" s="214">
        <v>782</v>
      </c>
      <c r="G32" s="218">
        <v>648</v>
      </c>
      <c r="H32" s="214">
        <v>617</v>
      </c>
    </row>
    <row r="33" spans="2:8">
      <c r="B33" s="172" t="s">
        <v>389</v>
      </c>
      <c r="C33" s="446" t="s">
        <v>647</v>
      </c>
      <c r="D33" s="173" cm="1">
        <f t="array" ref="D33">(MIN(IF(F33:H33&gt;0,F33:H33)))</f>
        <v>798</v>
      </c>
      <c r="E33" s="176"/>
      <c r="F33" s="214">
        <v>1131</v>
      </c>
      <c r="G33" s="214">
        <v>1189</v>
      </c>
      <c r="H33" s="214">
        <v>798</v>
      </c>
    </row>
    <row r="34" spans="2:8">
      <c r="B34" s="172" t="s">
        <v>390</v>
      </c>
      <c r="C34" s="446" t="s">
        <v>647</v>
      </c>
      <c r="D34" s="173" cm="1">
        <f t="array" ref="D34">(MIN(IF(F34:H34&gt;0,F34:H34)))</f>
        <v>815</v>
      </c>
      <c r="E34" s="176"/>
      <c r="F34" s="214">
        <v>1342</v>
      </c>
      <c r="G34" s="214">
        <v>846</v>
      </c>
      <c r="H34" s="214">
        <v>815</v>
      </c>
    </row>
    <row r="35" spans="2:8">
      <c r="B35" s="772" t="s">
        <v>467</v>
      </c>
      <c r="C35" s="773"/>
      <c r="D35" s="187">
        <f>AVERAGEIF(D31:D34,"&gt;0",D31:D34)</f>
        <v>632</v>
      </c>
      <c r="F35" s="215"/>
      <c r="G35" s="215"/>
      <c r="H35" s="215"/>
    </row>
    <row r="36" spans="2:8">
      <c r="B36" s="169"/>
      <c r="C36" s="170"/>
      <c r="D36" s="170"/>
    </row>
    <row r="37" spans="2:8">
      <c r="B37" s="774" t="s">
        <v>467</v>
      </c>
      <c r="C37" s="774"/>
      <c r="D37" s="436">
        <f>AVERAGE(D14,D21,D28,D35)</f>
        <v>626.52083333333326</v>
      </c>
    </row>
  </sheetData>
  <mergeCells count="5">
    <mergeCell ref="B35:C35"/>
    <mergeCell ref="B37:C37"/>
    <mergeCell ref="B14:C14"/>
    <mergeCell ref="B21:C21"/>
    <mergeCell ref="B28:C28"/>
  </mergeCells>
  <pageMargins left="0.511811024" right="0.511811024" top="0.78740157499999996" bottom="0.78740157499999996" header="0.31496062000000002" footer="0.31496062000000002"/>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A6EC-27A7-480F-9318-B26F9D3F3D7A}">
  <sheetPr>
    <tabColor rgb="FFFFC000"/>
  </sheetPr>
  <dimension ref="B2:Z539"/>
  <sheetViews>
    <sheetView workbookViewId="0"/>
  </sheetViews>
  <sheetFormatPr defaultRowHeight="15"/>
  <cols>
    <col min="1" max="1" width="1.42578125" style="51" customWidth="1"/>
    <col min="2" max="16384" width="9.140625" style="51"/>
  </cols>
  <sheetData>
    <row r="2" spans="2:26" ht="24.95" customHeight="1">
      <c r="B2" s="445" t="s">
        <v>601</v>
      </c>
      <c r="C2" s="445"/>
      <c r="D2" s="445"/>
      <c r="E2" s="445"/>
      <c r="F2" s="445"/>
      <c r="G2" s="445"/>
      <c r="H2" s="445"/>
      <c r="I2" s="445"/>
      <c r="J2" s="445"/>
      <c r="K2" s="445"/>
      <c r="L2" s="445"/>
      <c r="M2" s="445"/>
      <c r="N2" s="445"/>
      <c r="O2" s="445"/>
      <c r="P2" s="445"/>
      <c r="Q2" s="445"/>
      <c r="R2" s="445"/>
      <c r="S2" s="445"/>
      <c r="T2" s="445"/>
      <c r="U2" s="445"/>
      <c r="V2" s="445"/>
      <c r="W2" s="445"/>
      <c r="X2" s="445"/>
      <c r="Y2" s="445"/>
      <c r="Z2" s="445"/>
    </row>
    <row r="3" spans="2:26" ht="20.100000000000001" customHeight="1">
      <c r="B3" s="434" t="s">
        <v>615</v>
      </c>
      <c r="C3" s="434"/>
      <c r="D3" s="434"/>
      <c r="E3" s="434"/>
      <c r="F3" s="434"/>
      <c r="G3" s="434"/>
      <c r="H3" s="434"/>
      <c r="I3" s="434"/>
      <c r="J3" s="434"/>
      <c r="K3" s="434"/>
      <c r="L3" s="434"/>
      <c r="M3" s="434"/>
      <c r="N3" s="434"/>
      <c r="O3" s="434"/>
      <c r="P3" s="434"/>
      <c r="Q3" s="434"/>
      <c r="R3" s="434"/>
      <c r="S3" s="434"/>
      <c r="T3" s="434"/>
      <c r="U3" s="434"/>
      <c r="V3" s="434"/>
      <c r="W3" s="434"/>
      <c r="X3" s="434"/>
      <c r="Y3" s="434"/>
      <c r="Z3" s="434"/>
    </row>
    <row r="25" spans="2:26" ht="20.100000000000001" customHeight="1">
      <c r="B25" s="434" t="s">
        <v>616</v>
      </c>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row>
    <row r="47" spans="2:26" ht="20.100000000000001" customHeight="1">
      <c r="B47" s="434" t="s">
        <v>617</v>
      </c>
      <c r="C47" s="434"/>
      <c r="D47" s="434"/>
      <c r="E47" s="434"/>
      <c r="F47" s="434"/>
      <c r="G47" s="434"/>
      <c r="H47" s="434"/>
      <c r="I47" s="434"/>
      <c r="J47" s="434"/>
      <c r="K47" s="434"/>
      <c r="L47" s="434"/>
      <c r="M47" s="434"/>
      <c r="N47" s="434"/>
      <c r="O47" s="434"/>
      <c r="P47" s="434"/>
      <c r="Q47" s="434"/>
      <c r="R47" s="434"/>
      <c r="S47" s="434"/>
      <c r="T47" s="434"/>
      <c r="U47" s="434"/>
      <c r="V47" s="434"/>
      <c r="W47" s="434"/>
      <c r="X47" s="434"/>
      <c r="Y47" s="434"/>
      <c r="Z47" s="434"/>
    </row>
    <row r="72" spans="2:26" ht="20.100000000000001" customHeight="1">
      <c r="B72" s="434" t="s">
        <v>618</v>
      </c>
      <c r="C72" s="434"/>
      <c r="D72" s="434"/>
      <c r="E72" s="434"/>
      <c r="F72" s="434"/>
      <c r="G72" s="434"/>
      <c r="H72" s="434"/>
      <c r="I72" s="434"/>
      <c r="J72" s="434"/>
      <c r="K72" s="434"/>
      <c r="L72" s="434"/>
      <c r="M72" s="434"/>
      <c r="N72" s="434"/>
      <c r="O72" s="434"/>
      <c r="P72" s="434"/>
      <c r="Q72" s="434"/>
      <c r="R72" s="434"/>
      <c r="S72" s="434"/>
      <c r="T72" s="434"/>
      <c r="U72" s="434"/>
      <c r="V72" s="434"/>
      <c r="W72" s="434"/>
      <c r="X72" s="434"/>
      <c r="Y72" s="434"/>
      <c r="Z72" s="434"/>
    </row>
    <row r="90" spans="2:26" ht="20.100000000000001" customHeight="1">
      <c r="B90" s="434" t="s">
        <v>619</v>
      </c>
      <c r="C90" s="434"/>
      <c r="D90" s="434"/>
      <c r="E90" s="434"/>
      <c r="F90" s="434"/>
      <c r="G90" s="434"/>
      <c r="H90" s="434"/>
      <c r="I90" s="434"/>
      <c r="J90" s="434"/>
      <c r="K90" s="434"/>
      <c r="L90" s="434"/>
      <c r="M90" s="434"/>
      <c r="N90" s="434"/>
      <c r="O90" s="434"/>
      <c r="P90" s="434"/>
      <c r="Q90" s="434"/>
      <c r="R90" s="434"/>
      <c r="S90" s="434"/>
      <c r="T90" s="434"/>
      <c r="U90" s="434"/>
      <c r="V90" s="434"/>
      <c r="W90" s="434"/>
      <c r="X90" s="434"/>
      <c r="Y90" s="434"/>
      <c r="Z90" s="434"/>
    </row>
    <row r="112" spans="2:26" ht="20.100000000000001" customHeight="1">
      <c r="B112" s="434" t="s">
        <v>620</v>
      </c>
      <c r="C112" s="434"/>
      <c r="D112" s="434"/>
      <c r="E112" s="434"/>
      <c r="F112" s="434"/>
      <c r="G112" s="434"/>
      <c r="H112" s="434"/>
      <c r="I112" s="434"/>
      <c r="J112" s="434"/>
      <c r="K112" s="434"/>
      <c r="L112" s="434"/>
      <c r="M112" s="434"/>
      <c r="N112" s="434"/>
      <c r="O112" s="434"/>
      <c r="P112" s="434"/>
      <c r="Q112" s="434"/>
      <c r="R112" s="434"/>
      <c r="S112" s="434"/>
      <c r="T112" s="434"/>
      <c r="U112" s="434"/>
      <c r="V112" s="434"/>
      <c r="W112" s="434"/>
      <c r="X112" s="434"/>
      <c r="Y112" s="434"/>
      <c r="Z112" s="434"/>
    </row>
    <row r="132" spans="2:26" ht="20.100000000000001" customHeight="1">
      <c r="B132" s="434" t="s">
        <v>621</v>
      </c>
      <c r="C132" s="434"/>
      <c r="D132" s="434"/>
      <c r="E132" s="434"/>
      <c r="F132" s="434"/>
      <c r="G132" s="434"/>
      <c r="H132" s="434"/>
      <c r="I132" s="434"/>
      <c r="J132" s="434"/>
      <c r="K132" s="434"/>
      <c r="L132" s="434"/>
      <c r="M132" s="434"/>
      <c r="N132" s="434"/>
      <c r="O132" s="434"/>
      <c r="P132" s="434"/>
      <c r="Q132" s="434"/>
      <c r="R132" s="434"/>
      <c r="S132" s="434"/>
      <c r="T132" s="434"/>
      <c r="U132" s="434"/>
      <c r="V132" s="434"/>
      <c r="W132" s="434"/>
      <c r="X132" s="434"/>
      <c r="Y132" s="434"/>
      <c r="Z132" s="434"/>
    </row>
    <row r="155" spans="2:26" ht="24.95" customHeight="1">
      <c r="B155" s="445" t="s">
        <v>622</v>
      </c>
      <c r="C155" s="445"/>
      <c r="D155" s="445"/>
      <c r="E155" s="445"/>
      <c r="F155" s="445"/>
      <c r="G155" s="445"/>
      <c r="H155" s="445"/>
      <c r="I155" s="445"/>
      <c r="J155" s="445"/>
      <c r="K155" s="445"/>
      <c r="L155" s="445"/>
      <c r="M155" s="445"/>
      <c r="N155" s="445"/>
      <c r="O155" s="445"/>
      <c r="P155" s="445"/>
      <c r="Q155" s="445"/>
      <c r="R155" s="445"/>
      <c r="S155" s="445"/>
      <c r="T155" s="445"/>
      <c r="U155" s="445"/>
      <c r="V155" s="445"/>
      <c r="W155" s="445"/>
      <c r="X155" s="445"/>
      <c r="Y155" s="445"/>
      <c r="Z155" s="445"/>
    </row>
    <row r="156" spans="2:26" ht="20.100000000000001" customHeight="1">
      <c r="B156" s="434" t="s">
        <v>623</v>
      </c>
      <c r="C156" s="434"/>
      <c r="D156" s="434"/>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row>
    <row r="178" spans="2:26" ht="20.100000000000001" customHeight="1">
      <c r="B178" s="434" t="s">
        <v>624</v>
      </c>
      <c r="C178" s="434"/>
      <c r="D178" s="434"/>
      <c r="E178" s="434"/>
      <c r="F178" s="434"/>
      <c r="G178" s="434"/>
      <c r="H178" s="434"/>
      <c r="I178" s="434"/>
      <c r="J178" s="434"/>
      <c r="K178" s="434"/>
      <c r="L178" s="434"/>
      <c r="M178" s="434"/>
      <c r="N178" s="434"/>
      <c r="O178" s="434"/>
      <c r="P178" s="434"/>
      <c r="Q178" s="434"/>
      <c r="R178" s="434"/>
      <c r="S178" s="434"/>
      <c r="T178" s="434"/>
      <c r="U178" s="434"/>
      <c r="V178" s="434"/>
      <c r="W178" s="434"/>
      <c r="X178" s="434"/>
      <c r="Y178" s="434"/>
      <c r="Z178" s="434"/>
    </row>
    <row r="200" spans="2:26" ht="20.100000000000001" customHeight="1">
      <c r="B200" s="434" t="s">
        <v>625</v>
      </c>
      <c r="C200" s="434"/>
      <c r="D200" s="434"/>
      <c r="E200" s="434"/>
      <c r="F200" s="434"/>
      <c r="G200" s="434"/>
      <c r="H200" s="434"/>
      <c r="I200" s="434"/>
      <c r="J200" s="434"/>
      <c r="K200" s="434"/>
      <c r="L200" s="434"/>
      <c r="M200" s="434"/>
      <c r="N200" s="434"/>
      <c r="O200" s="434"/>
      <c r="P200" s="434"/>
      <c r="Q200" s="434"/>
      <c r="R200" s="434"/>
      <c r="S200" s="434"/>
      <c r="T200" s="434"/>
      <c r="U200" s="434"/>
      <c r="V200" s="434"/>
      <c r="W200" s="434"/>
      <c r="X200" s="434"/>
      <c r="Y200" s="434"/>
      <c r="Z200" s="434"/>
    </row>
    <row r="219" spans="2:26" ht="20.100000000000001" customHeight="1">
      <c r="B219" s="434" t="s">
        <v>626</v>
      </c>
      <c r="C219" s="434"/>
      <c r="D219" s="434"/>
      <c r="E219" s="434"/>
      <c r="F219" s="434"/>
      <c r="G219" s="434"/>
      <c r="H219" s="434"/>
      <c r="I219" s="434"/>
      <c r="J219" s="434"/>
      <c r="K219" s="434"/>
      <c r="L219" s="434"/>
      <c r="M219" s="434"/>
      <c r="N219" s="434"/>
      <c r="O219" s="434"/>
      <c r="P219" s="434"/>
      <c r="Q219" s="434"/>
      <c r="R219" s="434"/>
      <c r="S219" s="434"/>
      <c r="T219" s="434"/>
      <c r="U219" s="434"/>
      <c r="V219" s="434"/>
      <c r="W219" s="434"/>
      <c r="X219" s="434"/>
      <c r="Y219" s="434"/>
      <c r="Z219" s="434"/>
    </row>
    <row r="235" spans="2:26" ht="20.100000000000001" customHeight="1">
      <c r="B235" s="434" t="s">
        <v>627</v>
      </c>
      <c r="C235" s="434"/>
      <c r="D235" s="434"/>
      <c r="E235" s="434"/>
      <c r="F235" s="434"/>
      <c r="G235" s="434"/>
      <c r="H235" s="434"/>
      <c r="I235" s="434"/>
      <c r="J235" s="434"/>
      <c r="K235" s="434"/>
      <c r="L235" s="434"/>
      <c r="M235" s="434"/>
      <c r="N235" s="434"/>
      <c r="O235" s="434"/>
      <c r="P235" s="434"/>
      <c r="Q235" s="434"/>
      <c r="R235" s="434"/>
      <c r="S235" s="434"/>
      <c r="T235" s="434"/>
      <c r="U235" s="434"/>
      <c r="V235" s="434"/>
      <c r="W235" s="434"/>
      <c r="X235" s="434"/>
      <c r="Y235" s="434"/>
      <c r="Z235" s="434"/>
    </row>
    <row r="252" spans="2:26" ht="20.100000000000001" customHeight="1">
      <c r="B252" s="434" t="s">
        <v>628</v>
      </c>
      <c r="C252" s="434"/>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c r="Z252" s="434"/>
    </row>
    <row r="268" spans="2:26" ht="20.100000000000001" customHeight="1">
      <c r="B268" s="434" t="s">
        <v>629</v>
      </c>
      <c r="C268" s="434"/>
      <c r="D268" s="434"/>
      <c r="E268" s="434"/>
      <c r="F268" s="434"/>
      <c r="G268" s="434"/>
      <c r="H268" s="434"/>
      <c r="I268" s="434"/>
      <c r="J268" s="434"/>
      <c r="K268" s="434"/>
      <c r="L268" s="434"/>
      <c r="M268" s="434"/>
      <c r="N268" s="434"/>
      <c r="O268" s="434"/>
      <c r="P268" s="434"/>
      <c r="Q268" s="434"/>
      <c r="R268" s="434"/>
      <c r="S268" s="434"/>
      <c r="T268" s="434"/>
      <c r="U268" s="434"/>
      <c r="V268" s="434"/>
      <c r="W268" s="434"/>
      <c r="X268" s="434"/>
      <c r="Y268" s="434"/>
      <c r="Z268" s="434"/>
    </row>
    <row r="291" spans="2:26" ht="24.95" customHeight="1">
      <c r="B291" s="445" t="s">
        <v>630</v>
      </c>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c r="Z291" s="445"/>
    </row>
    <row r="292" spans="2:26" ht="20.100000000000001" customHeight="1">
      <c r="B292" s="434" t="s">
        <v>631</v>
      </c>
      <c r="C292" s="434"/>
      <c r="D292" s="434"/>
      <c r="E292" s="434"/>
      <c r="F292" s="434"/>
      <c r="G292" s="434"/>
      <c r="H292" s="434"/>
      <c r="I292" s="434"/>
      <c r="J292" s="434"/>
      <c r="K292" s="434"/>
      <c r="L292" s="434"/>
      <c r="M292" s="434"/>
      <c r="N292" s="434"/>
      <c r="O292" s="434"/>
      <c r="P292" s="434"/>
      <c r="Q292" s="434"/>
      <c r="R292" s="434"/>
      <c r="S292" s="434"/>
      <c r="T292" s="434"/>
      <c r="U292" s="434"/>
      <c r="V292" s="434"/>
      <c r="W292" s="434"/>
      <c r="X292" s="434"/>
      <c r="Y292" s="434"/>
      <c r="Z292" s="434"/>
    </row>
    <row r="316" spans="2:26" ht="20.100000000000001" customHeight="1">
      <c r="B316" s="434" t="s">
        <v>632</v>
      </c>
      <c r="C316" s="434"/>
      <c r="D316" s="434"/>
      <c r="E316" s="434"/>
      <c r="F316" s="434"/>
      <c r="G316" s="434"/>
      <c r="H316" s="434"/>
      <c r="I316" s="434"/>
      <c r="J316" s="434"/>
      <c r="K316" s="434"/>
      <c r="L316" s="434"/>
      <c r="M316" s="434"/>
      <c r="N316" s="434"/>
      <c r="O316" s="434"/>
      <c r="P316" s="434"/>
      <c r="Q316" s="434"/>
      <c r="R316" s="434"/>
      <c r="S316" s="434"/>
      <c r="T316" s="434"/>
      <c r="U316" s="434"/>
      <c r="V316" s="434"/>
      <c r="W316" s="434"/>
      <c r="X316" s="434"/>
      <c r="Y316" s="434"/>
      <c r="Z316" s="434"/>
    </row>
    <row r="338" spans="2:26" ht="20.100000000000001" customHeight="1">
      <c r="B338" s="434" t="s">
        <v>633</v>
      </c>
      <c r="C338" s="434"/>
      <c r="D338" s="434"/>
      <c r="E338" s="434"/>
      <c r="F338" s="434"/>
      <c r="G338" s="434"/>
      <c r="H338" s="434"/>
      <c r="I338" s="434"/>
      <c r="J338" s="434"/>
      <c r="K338" s="434"/>
      <c r="L338" s="434"/>
      <c r="M338" s="434"/>
      <c r="N338" s="434"/>
      <c r="O338" s="434"/>
      <c r="P338" s="434"/>
      <c r="Q338" s="434"/>
      <c r="R338" s="434"/>
      <c r="S338" s="434"/>
      <c r="T338" s="434"/>
      <c r="U338" s="434"/>
      <c r="V338" s="434"/>
      <c r="W338" s="434"/>
      <c r="X338" s="434"/>
      <c r="Y338" s="434"/>
      <c r="Z338" s="434"/>
    </row>
    <row r="361" spans="2:26" ht="20.100000000000001" customHeight="1">
      <c r="B361" s="434" t="s">
        <v>634</v>
      </c>
      <c r="C361" s="434"/>
      <c r="D361" s="434"/>
      <c r="E361" s="434"/>
      <c r="F361" s="434"/>
      <c r="G361" s="434"/>
      <c r="H361" s="434"/>
      <c r="I361" s="434"/>
      <c r="J361" s="434"/>
      <c r="K361" s="434"/>
      <c r="L361" s="434"/>
      <c r="M361" s="434"/>
      <c r="N361" s="434"/>
      <c r="O361" s="434"/>
      <c r="P361" s="434"/>
      <c r="Q361" s="434"/>
      <c r="R361" s="434"/>
      <c r="S361" s="434"/>
      <c r="T361" s="434"/>
      <c r="U361" s="434"/>
      <c r="V361" s="434"/>
      <c r="W361" s="434"/>
      <c r="X361" s="434"/>
      <c r="Y361" s="434"/>
      <c r="Z361" s="434"/>
    </row>
    <row r="384" spans="2:26" ht="20.100000000000001" customHeight="1">
      <c r="B384" s="434" t="s">
        <v>635</v>
      </c>
      <c r="C384" s="434"/>
      <c r="D384" s="434"/>
      <c r="E384" s="434"/>
      <c r="F384" s="434"/>
      <c r="G384" s="434"/>
      <c r="H384" s="434"/>
      <c r="I384" s="434"/>
      <c r="J384" s="434"/>
      <c r="K384" s="434"/>
      <c r="L384" s="434"/>
      <c r="M384" s="434"/>
      <c r="N384" s="434"/>
      <c r="O384" s="434"/>
      <c r="P384" s="434"/>
      <c r="Q384" s="434"/>
      <c r="R384" s="434"/>
      <c r="S384" s="434"/>
      <c r="T384" s="434"/>
      <c r="U384" s="434"/>
      <c r="V384" s="434"/>
      <c r="W384" s="434"/>
      <c r="X384" s="434"/>
      <c r="Y384" s="434"/>
      <c r="Z384" s="434"/>
    </row>
    <row r="406" spans="2:26" ht="20.100000000000001" customHeight="1">
      <c r="B406" s="434" t="s">
        <v>636</v>
      </c>
      <c r="C406" s="434"/>
      <c r="D406" s="434"/>
      <c r="E406" s="434"/>
      <c r="F406" s="434"/>
      <c r="G406" s="434"/>
      <c r="H406" s="434"/>
      <c r="I406" s="434"/>
      <c r="J406" s="434"/>
      <c r="K406" s="434"/>
      <c r="L406" s="434"/>
      <c r="M406" s="434"/>
      <c r="N406" s="434"/>
      <c r="O406" s="434"/>
      <c r="P406" s="434"/>
      <c r="Q406" s="434"/>
      <c r="R406" s="434"/>
      <c r="S406" s="434"/>
      <c r="T406" s="434"/>
      <c r="U406" s="434"/>
      <c r="V406" s="434"/>
      <c r="W406" s="434"/>
      <c r="X406" s="434"/>
      <c r="Y406" s="434"/>
      <c r="Z406" s="434"/>
    </row>
    <row r="422" spans="2:26" ht="20.100000000000001" customHeight="1">
      <c r="B422" s="434" t="s">
        <v>637</v>
      </c>
      <c r="C422" s="434"/>
      <c r="D422" s="434"/>
      <c r="E422" s="434"/>
      <c r="F422" s="434"/>
      <c r="G422" s="434"/>
      <c r="H422" s="434"/>
      <c r="I422" s="434"/>
      <c r="J422" s="434"/>
      <c r="K422" s="434"/>
      <c r="L422" s="434"/>
      <c r="M422" s="434"/>
      <c r="N422" s="434"/>
      <c r="O422" s="434"/>
      <c r="P422" s="434"/>
      <c r="Q422" s="434"/>
      <c r="R422" s="434"/>
      <c r="S422" s="434"/>
      <c r="T422" s="434"/>
      <c r="U422" s="434"/>
      <c r="V422" s="434"/>
      <c r="W422" s="434"/>
      <c r="X422" s="434"/>
      <c r="Y422" s="434"/>
      <c r="Z422" s="434"/>
    </row>
    <row r="447" spans="2:26" ht="24.95" customHeight="1">
      <c r="B447" s="445" t="s">
        <v>638</v>
      </c>
      <c r="C447" s="445"/>
      <c r="D447" s="445"/>
      <c r="E447" s="445"/>
      <c r="F447" s="445"/>
      <c r="G447" s="445"/>
      <c r="H447" s="445"/>
      <c r="I447" s="445"/>
      <c r="J447" s="445"/>
      <c r="K447" s="445"/>
      <c r="L447" s="445"/>
      <c r="M447" s="445"/>
      <c r="N447" s="445"/>
      <c r="O447" s="445"/>
      <c r="P447" s="445"/>
      <c r="Q447" s="445"/>
      <c r="R447" s="445"/>
      <c r="S447" s="445"/>
      <c r="T447" s="445"/>
      <c r="U447" s="445"/>
      <c r="V447" s="445"/>
      <c r="W447" s="445"/>
      <c r="X447" s="445"/>
      <c r="Y447" s="445"/>
      <c r="Z447" s="445"/>
    </row>
    <row r="448" spans="2:26" ht="20.100000000000001" customHeight="1">
      <c r="B448" s="434" t="s">
        <v>639</v>
      </c>
      <c r="C448" s="434"/>
      <c r="D448" s="434"/>
      <c r="E448" s="434"/>
      <c r="F448" s="434"/>
      <c r="G448" s="434"/>
      <c r="H448" s="434"/>
      <c r="I448" s="434"/>
      <c r="J448" s="434"/>
      <c r="K448" s="434"/>
      <c r="L448" s="434"/>
      <c r="M448" s="434"/>
      <c r="N448" s="434"/>
      <c r="O448" s="434"/>
      <c r="P448" s="434"/>
      <c r="Q448" s="434"/>
      <c r="R448" s="434"/>
      <c r="S448" s="434"/>
      <c r="T448" s="434"/>
      <c r="U448" s="434"/>
      <c r="V448" s="434"/>
      <c r="W448" s="434"/>
      <c r="X448" s="434"/>
      <c r="Y448" s="434"/>
      <c r="Z448" s="434"/>
    </row>
    <row r="469" spans="2:26" ht="20.100000000000001" customHeight="1">
      <c r="B469" s="434" t="s">
        <v>640</v>
      </c>
      <c r="C469" s="434"/>
      <c r="D469" s="434"/>
      <c r="E469" s="434"/>
      <c r="F469" s="434"/>
      <c r="G469" s="434"/>
      <c r="H469" s="434"/>
      <c r="I469" s="434"/>
      <c r="J469" s="434"/>
      <c r="K469" s="434"/>
      <c r="L469" s="434"/>
      <c r="M469" s="434"/>
      <c r="N469" s="434"/>
      <c r="O469" s="434"/>
      <c r="P469" s="434"/>
      <c r="Q469" s="434"/>
      <c r="R469" s="434"/>
      <c r="S469" s="434"/>
      <c r="T469" s="434"/>
      <c r="U469" s="434"/>
      <c r="V469" s="434"/>
      <c r="W469" s="434"/>
      <c r="X469" s="434"/>
      <c r="Y469" s="434"/>
      <c r="Z469" s="434"/>
    </row>
    <row r="490" spans="2:26" ht="20.100000000000001" customHeight="1">
      <c r="B490" s="434" t="s">
        <v>641</v>
      </c>
      <c r="C490" s="434"/>
      <c r="D490" s="434"/>
      <c r="E490" s="434"/>
      <c r="F490" s="434"/>
      <c r="G490" s="434"/>
      <c r="H490" s="434"/>
      <c r="I490" s="434"/>
      <c r="J490" s="434"/>
      <c r="K490" s="434"/>
      <c r="L490" s="434"/>
      <c r="M490" s="434"/>
      <c r="N490" s="434"/>
      <c r="O490" s="434"/>
      <c r="P490" s="434"/>
      <c r="Q490" s="434"/>
      <c r="R490" s="434"/>
      <c r="S490" s="434"/>
      <c r="T490" s="434"/>
      <c r="U490" s="434"/>
      <c r="V490" s="434"/>
      <c r="W490" s="434"/>
      <c r="X490" s="434"/>
      <c r="Y490" s="434"/>
      <c r="Z490" s="434"/>
    </row>
    <row r="505" spans="2:26" ht="20.100000000000001" customHeight="1">
      <c r="B505" s="434" t="s">
        <v>642</v>
      </c>
      <c r="C505" s="434"/>
      <c r="D505" s="434"/>
      <c r="E505" s="434"/>
      <c r="F505" s="434"/>
      <c r="G505" s="434"/>
      <c r="H505" s="434"/>
      <c r="I505" s="434"/>
      <c r="J505" s="434"/>
      <c r="K505" s="434"/>
      <c r="L505" s="434"/>
      <c r="M505" s="434"/>
      <c r="N505" s="434"/>
      <c r="O505" s="434"/>
      <c r="P505" s="434"/>
      <c r="Q505" s="434"/>
      <c r="R505" s="434"/>
      <c r="S505" s="434"/>
      <c r="T505" s="434"/>
      <c r="U505" s="434"/>
      <c r="V505" s="434"/>
      <c r="W505" s="434"/>
      <c r="X505" s="434"/>
      <c r="Y505" s="434"/>
      <c r="Z505" s="434"/>
    </row>
    <row r="524" spans="2:26" ht="20.100000000000001" customHeight="1">
      <c r="B524" s="434" t="s">
        <v>643</v>
      </c>
      <c r="C524" s="434"/>
      <c r="D524" s="434"/>
      <c r="E524" s="434"/>
      <c r="F524" s="434"/>
      <c r="G524" s="434"/>
      <c r="H524" s="434"/>
      <c r="I524" s="434"/>
      <c r="J524" s="434"/>
      <c r="K524" s="434"/>
      <c r="L524" s="434"/>
      <c r="M524" s="434"/>
      <c r="N524" s="434"/>
      <c r="O524" s="434"/>
      <c r="P524" s="434"/>
      <c r="Q524" s="434"/>
      <c r="R524" s="434"/>
      <c r="S524" s="434"/>
      <c r="T524" s="434"/>
      <c r="U524" s="434"/>
      <c r="V524" s="434"/>
      <c r="W524" s="434"/>
      <c r="X524" s="434"/>
      <c r="Y524" s="434"/>
      <c r="Z524" s="434"/>
    </row>
    <row r="539" spans="2:26" ht="20.100000000000001" customHeight="1">
      <c r="B539" s="434" t="s">
        <v>644</v>
      </c>
      <c r="C539" s="434"/>
      <c r="D539" s="434"/>
      <c r="E539" s="434"/>
      <c r="F539" s="434"/>
      <c r="G539" s="434"/>
      <c r="H539" s="434"/>
      <c r="I539" s="434"/>
      <c r="J539" s="434"/>
      <c r="K539" s="434"/>
      <c r="L539" s="434"/>
      <c r="M539" s="434"/>
      <c r="N539" s="434"/>
      <c r="O539" s="434"/>
      <c r="P539" s="434"/>
      <c r="Q539" s="434"/>
      <c r="R539" s="434"/>
      <c r="S539" s="434"/>
      <c r="T539" s="434"/>
      <c r="U539" s="434"/>
      <c r="V539" s="434"/>
      <c r="W539" s="434"/>
      <c r="X539" s="434"/>
      <c r="Y539" s="434"/>
      <c r="Z539" s="434"/>
    </row>
  </sheetData>
  <pageMargins left="0.511811024" right="0.511811024" top="0.78740157499999996" bottom="0.78740157499999996" header="0.31496062000000002" footer="0.31496062000000002"/>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DE2A1-518C-4567-B433-A8622D7B5E6C}">
  <sheetPr>
    <tabColor rgb="FF00B050"/>
  </sheetPr>
  <dimension ref="B1:Z103"/>
  <sheetViews>
    <sheetView workbookViewId="0"/>
  </sheetViews>
  <sheetFormatPr defaultColWidth="43.42578125" defaultRowHeight="15"/>
  <cols>
    <col min="1" max="1" width="6.28515625" style="1" customWidth="1"/>
    <col min="2" max="2" width="14.7109375" customWidth="1"/>
    <col min="3" max="3" width="47.7109375" customWidth="1"/>
    <col min="4" max="4" width="12.140625" bestFit="1" customWidth="1"/>
    <col min="5" max="5" width="12" customWidth="1"/>
    <col min="6" max="6" width="10.5703125" customWidth="1"/>
    <col min="7" max="7" width="11.5703125" customWidth="1"/>
    <col min="8" max="8" width="9.5703125" customWidth="1"/>
    <col min="9" max="9" width="9.140625" customWidth="1"/>
    <col min="10" max="10" width="9.28515625" customWidth="1"/>
    <col min="11" max="11" width="7.140625" customWidth="1"/>
    <col min="12" max="12" width="8.7109375" customWidth="1"/>
    <col min="13" max="13" width="6.5703125" customWidth="1"/>
    <col min="14" max="14" width="9.28515625" customWidth="1"/>
    <col min="15" max="15" width="8" bestFit="1" customWidth="1"/>
    <col min="16" max="16" width="10" customWidth="1"/>
    <col min="17" max="17" width="7.140625" customWidth="1"/>
    <col min="18" max="18" width="9" customWidth="1"/>
    <col min="19" max="19" width="7" customWidth="1"/>
    <col min="20" max="21" width="8.7109375" customWidth="1"/>
    <col min="22" max="22" width="9.85546875" customWidth="1"/>
    <col min="23" max="23" width="6.7109375" customWidth="1"/>
    <col min="24" max="24" width="11" customWidth="1"/>
    <col min="25" max="25" width="12" customWidth="1"/>
    <col min="26" max="26" width="13.7109375" customWidth="1"/>
    <col min="27" max="27" width="6.28515625" style="1" customWidth="1"/>
    <col min="28" max="16384" width="43.42578125" style="1"/>
  </cols>
  <sheetData>
    <row r="1" spans="2:26" ht="28.35" customHeight="1">
      <c r="B1" s="777" t="s">
        <v>146</v>
      </c>
      <c r="C1" s="775" t="s">
        <v>147</v>
      </c>
      <c r="D1" s="775" t="s">
        <v>148</v>
      </c>
      <c r="E1" s="775" t="s">
        <v>149</v>
      </c>
      <c r="F1" s="775" t="s">
        <v>150</v>
      </c>
      <c r="G1" s="775"/>
      <c r="H1" s="775" t="s">
        <v>151</v>
      </c>
      <c r="I1" s="775"/>
      <c r="J1" s="775"/>
      <c r="K1" s="775"/>
      <c r="L1" s="775"/>
      <c r="M1" s="775"/>
      <c r="N1" s="775"/>
      <c r="O1" s="775"/>
      <c r="P1" s="775"/>
      <c r="Q1" s="775"/>
      <c r="R1" s="775" t="s">
        <v>152</v>
      </c>
      <c r="S1" s="775"/>
      <c r="T1" s="775"/>
      <c r="U1" s="775"/>
      <c r="V1" s="775"/>
      <c r="W1" s="775"/>
      <c r="X1" s="775" t="s">
        <v>153</v>
      </c>
      <c r="Y1" s="775"/>
      <c r="Z1" s="776" t="s">
        <v>154</v>
      </c>
    </row>
    <row r="2" spans="2:26" ht="36" customHeight="1">
      <c r="B2" s="777"/>
      <c r="C2" s="775"/>
      <c r="D2" s="775"/>
      <c r="E2" s="775"/>
      <c r="F2" s="775"/>
      <c r="G2" s="775"/>
      <c r="H2" s="775" t="s">
        <v>155</v>
      </c>
      <c r="I2" s="775"/>
      <c r="J2" s="775" t="s">
        <v>156</v>
      </c>
      <c r="K2" s="775"/>
      <c r="L2" s="775" t="s">
        <v>157</v>
      </c>
      <c r="M2" s="775"/>
      <c r="N2" s="775" t="s">
        <v>158</v>
      </c>
      <c r="O2" s="775"/>
      <c r="P2" s="775" t="s">
        <v>159</v>
      </c>
      <c r="Q2" s="775"/>
      <c r="R2" s="775" t="s">
        <v>160</v>
      </c>
      <c r="S2" s="775"/>
      <c r="T2" s="775" t="s">
        <v>161</v>
      </c>
      <c r="U2" s="775"/>
      <c r="V2" s="775" t="s">
        <v>162</v>
      </c>
      <c r="W2" s="775"/>
      <c r="X2" s="775"/>
      <c r="Y2" s="775"/>
      <c r="Z2" s="776"/>
    </row>
    <row r="3" spans="2:26" ht="28.35" customHeight="1">
      <c r="B3" s="777"/>
      <c r="C3" s="775"/>
      <c r="D3" s="775"/>
      <c r="E3" s="98" t="s">
        <v>163</v>
      </c>
      <c r="F3" s="98" t="s">
        <v>164</v>
      </c>
      <c r="G3" s="98" t="s">
        <v>163</v>
      </c>
      <c r="H3" s="98" t="s">
        <v>164</v>
      </c>
      <c r="I3" s="98" t="s">
        <v>163</v>
      </c>
      <c r="J3" s="98" t="s">
        <v>164</v>
      </c>
      <c r="K3" s="98" t="s">
        <v>163</v>
      </c>
      <c r="L3" s="98" t="s">
        <v>164</v>
      </c>
      <c r="M3" s="98" t="s">
        <v>163</v>
      </c>
      <c r="N3" s="98" t="s">
        <v>164</v>
      </c>
      <c r="O3" s="98" t="s">
        <v>163</v>
      </c>
      <c r="P3" s="98" t="s">
        <v>164</v>
      </c>
      <c r="Q3" s="98" t="s">
        <v>163</v>
      </c>
      <c r="R3" s="98" t="s">
        <v>164</v>
      </c>
      <c r="S3" s="98" t="s">
        <v>163</v>
      </c>
      <c r="T3" s="98" t="s">
        <v>164</v>
      </c>
      <c r="U3" s="98" t="s">
        <v>163</v>
      </c>
      <c r="V3" s="98" t="s">
        <v>164</v>
      </c>
      <c r="W3" s="98" t="s">
        <v>163</v>
      </c>
      <c r="X3" s="98" t="s">
        <v>164</v>
      </c>
      <c r="Y3" s="98" t="s">
        <v>163</v>
      </c>
      <c r="Z3" s="99" t="s">
        <v>163</v>
      </c>
    </row>
    <row r="4" spans="2:26" ht="28.35" customHeight="1">
      <c r="B4" s="100" t="s">
        <v>165</v>
      </c>
      <c r="C4" s="101" t="s">
        <v>1</v>
      </c>
      <c r="D4" s="102" t="s">
        <v>166</v>
      </c>
      <c r="E4" s="103">
        <v>4281.78</v>
      </c>
      <c r="F4" s="2">
        <v>0.79520000000000002</v>
      </c>
      <c r="G4" s="103">
        <v>3404.88</v>
      </c>
      <c r="H4" s="2">
        <v>0.16420000000000001</v>
      </c>
      <c r="I4" s="103">
        <v>702.89</v>
      </c>
      <c r="J4" s="2">
        <v>5.7999999999999996E-3</v>
      </c>
      <c r="K4" s="103">
        <v>24.8</v>
      </c>
      <c r="L4" s="2">
        <v>0</v>
      </c>
      <c r="M4" s="103">
        <v>0</v>
      </c>
      <c r="N4" s="2">
        <v>0</v>
      </c>
      <c r="O4" s="103">
        <v>0</v>
      </c>
      <c r="P4" s="2">
        <v>6.9999999999999999E-4</v>
      </c>
      <c r="Q4" s="103">
        <v>3.02</v>
      </c>
      <c r="R4" s="2">
        <v>0</v>
      </c>
      <c r="S4" s="103">
        <v>0</v>
      </c>
      <c r="T4" s="2">
        <v>6.7100000000000007E-2</v>
      </c>
      <c r="U4" s="103">
        <v>287.2</v>
      </c>
      <c r="V4" s="2">
        <v>2.3E-3</v>
      </c>
      <c r="W4" s="103">
        <v>9.98</v>
      </c>
      <c r="X4" s="2">
        <v>1.0353000000000001</v>
      </c>
      <c r="Y4" s="103">
        <v>4432.76</v>
      </c>
      <c r="Z4" s="104">
        <v>8714.5499999999993</v>
      </c>
    </row>
    <row r="5" spans="2:26" ht="28.35" customHeight="1">
      <c r="B5" s="100" t="s">
        <v>167</v>
      </c>
      <c r="C5" s="101" t="s">
        <v>2</v>
      </c>
      <c r="D5" s="102" t="s">
        <v>166</v>
      </c>
      <c r="E5" s="103">
        <v>5709.05</v>
      </c>
      <c r="F5" s="2">
        <v>0.79520000000000002</v>
      </c>
      <c r="G5" s="103">
        <v>4539.83</v>
      </c>
      <c r="H5" s="2">
        <v>0.1231</v>
      </c>
      <c r="I5" s="103">
        <v>702.89</v>
      </c>
      <c r="J5" s="2">
        <v>4.3E-3</v>
      </c>
      <c r="K5" s="103">
        <v>24.8</v>
      </c>
      <c r="L5" s="2">
        <v>0</v>
      </c>
      <c r="M5" s="103">
        <v>0</v>
      </c>
      <c r="N5" s="2">
        <v>0</v>
      </c>
      <c r="O5" s="103">
        <v>0</v>
      </c>
      <c r="P5" s="2">
        <v>5.0000000000000001E-4</v>
      </c>
      <c r="Q5" s="103">
        <v>3.02</v>
      </c>
      <c r="R5" s="2">
        <v>0</v>
      </c>
      <c r="S5" s="103">
        <v>0</v>
      </c>
      <c r="T5" s="2">
        <v>5.0299999999999997E-2</v>
      </c>
      <c r="U5" s="103">
        <v>287.2</v>
      </c>
      <c r="V5" s="2">
        <v>1.6999999999999999E-3</v>
      </c>
      <c r="W5" s="103">
        <v>9.98</v>
      </c>
      <c r="X5" s="2">
        <v>0.97519999999999996</v>
      </c>
      <c r="Y5" s="103">
        <v>5567.72</v>
      </c>
      <c r="Z5" s="104">
        <v>11276.77</v>
      </c>
    </row>
    <row r="6" spans="2:26" ht="28.35" customHeight="1">
      <c r="B6" s="100" t="s">
        <v>168</v>
      </c>
      <c r="C6" s="101" t="s">
        <v>3</v>
      </c>
      <c r="D6" s="102" t="s">
        <v>166</v>
      </c>
      <c r="E6" s="103">
        <v>10130.91</v>
      </c>
      <c r="F6" s="2">
        <v>0.79520000000000002</v>
      </c>
      <c r="G6" s="103">
        <v>8056.1</v>
      </c>
      <c r="H6" s="2">
        <v>6.9400000000000003E-2</v>
      </c>
      <c r="I6" s="103">
        <v>702.89</v>
      </c>
      <c r="J6" s="2">
        <v>2.3999999999999998E-3</v>
      </c>
      <c r="K6" s="103">
        <v>24.8</v>
      </c>
      <c r="L6" s="2">
        <v>0</v>
      </c>
      <c r="M6" s="103">
        <v>0</v>
      </c>
      <c r="N6" s="2">
        <v>0</v>
      </c>
      <c r="O6" s="103">
        <v>0</v>
      </c>
      <c r="P6" s="2">
        <v>2.9999999999999997E-4</v>
      </c>
      <c r="Q6" s="103">
        <v>3.02</v>
      </c>
      <c r="R6" s="2">
        <v>0</v>
      </c>
      <c r="S6" s="103">
        <v>0</v>
      </c>
      <c r="T6" s="2">
        <v>2.8299999999999999E-2</v>
      </c>
      <c r="U6" s="103">
        <v>287.2</v>
      </c>
      <c r="V6" s="2">
        <v>1E-3</v>
      </c>
      <c r="W6" s="103">
        <v>9.98</v>
      </c>
      <c r="X6" s="2">
        <v>0.89670000000000005</v>
      </c>
      <c r="Y6" s="103">
        <v>9083.99</v>
      </c>
      <c r="Z6" s="104">
        <v>19214.900000000001</v>
      </c>
    </row>
    <row r="7" spans="2:26" ht="28.35" customHeight="1">
      <c r="B7" s="100" t="s">
        <v>169</v>
      </c>
      <c r="C7" s="101" t="s">
        <v>4</v>
      </c>
      <c r="D7" s="102" t="s">
        <v>166</v>
      </c>
      <c r="E7" s="103">
        <v>4013.75</v>
      </c>
      <c r="F7" s="2">
        <v>0.79410000000000003</v>
      </c>
      <c r="G7" s="103">
        <v>3187.32</v>
      </c>
      <c r="H7" s="2">
        <v>0.17510000000000001</v>
      </c>
      <c r="I7" s="103">
        <v>702.89</v>
      </c>
      <c r="J7" s="2">
        <v>0</v>
      </c>
      <c r="K7" s="103">
        <v>0</v>
      </c>
      <c r="L7" s="2">
        <v>0</v>
      </c>
      <c r="M7" s="103">
        <v>0</v>
      </c>
      <c r="N7" s="2">
        <v>0</v>
      </c>
      <c r="O7" s="103">
        <v>0</v>
      </c>
      <c r="P7" s="2">
        <v>8.9999999999999998E-4</v>
      </c>
      <c r="Q7" s="103">
        <v>3.46</v>
      </c>
      <c r="R7" s="2">
        <v>0</v>
      </c>
      <c r="S7" s="103">
        <v>0</v>
      </c>
      <c r="T7" s="2">
        <v>7.1599999999999997E-2</v>
      </c>
      <c r="U7" s="103">
        <v>287.2</v>
      </c>
      <c r="V7" s="2">
        <v>2.5000000000000001E-3</v>
      </c>
      <c r="W7" s="103">
        <v>9.98</v>
      </c>
      <c r="X7" s="2">
        <v>1.0441</v>
      </c>
      <c r="Y7" s="103">
        <v>4190.8500000000004</v>
      </c>
      <c r="Z7" s="104">
        <v>8204.59</v>
      </c>
    </row>
    <row r="8" spans="2:26" ht="28.35" customHeight="1">
      <c r="B8" s="100" t="s">
        <v>170</v>
      </c>
      <c r="C8" s="101" t="s">
        <v>5</v>
      </c>
      <c r="D8" s="102" t="s">
        <v>166</v>
      </c>
      <c r="E8" s="103">
        <v>5130.1499999999996</v>
      </c>
      <c r="F8" s="2">
        <v>0.79410000000000003</v>
      </c>
      <c r="G8" s="103">
        <v>4073.85</v>
      </c>
      <c r="H8" s="2">
        <v>0.13700000000000001</v>
      </c>
      <c r="I8" s="103">
        <v>702.89</v>
      </c>
      <c r="J8" s="2">
        <v>0</v>
      </c>
      <c r="K8" s="103">
        <v>0</v>
      </c>
      <c r="L8" s="2">
        <v>0</v>
      </c>
      <c r="M8" s="103">
        <v>0</v>
      </c>
      <c r="N8" s="2">
        <v>0</v>
      </c>
      <c r="O8" s="103">
        <v>0</v>
      </c>
      <c r="P8" s="2">
        <v>6.9999999999999999E-4</v>
      </c>
      <c r="Q8" s="103">
        <v>3.46</v>
      </c>
      <c r="R8" s="2">
        <v>0</v>
      </c>
      <c r="S8" s="103">
        <v>0</v>
      </c>
      <c r="T8" s="2">
        <v>5.6000000000000001E-2</v>
      </c>
      <c r="U8" s="103">
        <v>287.2</v>
      </c>
      <c r="V8" s="2">
        <v>1.9E-3</v>
      </c>
      <c r="W8" s="103">
        <v>9.98</v>
      </c>
      <c r="X8" s="2">
        <v>0.98970000000000002</v>
      </c>
      <c r="Y8" s="103">
        <v>5077.38</v>
      </c>
      <c r="Z8" s="104">
        <v>10207.530000000001</v>
      </c>
    </row>
    <row r="9" spans="2:26" ht="28.35" customHeight="1">
      <c r="B9" s="100" t="s">
        <v>171</v>
      </c>
      <c r="C9" s="101" t="s">
        <v>6</v>
      </c>
      <c r="D9" s="102" t="s">
        <v>166</v>
      </c>
      <c r="E9" s="103">
        <v>9196.66</v>
      </c>
      <c r="F9" s="2">
        <v>0.79410000000000003</v>
      </c>
      <c r="G9" s="103">
        <v>7303.07</v>
      </c>
      <c r="H9" s="2">
        <v>7.6399999999999996E-2</v>
      </c>
      <c r="I9" s="103">
        <v>702.89</v>
      </c>
      <c r="J9" s="2">
        <v>0</v>
      </c>
      <c r="K9" s="103">
        <v>0</v>
      </c>
      <c r="L9" s="2">
        <v>0</v>
      </c>
      <c r="M9" s="103">
        <v>0</v>
      </c>
      <c r="N9" s="2">
        <v>0</v>
      </c>
      <c r="O9" s="103">
        <v>0</v>
      </c>
      <c r="P9" s="2">
        <v>4.0000000000000002E-4</v>
      </c>
      <c r="Q9" s="103">
        <v>3.46</v>
      </c>
      <c r="R9" s="2">
        <v>0</v>
      </c>
      <c r="S9" s="103">
        <v>0</v>
      </c>
      <c r="T9" s="2">
        <v>3.1199999999999999E-2</v>
      </c>
      <c r="U9" s="103">
        <v>287.2</v>
      </c>
      <c r="V9" s="2">
        <v>1.1000000000000001E-3</v>
      </c>
      <c r="W9" s="103">
        <v>9.98</v>
      </c>
      <c r="X9" s="2">
        <v>0.9032</v>
      </c>
      <c r="Y9" s="103">
        <v>8306.6</v>
      </c>
      <c r="Z9" s="104">
        <v>17503.259999999998</v>
      </c>
    </row>
    <row r="10" spans="2:26" ht="28.35" customHeight="1">
      <c r="B10" s="100" t="s">
        <v>172</v>
      </c>
      <c r="C10" s="101" t="s">
        <v>7</v>
      </c>
      <c r="D10" s="102" t="s">
        <v>166</v>
      </c>
      <c r="E10" s="103">
        <v>11220</v>
      </c>
      <c r="F10" s="2">
        <v>0.79300000000000004</v>
      </c>
      <c r="G10" s="103">
        <v>8897.4599999999991</v>
      </c>
      <c r="H10" s="2">
        <v>6.2600000000000003E-2</v>
      </c>
      <c r="I10" s="103">
        <v>702.89</v>
      </c>
      <c r="J10" s="2">
        <v>2.2000000000000001E-3</v>
      </c>
      <c r="K10" s="103">
        <v>24.8</v>
      </c>
      <c r="L10" s="2">
        <v>0</v>
      </c>
      <c r="M10" s="103">
        <v>0</v>
      </c>
      <c r="N10" s="2">
        <v>0</v>
      </c>
      <c r="O10" s="103">
        <v>0</v>
      </c>
      <c r="P10" s="2">
        <v>2.9999999999999997E-4</v>
      </c>
      <c r="Q10" s="103">
        <v>3.43</v>
      </c>
      <c r="R10" s="2">
        <v>0</v>
      </c>
      <c r="S10" s="103">
        <v>0</v>
      </c>
      <c r="T10" s="2">
        <v>2.5600000000000001E-2</v>
      </c>
      <c r="U10" s="103">
        <v>287.2</v>
      </c>
      <c r="V10" s="2">
        <v>8.9999999999999998E-4</v>
      </c>
      <c r="W10" s="103">
        <v>9.98</v>
      </c>
      <c r="X10" s="2">
        <v>0.88460000000000005</v>
      </c>
      <c r="Y10" s="103">
        <v>9925.76</v>
      </c>
      <c r="Z10" s="104">
        <v>21145.759999999998</v>
      </c>
    </row>
    <row r="11" spans="2:26" ht="28.35" customHeight="1">
      <c r="B11" s="100" t="s">
        <v>173</v>
      </c>
      <c r="C11" s="101" t="s">
        <v>8</v>
      </c>
      <c r="D11" s="102" t="s">
        <v>166</v>
      </c>
      <c r="E11" s="103">
        <v>11626.7</v>
      </c>
      <c r="F11" s="2">
        <v>0.79300000000000004</v>
      </c>
      <c r="G11" s="103">
        <v>9219.9699999999993</v>
      </c>
      <c r="H11" s="2">
        <v>6.0499999999999998E-2</v>
      </c>
      <c r="I11" s="103">
        <v>702.89</v>
      </c>
      <c r="J11" s="2">
        <v>2.0999999999999999E-3</v>
      </c>
      <c r="K11" s="103">
        <v>24.8</v>
      </c>
      <c r="L11" s="2">
        <v>0</v>
      </c>
      <c r="M11" s="103">
        <v>0</v>
      </c>
      <c r="N11" s="2">
        <v>0</v>
      </c>
      <c r="O11" s="103">
        <v>0</v>
      </c>
      <c r="P11" s="2">
        <v>2.9999999999999997E-4</v>
      </c>
      <c r="Q11" s="103">
        <v>3.43</v>
      </c>
      <c r="R11" s="2">
        <v>0</v>
      </c>
      <c r="S11" s="103">
        <v>0</v>
      </c>
      <c r="T11" s="2">
        <v>2.47E-2</v>
      </c>
      <c r="U11" s="103">
        <v>287.2</v>
      </c>
      <c r="V11" s="2">
        <v>8.9999999999999998E-4</v>
      </c>
      <c r="W11" s="103">
        <v>9.98</v>
      </c>
      <c r="X11" s="2">
        <v>0.88139999999999996</v>
      </c>
      <c r="Y11" s="103">
        <v>10248.27</v>
      </c>
      <c r="Z11" s="104">
        <v>21874.97</v>
      </c>
    </row>
    <row r="12" spans="2:26" ht="28.35" customHeight="1">
      <c r="B12" s="100" t="s">
        <v>174</v>
      </c>
      <c r="C12" s="101" t="s">
        <v>9</v>
      </c>
      <c r="D12" s="102" t="s">
        <v>166</v>
      </c>
      <c r="E12" s="103">
        <v>14229.73</v>
      </c>
      <c r="F12" s="2">
        <v>0.79300000000000004</v>
      </c>
      <c r="G12" s="103">
        <v>11284.18</v>
      </c>
      <c r="H12" s="2">
        <v>4.9399999999999999E-2</v>
      </c>
      <c r="I12" s="103">
        <v>702.89</v>
      </c>
      <c r="J12" s="2">
        <v>1.6999999999999999E-3</v>
      </c>
      <c r="K12" s="103">
        <v>24.8</v>
      </c>
      <c r="L12" s="2">
        <v>0</v>
      </c>
      <c r="M12" s="103">
        <v>0</v>
      </c>
      <c r="N12" s="2">
        <v>0</v>
      </c>
      <c r="O12" s="103">
        <v>0</v>
      </c>
      <c r="P12" s="2">
        <v>2.0000000000000001E-4</v>
      </c>
      <c r="Q12" s="103">
        <v>3.43</v>
      </c>
      <c r="R12" s="2">
        <v>0</v>
      </c>
      <c r="S12" s="103">
        <v>0</v>
      </c>
      <c r="T12" s="2">
        <v>2.0199999999999999E-2</v>
      </c>
      <c r="U12" s="103">
        <v>287.2</v>
      </c>
      <c r="V12" s="2">
        <v>6.9999999999999999E-4</v>
      </c>
      <c r="W12" s="103">
        <v>9.98</v>
      </c>
      <c r="X12" s="2">
        <v>0.86529999999999996</v>
      </c>
      <c r="Y12" s="103">
        <v>12312.48</v>
      </c>
      <c r="Z12" s="104">
        <v>26542.21</v>
      </c>
    </row>
    <row r="13" spans="2:26" ht="28.35" customHeight="1">
      <c r="B13" s="100" t="s">
        <v>175</v>
      </c>
      <c r="C13" s="101" t="s">
        <v>10</v>
      </c>
      <c r="D13" s="102" t="s">
        <v>166</v>
      </c>
      <c r="E13" s="103">
        <v>3020.78</v>
      </c>
      <c r="F13" s="2">
        <v>0.79979999999999996</v>
      </c>
      <c r="G13" s="103">
        <v>2416.02</v>
      </c>
      <c r="H13" s="2">
        <v>0.23269999999999999</v>
      </c>
      <c r="I13" s="103">
        <v>702.89</v>
      </c>
      <c r="J13" s="2">
        <v>8.2000000000000007E-3</v>
      </c>
      <c r="K13" s="103">
        <v>24.8</v>
      </c>
      <c r="L13" s="2">
        <v>0</v>
      </c>
      <c r="M13" s="103">
        <v>0</v>
      </c>
      <c r="N13" s="2">
        <v>1.2500000000000001E-2</v>
      </c>
      <c r="O13" s="103">
        <v>37.78</v>
      </c>
      <c r="P13" s="2">
        <v>1.6000000000000001E-3</v>
      </c>
      <c r="Q13" s="103">
        <v>4.7</v>
      </c>
      <c r="R13" s="2">
        <v>0</v>
      </c>
      <c r="S13" s="103">
        <v>0</v>
      </c>
      <c r="T13" s="2">
        <v>9.5100000000000004E-2</v>
      </c>
      <c r="U13" s="103">
        <v>287.2</v>
      </c>
      <c r="V13" s="2">
        <v>3.3E-3</v>
      </c>
      <c r="W13" s="103">
        <v>9.98</v>
      </c>
      <c r="X13" s="2">
        <v>1.1531</v>
      </c>
      <c r="Y13" s="103">
        <v>3483.38</v>
      </c>
      <c r="Z13" s="104">
        <v>6504.16</v>
      </c>
    </row>
    <row r="14" spans="2:26" ht="28.35" customHeight="1">
      <c r="B14" s="100" t="s">
        <v>176</v>
      </c>
      <c r="C14" s="101" t="s">
        <v>11</v>
      </c>
      <c r="D14" s="102" t="s">
        <v>166</v>
      </c>
      <c r="E14" s="103">
        <v>4027.71</v>
      </c>
      <c r="F14" s="2">
        <v>0.79979999999999996</v>
      </c>
      <c r="G14" s="103">
        <v>3221.36</v>
      </c>
      <c r="H14" s="2">
        <v>0.17449999999999999</v>
      </c>
      <c r="I14" s="103">
        <v>702.89</v>
      </c>
      <c r="J14" s="2">
        <v>6.1999999999999998E-3</v>
      </c>
      <c r="K14" s="103">
        <v>24.8</v>
      </c>
      <c r="L14" s="2">
        <v>0</v>
      </c>
      <c r="M14" s="103">
        <v>0</v>
      </c>
      <c r="N14" s="2">
        <v>0</v>
      </c>
      <c r="O14" s="103">
        <v>0</v>
      </c>
      <c r="P14" s="2">
        <v>1.1999999999999999E-3</v>
      </c>
      <c r="Q14" s="103">
        <v>4.7</v>
      </c>
      <c r="R14" s="2">
        <v>0</v>
      </c>
      <c r="S14" s="103">
        <v>0</v>
      </c>
      <c r="T14" s="2">
        <v>7.1300000000000002E-2</v>
      </c>
      <c r="U14" s="103">
        <v>287.2</v>
      </c>
      <c r="V14" s="2">
        <v>2.5000000000000001E-3</v>
      </c>
      <c r="W14" s="103">
        <v>9.98</v>
      </c>
      <c r="X14" s="2">
        <v>1.0553999999999999</v>
      </c>
      <c r="Y14" s="103">
        <v>4250.93</v>
      </c>
      <c r="Z14" s="104">
        <v>8278.64</v>
      </c>
    </row>
    <row r="15" spans="2:26" ht="28.35" customHeight="1">
      <c r="B15" s="100" t="s">
        <v>177</v>
      </c>
      <c r="C15" s="101" t="s">
        <v>12</v>
      </c>
      <c r="D15" s="102" t="s">
        <v>166</v>
      </c>
      <c r="E15" s="103">
        <v>6830.21</v>
      </c>
      <c r="F15" s="2">
        <v>0.79979999999999996</v>
      </c>
      <c r="G15" s="103">
        <v>5462.8</v>
      </c>
      <c r="H15" s="2">
        <v>0.10290000000000001</v>
      </c>
      <c r="I15" s="103">
        <v>702.89</v>
      </c>
      <c r="J15" s="2">
        <v>3.5999999999999999E-3</v>
      </c>
      <c r="K15" s="103">
        <v>24.8</v>
      </c>
      <c r="L15" s="2">
        <v>0</v>
      </c>
      <c r="M15" s="103">
        <v>0</v>
      </c>
      <c r="N15" s="2">
        <v>0</v>
      </c>
      <c r="O15" s="103">
        <v>0</v>
      </c>
      <c r="P15" s="2">
        <v>6.9999999999999999E-4</v>
      </c>
      <c r="Q15" s="103">
        <v>4.7</v>
      </c>
      <c r="R15" s="2">
        <v>0</v>
      </c>
      <c r="S15" s="103">
        <v>0</v>
      </c>
      <c r="T15" s="2">
        <v>4.2000000000000003E-2</v>
      </c>
      <c r="U15" s="103">
        <v>287.2</v>
      </c>
      <c r="V15" s="2">
        <v>1.5E-3</v>
      </c>
      <c r="W15" s="103">
        <v>9.98</v>
      </c>
      <c r="X15" s="2">
        <v>0.95050000000000001</v>
      </c>
      <c r="Y15" s="103">
        <v>6492.37</v>
      </c>
      <c r="Z15" s="104">
        <v>13322.58</v>
      </c>
    </row>
    <row r="16" spans="2:26" ht="28.35" customHeight="1">
      <c r="B16" s="100" t="s">
        <v>178</v>
      </c>
      <c r="C16" s="101" t="s">
        <v>13</v>
      </c>
      <c r="D16" s="102" t="s">
        <v>166</v>
      </c>
      <c r="E16" s="103">
        <v>1467.63</v>
      </c>
      <c r="F16" s="2">
        <v>0.80469999999999997</v>
      </c>
      <c r="G16" s="103">
        <v>1181</v>
      </c>
      <c r="H16" s="2">
        <v>0.47889999999999999</v>
      </c>
      <c r="I16" s="103">
        <v>702.89</v>
      </c>
      <c r="J16" s="2">
        <v>2.06E-2</v>
      </c>
      <c r="K16" s="103">
        <v>30.19</v>
      </c>
      <c r="L16" s="2">
        <v>1.1000000000000001E-3</v>
      </c>
      <c r="M16" s="103">
        <v>1.55</v>
      </c>
      <c r="N16" s="2">
        <v>8.9200000000000002E-2</v>
      </c>
      <c r="O16" s="103">
        <v>130.97</v>
      </c>
      <c r="P16" s="2">
        <v>4.4999999999999997E-3</v>
      </c>
      <c r="Q16" s="103">
        <v>6.67</v>
      </c>
      <c r="R16" s="2">
        <v>0</v>
      </c>
      <c r="S16" s="103">
        <v>0</v>
      </c>
      <c r="T16" s="2">
        <v>0.19570000000000001</v>
      </c>
      <c r="U16" s="103">
        <v>287.2</v>
      </c>
      <c r="V16" s="2">
        <v>6.7999999999999996E-3</v>
      </c>
      <c r="W16" s="103">
        <v>9.98</v>
      </c>
      <c r="X16" s="2">
        <v>1.6014999999999999</v>
      </c>
      <c r="Y16" s="103">
        <v>2350.46</v>
      </c>
      <c r="Z16" s="104">
        <v>3818.09</v>
      </c>
    </row>
    <row r="17" spans="2:26" ht="28.35" customHeight="1">
      <c r="B17" s="100" t="s">
        <v>179</v>
      </c>
      <c r="C17" s="101" t="s">
        <v>14</v>
      </c>
      <c r="D17" s="102" t="s">
        <v>166</v>
      </c>
      <c r="E17" s="103">
        <v>1772.08</v>
      </c>
      <c r="F17" s="2">
        <v>0.80120000000000002</v>
      </c>
      <c r="G17" s="103">
        <v>1419.79</v>
      </c>
      <c r="H17" s="2">
        <v>0.39660000000000001</v>
      </c>
      <c r="I17" s="103">
        <v>702.89</v>
      </c>
      <c r="J17" s="2">
        <v>0</v>
      </c>
      <c r="K17" s="103">
        <v>0</v>
      </c>
      <c r="L17" s="2">
        <v>0</v>
      </c>
      <c r="M17" s="103">
        <v>0</v>
      </c>
      <c r="N17" s="2">
        <v>6.3600000000000004E-2</v>
      </c>
      <c r="O17" s="103">
        <v>112.71</v>
      </c>
      <c r="P17" s="2">
        <v>2.2000000000000001E-3</v>
      </c>
      <c r="Q17" s="103">
        <v>3.83</v>
      </c>
      <c r="R17" s="2">
        <v>0</v>
      </c>
      <c r="S17" s="103">
        <v>0</v>
      </c>
      <c r="T17" s="2">
        <v>0.16209999999999999</v>
      </c>
      <c r="U17" s="103">
        <v>287.2</v>
      </c>
      <c r="V17" s="2">
        <v>5.5999999999999999E-3</v>
      </c>
      <c r="W17" s="103">
        <v>9.98</v>
      </c>
      <c r="X17" s="2">
        <v>1.4313</v>
      </c>
      <c r="Y17" s="103">
        <v>2536.41</v>
      </c>
      <c r="Z17" s="104">
        <v>4308.49</v>
      </c>
    </row>
    <row r="18" spans="2:26" ht="28.35" customHeight="1">
      <c r="B18" s="100" t="s">
        <v>180</v>
      </c>
      <c r="C18" s="101" t="s">
        <v>15</v>
      </c>
      <c r="D18" s="102" t="s">
        <v>166</v>
      </c>
      <c r="E18" s="103">
        <v>1618.28</v>
      </c>
      <c r="F18" s="2">
        <v>0.80079999999999996</v>
      </c>
      <c r="G18" s="103">
        <v>1295.92</v>
      </c>
      <c r="H18" s="2">
        <v>0.43430000000000002</v>
      </c>
      <c r="I18" s="103">
        <v>702.89</v>
      </c>
      <c r="J18" s="2">
        <v>1.8700000000000001E-2</v>
      </c>
      <c r="K18" s="103">
        <v>30.19</v>
      </c>
      <c r="L18" s="2">
        <v>2E-3</v>
      </c>
      <c r="M18" s="103">
        <v>3.19</v>
      </c>
      <c r="N18" s="2">
        <v>7.5300000000000006E-2</v>
      </c>
      <c r="O18" s="103">
        <v>121.94</v>
      </c>
      <c r="P18" s="2">
        <v>2.7000000000000001E-3</v>
      </c>
      <c r="Q18" s="103">
        <v>4.3099999999999996</v>
      </c>
      <c r="R18" s="2">
        <v>0</v>
      </c>
      <c r="S18" s="103">
        <v>0</v>
      </c>
      <c r="T18" s="2">
        <v>0.17749999999999999</v>
      </c>
      <c r="U18" s="103">
        <v>287.2</v>
      </c>
      <c r="V18" s="2">
        <v>6.1999999999999998E-3</v>
      </c>
      <c r="W18" s="103">
        <v>9.98</v>
      </c>
      <c r="X18" s="2">
        <v>1.5174000000000001</v>
      </c>
      <c r="Y18" s="103">
        <v>2455.62</v>
      </c>
      <c r="Z18" s="104">
        <v>4073.9</v>
      </c>
    </row>
    <row r="19" spans="2:26" ht="28.35" customHeight="1">
      <c r="B19" s="100" t="s">
        <v>181</v>
      </c>
      <c r="C19" s="101" t="s">
        <v>16</v>
      </c>
      <c r="D19" s="102" t="s">
        <v>166</v>
      </c>
      <c r="E19" s="103">
        <v>1467.63</v>
      </c>
      <c r="F19" s="2">
        <v>0.80169999999999997</v>
      </c>
      <c r="G19" s="103">
        <v>1176.5999999999999</v>
      </c>
      <c r="H19" s="2">
        <v>0.47889999999999999</v>
      </c>
      <c r="I19" s="103">
        <v>702.89</v>
      </c>
      <c r="J19" s="2">
        <v>2.06E-2</v>
      </c>
      <c r="K19" s="103">
        <v>30.19</v>
      </c>
      <c r="L19" s="2">
        <v>8.9999999999999998E-4</v>
      </c>
      <c r="M19" s="103">
        <v>1.35</v>
      </c>
      <c r="N19" s="2">
        <v>8.9200000000000002E-2</v>
      </c>
      <c r="O19" s="103">
        <v>130.97</v>
      </c>
      <c r="P19" s="2">
        <v>3.2000000000000002E-3</v>
      </c>
      <c r="Q19" s="103">
        <v>4.7</v>
      </c>
      <c r="R19" s="2">
        <v>0</v>
      </c>
      <c r="S19" s="103">
        <v>0</v>
      </c>
      <c r="T19" s="2">
        <v>0.19570000000000001</v>
      </c>
      <c r="U19" s="103">
        <v>287.2</v>
      </c>
      <c r="V19" s="2">
        <v>6.7999999999999996E-3</v>
      </c>
      <c r="W19" s="103">
        <v>9.98</v>
      </c>
      <c r="X19" s="2">
        <v>1.5971</v>
      </c>
      <c r="Y19" s="103">
        <v>2343.88</v>
      </c>
      <c r="Z19" s="104">
        <v>3811.52</v>
      </c>
    </row>
    <row r="20" spans="2:26" ht="28.35" customHeight="1">
      <c r="B20" s="100" t="s">
        <v>182</v>
      </c>
      <c r="C20" s="101" t="s">
        <v>17</v>
      </c>
      <c r="D20" s="102" t="s">
        <v>166</v>
      </c>
      <c r="E20" s="103">
        <v>3175.35</v>
      </c>
      <c r="F20" s="2">
        <v>0.79559999999999997</v>
      </c>
      <c r="G20" s="103">
        <v>2526.31</v>
      </c>
      <c r="H20" s="2">
        <v>0.22140000000000001</v>
      </c>
      <c r="I20" s="103">
        <v>702.89</v>
      </c>
      <c r="J20" s="2">
        <v>7.7999999999999996E-3</v>
      </c>
      <c r="K20" s="103">
        <v>24.8</v>
      </c>
      <c r="L20" s="2">
        <v>0</v>
      </c>
      <c r="M20" s="103">
        <v>0</v>
      </c>
      <c r="N20" s="2">
        <v>8.9999999999999993E-3</v>
      </c>
      <c r="O20" s="103">
        <v>28.51</v>
      </c>
      <c r="P20" s="2">
        <v>1.1999999999999999E-3</v>
      </c>
      <c r="Q20" s="103">
        <v>3.77</v>
      </c>
      <c r="R20" s="2">
        <v>0</v>
      </c>
      <c r="S20" s="103">
        <v>0</v>
      </c>
      <c r="T20" s="2">
        <v>9.0399999999999994E-2</v>
      </c>
      <c r="U20" s="103">
        <v>287.2</v>
      </c>
      <c r="V20" s="2">
        <v>3.0999999999999999E-3</v>
      </c>
      <c r="W20" s="103">
        <v>9.98</v>
      </c>
      <c r="X20" s="2">
        <v>1.1285000000000001</v>
      </c>
      <c r="Y20" s="103">
        <v>3583.46</v>
      </c>
      <c r="Z20" s="104">
        <v>6758.81</v>
      </c>
    </row>
    <row r="21" spans="2:26" ht="28.35" customHeight="1">
      <c r="B21" s="100" t="s">
        <v>183</v>
      </c>
      <c r="C21" s="101" t="s">
        <v>18</v>
      </c>
      <c r="D21" s="102" t="s">
        <v>166</v>
      </c>
      <c r="E21" s="103">
        <v>4233.8</v>
      </c>
      <c r="F21" s="2">
        <v>0.79559999999999997</v>
      </c>
      <c r="G21" s="103">
        <v>3368.41</v>
      </c>
      <c r="H21" s="2">
        <v>0.16600000000000001</v>
      </c>
      <c r="I21" s="103">
        <v>702.89</v>
      </c>
      <c r="J21" s="2">
        <v>5.8999999999999999E-3</v>
      </c>
      <c r="K21" s="103">
        <v>24.8</v>
      </c>
      <c r="L21" s="2">
        <v>0</v>
      </c>
      <c r="M21" s="103">
        <v>0</v>
      </c>
      <c r="N21" s="2">
        <v>0</v>
      </c>
      <c r="O21" s="103">
        <v>0</v>
      </c>
      <c r="P21" s="2">
        <v>8.9999999999999998E-4</v>
      </c>
      <c r="Q21" s="103">
        <v>3.77</v>
      </c>
      <c r="R21" s="2">
        <v>0</v>
      </c>
      <c r="S21" s="103">
        <v>0</v>
      </c>
      <c r="T21" s="2">
        <v>6.7799999999999999E-2</v>
      </c>
      <c r="U21" s="103">
        <v>287.2</v>
      </c>
      <c r="V21" s="2">
        <v>2.3999999999999998E-3</v>
      </c>
      <c r="W21" s="103">
        <v>9.98</v>
      </c>
      <c r="X21" s="2">
        <v>1.0386</v>
      </c>
      <c r="Y21" s="103">
        <v>4397.05</v>
      </c>
      <c r="Z21" s="104">
        <v>8630.85</v>
      </c>
    </row>
    <row r="22" spans="2:26" ht="28.35" customHeight="1">
      <c r="B22" s="100" t="s">
        <v>184</v>
      </c>
      <c r="C22" s="101" t="s">
        <v>19</v>
      </c>
      <c r="D22" s="102" t="s">
        <v>166</v>
      </c>
      <c r="E22" s="103">
        <v>7434.92</v>
      </c>
      <c r="F22" s="2">
        <v>0.79559999999999997</v>
      </c>
      <c r="G22" s="103">
        <v>5915.22</v>
      </c>
      <c r="H22" s="2">
        <v>9.4500000000000001E-2</v>
      </c>
      <c r="I22" s="103">
        <v>702.89</v>
      </c>
      <c r="J22" s="2">
        <v>3.3E-3</v>
      </c>
      <c r="K22" s="103">
        <v>24.8</v>
      </c>
      <c r="L22" s="2">
        <v>0</v>
      </c>
      <c r="M22" s="103">
        <v>0</v>
      </c>
      <c r="N22" s="2">
        <v>0</v>
      </c>
      <c r="O22" s="103">
        <v>0</v>
      </c>
      <c r="P22" s="2">
        <v>5.0000000000000001E-4</v>
      </c>
      <c r="Q22" s="103">
        <v>3.77</v>
      </c>
      <c r="R22" s="2">
        <v>0</v>
      </c>
      <c r="S22" s="103">
        <v>0</v>
      </c>
      <c r="T22" s="2">
        <v>3.8600000000000002E-2</v>
      </c>
      <c r="U22" s="103">
        <v>287.2</v>
      </c>
      <c r="V22" s="2">
        <v>1.2999999999999999E-3</v>
      </c>
      <c r="W22" s="103">
        <v>9.98</v>
      </c>
      <c r="X22" s="2">
        <v>0.93400000000000005</v>
      </c>
      <c r="Y22" s="103">
        <v>6943.86</v>
      </c>
      <c r="Z22" s="104">
        <v>14378.78</v>
      </c>
    </row>
    <row r="23" spans="2:26" ht="28.35" customHeight="1">
      <c r="B23" s="100" t="s">
        <v>185</v>
      </c>
      <c r="C23" s="101" t="s">
        <v>20</v>
      </c>
      <c r="D23" s="102" t="s">
        <v>166</v>
      </c>
      <c r="E23" s="103">
        <v>3370.83</v>
      </c>
      <c r="F23" s="2">
        <v>0.79569999999999996</v>
      </c>
      <c r="G23" s="103">
        <v>2682.17</v>
      </c>
      <c r="H23" s="2">
        <v>0.20849999999999999</v>
      </c>
      <c r="I23" s="103">
        <v>702.89</v>
      </c>
      <c r="J23" s="2">
        <v>0</v>
      </c>
      <c r="K23" s="103">
        <v>0</v>
      </c>
      <c r="L23" s="2">
        <v>0</v>
      </c>
      <c r="M23" s="103">
        <v>0</v>
      </c>
      <c r="N23" s="2">
        <v>5.0000000000000001E-3</v>
      </c>
      <c r="O23" s="103">
        <v>16.78</v>
      </c>
      <c r="P23" s="2">
        <v>8.0000000000000004E-4</v>
      </c>
      <c r="Q23" s="103">
        <v>2.74</v>
      </c>
      <c r="R23" s="2">
        <v>0</v>
      </c>
      <c r="S23" s="103">
        <v>0</v>
      </c>
      <c r="T23" s="2">
        <v>8.5199999999999998E-2</v>
      </c>
      <c r="U23" s="103">
        <v>287.2</v>
      </c>
      <c r="V23" s="2">
        <v>3.0000000000000001E-3</v>
      </c>
      <c r="W23" s="103">
        <v>9.98</v>
      </c>
      <c r="X23" s="2">
        <v>1.0982000000000001</v>
      </c>
      <c r="Y23" s="103">
        <v>3701.76</v>
      </c>
      <c r="Z23" s="104">
        <v>7072.59</v>
      </c>
    </row>
    <row r="24" spans="2:26" ht="28.35" customHeight="1">
      <c r="B24" s="100" t="s">
        <v>186</v>
      </c>
      <c r="C24" s="101" t="s">
        <v>21</v>
      </c>
      <c r="D24" s="102" t="s">
        <v>166</v>
      </c>
      <c r="E24" s="103">
        <v>4031.96</v>
      </c>
      <c r="F24" s="2">
        <v>0.79530000000000001</v>
      </c>
      <c r="G24" s="103">
        <v>3206.62</v>
      </c>
      <c r="H24" s="2">
        <v>0.17430000000000001</v>
      </c>
      <c r="I24" s="103">
        <v>702.89</v>
      </c>
      <c r="J24" s="2">
        <v>0</v>
      </c>
      <c r="K24" s="103">
        <v>0</v>
      </c>
      <c r="L24" s="2">
        <v>0</v>
      </c>
      <c r="M24" s="103">
        <v>0</v>
      </c>
      <c r="N24" s="2">
        <v>0</v>
      </c>
      <c r="O24" s="103">
        <v>0</v>
      </c>
      <c r="P24" s="2">
        <v>5.9999999999999995E-4</v>
      </c>
      <c r="Q24" s="103">
        <v>2.61</v>
      </c>
      <c r="R24" s="2">
        <v>0</v>
      </c>
      <c r="S24" s="103">
        <v>0</v>
      </c>
      <c r="T24" s="2">
        <v>7.1199999999999999E-2</v>
      </c>
      <c r="U24" s="103">
        <v>287.2</v>
      </c>
      <c r="V24" s="2">
        <v>2.5000000000000001E-3</v>
      </c>
      <c r="W24" s="103">
        <v>9.98</v>
      </c>
      <c r="X24" s="2">
        <v>1.044</v>
      </c>
      <c r="Y24" s="103">
        <v>4209.3100000000004</v>
      </c>
      <c r="Z24" s="104">
        <v>8241.27</v>
      </c>
    </row>
    <row r="25" spans="2:26" ht="28.35" customHeight="1">
      <c r="B25" s="100" t="s">
        <v>187</v>
      </c>
      <c r="C25" s="101" t="s">
        <v>22</v>
      </c>
      <c r="D25" s="102" t="s">
        <v>166</v>
      </c>
      <c r="E25" s="103">
        <v>5375.95</v>
      </c>
      <c r="F25" s="2">
        <v>0.79530000000000001</v>
      </c>
      <c r="G25" s="103">
        <v>4275.49</v>
      </c>
      <c r="H25" s="2">
        <v>0.13070000000000001</v>
      </c>
      <c r="I25" s="103">
        <v>702.89</v>
      </c>
      <c r="J25" s="2">
        <v>0</v>
      </c>
      <c r="K25" s="103">
        <v>0</v>
      </c>
      <c r="L25" s="2">
        <v>0</v>
      </c>
      <c r="M25" s="103">
        <v>0</v>
      </c>
      <c r="N25" s="2">
        <v>0</v>
      </c>
      <c r="O25" s="103">
        <v>0</v>
      </c>
      <c r="P25" s="2">
        <v>5.0000000000000001E-4</v>
      </c>
      <c r="Q25" s="103">
        <v>2.61</v>
      </c>
      <c r="R25" s="2">
        <v>0</v>
      </c>
      <c r="S25" s="103">
        <v>0</v>
      </c>
      <c r="T25" s="2">
        <v>5.3400000000000003E-2</v>
      </c>
      <c r="U25" s="103">
        <v>287.2</v>
      </c>
      <c r="V25" s="2">
        <v>1.9E-3</v>
      </c>
      <c r="W25" s="103">
        <v>9.98</v>
      </c>
      <c r="X25" s="2">
        <v>0.98180000000000001</v>
      </c>
      <c r="Y25" s="103">
        <v>5278.18</v>
      </c>
      <c r="Z25" s="104">
        <v>10654.13</v>
      </c>
    </row>
    <row r="26" spans="2:26" ht="28.35" customHeight="1">
      <c r="B26" s="100" t="s">
        <v>188</v>
      </c>
      <c r="C26" s="101" t="s">
        <v>23</v>
      </c>
      <c r="D26" s="102" t="s">
        <v>166</v>
      </c>
      <c r="E26" s="103">
        <v>10196.459999999999</v>
      </c>
      <c r="F26" s="2">
        <v>0.79530000000000001</v>
      </c>
      <c r="G26" s="103">
        <v>8109.24</v>
      </c>
      <c r="H26" s="2">
        <v>6.8900000000000003E-2</v>
      </c>
      <c r="I26" s="103">
        <v>702.89</v>
      </c>
      <c r="J26" s="2">
        <v>0</v>
      </c>
      <c r="K26" s="103">
        <v>0</v>
      </c>
      <c r="L26" s="2">
        <v>0</v>
      </c>
      <c r="M26" s="103">
        <v>0</v>
      </c>
      <c r="N26" s="2">
        <v>0</v>
      </c>
      <c r="O26" s="103">
        <v>0</v>
      </c>
      <c r="P26" s="2">
        <v>2.9999999999999997E-4</v>
      </c>
      <c r="Q26" s="103">
        <v>2.61</v>
      </c>
      <c r="R26" s="2">
        <v>0</v>
      </c>
      <c r="S26" s="103">
        <v>0</v>
      </c>
      <c r="T26" s="2">
        <v>2.8199999999999999E-2</v>
      </c>
      <c r="U26" s="103">
        <v>287.2</v>
      </c>
      <c r="V26" s="2">
        <v>1E-3</v>
      </c>
      <c r="W26" s="103">
        <v>9.98</v>
      </c>
      <c r="X26" s="2">
        <v>0.89359999999999995</v>
      </c>
      <c r="Y26" s="103">
        <v>9111.93</v>
      </c>
      <c r="Z26" s="104">
        <v>19308.39</v>
      </c>
    </row>
    <row r="27" spans="2:26" ht="28.35" customHeight="1">
      <c r="B27" s="100" t="s">
        <v>189</v>
      </c>
      <c r="C27" s="101" t="s">
        <v>24</v>
      </c>
      <c r="D27" s="102" t="s">
        <v>166</v>
      </c>
      <c r="E27" s="103">
        <v>16968.79</v>
      </c>
      <c r="F27" s="2">
        <v>0.79479999999999995</v>
      </c>
      <c r="G27" s="103">
        <v>13486.79</v>
      </c>
      <c r="H27" s="2">
        <v>4.1399999999999999E-2</v>
      </c>
      <c r="I27" s="103">
        <v>702.89</v>
      </c>
      <c r="J27" s="2">
        <v>1.2999999999999999E-3</v>
      </c>
      <c r="K27" s="103">
        <v>22.65</v>
      </c>
      <c r="L27" s="2">
        <v>0</v>
      </c>
      <c r="M27" s="103">
        <v>0</v>
      </c>
      <c r="N27" s="2">
        <v>0</v>
      </c>
      <c r="O27" s="103">
        <v>0</v>
      </c>
      <c r="P27" s="2">
        <v>2.0000000000000001E-4</v>
      </c>
      <c r="Q27" s="103">
        <v>3.32</v>
      </c>
      <c r="R27" s="2">
        <v>0</v>
      </c>
      <c r="S27" s="103">
        <v>0</v>
      </c>
      <c r="T27" s="2">
        <v>1.6899999999999998E-2</v>
      </c>
      <c r="U27" s="103">
        <v>287.2</v>
      </c>
      <c r="V27" s="2">
        <v>5.9999999999999995E-4</v>
      </c>
      <c r="W27" s="103">
        <v>9.98</v>
      </c>
      <c r="X27" s="2">
        <v>0.85529999999999995</v>
      </c>
      <c r="Y27" s="103">
        <v>14512.83</v>
      </c>
      <c r="Z27" s="104">
        <v>31481.62</v>
      </c>
    </row>
    <row r="28" spans="2:26" ht="28.35" customHeight="1">
      <c r="B28" s="100" t="s">
        <v>190</v>
      </c>
      <c r="C28" s="101" t="s">
        <v>25</v>
      </c>
      <c r="D28" s="102" t="s">
        <v>166</v>
      </c>
      <c r="E28" s="103">
        <v>4633.6099999999997</v>
      </c>
      <c r="F28" s="2">
        <v>0.79</v>
      </c>
      <c r="G28" s="103">
        <v>3660.55</v>
      </c>
      <c r="H28" s="2">
        <v>0.1517</v>
      </c>
      <c r="I28" s="103">
        <v>702.89</v>
      </c>
      <c r="J28" s="2">
        <v>0</v>
      </c>
      <c r="K28" s="103">
        <v>0</v>
      </c>
      <c r="L28" s="2">
        <v>0</v>
      </c>
      <c r="M28" s="103">
        <v>0</v>
      </c>
      <c r="N28" s="2">
        <v>0</v>
      </c>
      <c r="O28" s="103">
        <v>0</v>
      </c>
      <c r="P28" s="2">
        <v>4.0000000000000002E-4</v>
      </c>
      <c r="Q28" s="103">
        <v>1.78</v>
      </c>
      <c r="R28" s="2">
        <v>0</v>
      </c>
      <c r="S28" s="103">
        <v>0</v>
      </c>
      <c r="T28" s="2">
        <v>6.2E-2</v>
      </c>
      <c r="U28" s="103">
        <v>287.2</v>
      </c>
      <c r="V28" s="2">
        <v>2.2000000000000001E-3</v>
      </c>
      <c r="W28" s="103">
        <v>9.98</v>
      </c>
      <c r="X28" s="2">
        <v>1.0062</v>
      </c>
      <c r="Y28" s="103">
        <v>4662.3999999999996</v>
      </c>
      <c r="Z28" s="104">
        <v>9296</v>
      </c>
    </row>
    <row r="29" spans="2:26" ht="28.35" customHeight="1">
      <c r="B29" s="100" t="s">
        <v>191</v>
      </c>
      <c r="C29" s="101" t="s">
        <v>26</v>
      </c>
      <c r="D29" s="102" t="s">
        <v>166</v>
      </c>
      <c r="E29" s="103">
        <v>6178.14</v>
      </c>
      <c r="F29" s="2">
        <v>0.79</v>
      </c>
      <c r="G29" s="103">
        <v>4880.7299999999996</v>
      </c>
      <c r="H29" s="2">
        <v>0.1138</v>
      </c>
      <c r="I29" s="103">
        <v>702.89</v>
      </c>
      <c r="J29" s="2">
        <v>0</v>
      </c>
      <c r="K29" s="103">
        <v>0</v>
      </c>
      <c r="L29" s="2">
        <v>0</v>
      </c>
      <c r="M29" s="103">
        <v>0</v>
      </c>
      <c r="N29" s="2">
        <v>0</v>
      </c>
      <c r="O29" s="103">
        <v>0</v>
      </c>
      <c r="P29" s="2">
        <v>2.9999999999999997E-4</v>
      </c>
      <c r="Q29" s="103">
        <v>1.78</v>
      </c>
      <c r="R29" s="2">
        <v>0</v>
      </c>
      <c r="S29" s="103">
        <v>0</v>
      </c>
      <c r="T29" s="2">
        <v>4.65E-2</v>
      </c>
      <c r="U29" s="103">
        <v>287.2</v>
      </c>
      <c r="V29" s="2">
        <v>1.6000000000000001E-3</v>
      </c>
      <c r="W29" s="103">
        <v>9.98</v>
      </c>
      <c r="X29" s="2">
        <v>0.95220000000000005</v>
      </c>
      <c r="Y29" s="103">
        <v>5882.58</v>
      </c>
      <c r="Z29" s="104">
        <v>12060.72</v>
      </c>
    </row>
    <row r="30" spans="2:26" ht="28.35" customHeight="1">
      <c r="B30" s="100" t="s">
        <v>192</v>
      </c>
      <c r="C30" s="101" t="s">
        <v>27</v>
      </c>
      <c r="D30" s="102" t="s">
        <v>166</v>
      </c>
      <c r="E30" s="103">
        <v>10535.44</v>
      </c>
      <c r="F30" s="2">
        <v>0.79</v>
      </c>
      <c r="G30" s="103">
        <v>8323</v>
      </c>
      <c r="H30" s="2">
        <v>6.6699999999999995E-2</v>
      </c>
      <c r="I30" s="103">
        <v>702.89</v>
      </c>
      <c r="J30" s="2">
        <v>0</v>
      </c>
      <c r="K30" s="103">
        <v>0</v>
      </c>
      <c r="L30" s="2">
        <v>0</v>
      </c>
      <c r="M30" s="103">
        <v>0</v>
      </c>
      <c r="N30" s="2">
        <v>0</v>
      </c>
      <c r="O30" s="103">
        <v>0</v>
      </c>
      <c r="P30" s="2">
        <v>2.0000000000000001E-4</v>
      </c>
      <c r="Q30" s="103">
        <v>1.78</v>
      </c>
      <c r="R30" s="2">
        <v>0</v>
      </c>
      <c r="S30" s="103">
        <v>0</v>
      </c>
      <c r="T30" s="2">
        <v>2.7300000000000001E-2</v>
      </c>
      <c r="U30" s="103">
        <v>287.2</v>
      </c>
      <c r="V30" s="2">
        <v>8.9999999999999998E-4</v>
      </c>
      <c r="W30" s="103">
        <v>9.98</v>
      </c>
      <c r="X30" s="2">
        <v>0.8851</v>
      </c>
      <c r="Y30" s="103">
        <v>9324.84</v>
      </c>
      <c r="Z30" s="104">
        <v>19860.28</v>
      </c>
    </row>
    <row r="31" spans="2:26" ht="28.35" customHeight="1">
      <c r="B31" s="100" t="s">
        <v>193</v>
      </c>
      <c r="C31" s="101" t="s">
        <v>28</v>
      </c>
      <c r="D31" s="102" t="s">
        <v>166</v>
      </c>
      <c r="E31" s="103">
        <v>11220</v>
      </c>
      <c r="F31" s="2">
        <v>0.79049999999999998</v>
      </c>
      <c r="G31" s="103">
        <v>8869.41</v>
      </c>
      <c r="H31" s="2">
        <v>6.2600000000000003E-2</v>
      </c>
      <c r="I31" s="103">
        <v>702.89</v>
      </c>
      <c r="J31" s="2">
        <v>2.2000000000000001E-3</v>
      </c>
      <c r="K31" s="103">
        <v>24.8</v>
      </c>
      <c r="L31" s="2">
        <v>0</v>
      </c>
      <c r="M31" s="103">
        <v>0</v>
      </c>
      <c r="N31" s="2">
        <v>0</v>
      </c>
      <c r="O31" s="103">
        <v>0</v>
      </c>
      <c r="P31" s="2">
        <v>2.0000000000000001E-4</v>
      </c>
      <c r="Q31" s="103">
        <v>2.64</v>
      </c>
      <c r="R31" s="2">
        <v>0</v>
      </c>
      <c r="S31" s="103">
        <v>0</v>
      </c>
      <c r="T31" s="2">
        <v>2.5600000000000001E-2</v>
      </c>
      <c r="U31" s="103">
        <v>287.2</v>
      </c>
      <c r="V31" s="2">
        <v>8.9999999999999998E-4</v>
      </c>
      <c r="W31" s="103">
        <v>9.98</v>
      </c>
      <c r="X31" s="2">
        <v>0.8821</v>
      </c>
      <c r="Y31" s="103">
        <v>9896.93</v>
      </c>
      <c r="Z31" s="104">
        <v>21116.93</v>
      </c>
    </row>
    <row r="32" spans="2:26" ht="28.35" customHeight="1">
      <c r="B32" s="100" t="s">
        <v>194</v>
      </c>
      <c r="C32" s="101" t="s">
        <v>29</v>
      </c>
      <c r="D32" s="102" t="s">
        <v>166</v>
      </c>
      <c r="E32" s="103">
        <v>11530.62</v>
      </c>
      <c r="F32" s="2">
        <v>0.79049999999999998</v>
      </c>
      <c r="G32" s="103">
        <v>9114.9500000000007</v>
      </c>
      <c r="H32" s="2">
        <v>6.0999999999999999E-2</v>
      </c>
      <c r="I32" s="103">
        <v>702.89</v>
      </c>
      <c r="J32" s="2">
        <v>2.2000000000000001E-3</v>
      </c>
      <c r="K32" s="103">
        <v>24.8</v>
      </c>
      <c r="L32" s="2">
        <v>0</v>
      </c>
      <c r="M32" s="103">
        <v>0</v>
      </c>
      <c r="N32" s="2">
        <v>0</v>
      </c>
      <c r="O32" s="103">
        <v>0</v>
      </c>
      <c r="P32" s="2">
        <v>2.0000000000000001E-4</v>
      </c>
      <c r="Q32" s="103">
        <v>2.64</v>
      </c>
      <c r="R32" s="2">
        <v>0</v>
      </c>
      <c r="S32" s="103">
        <v>0</v>
      </c>
      <c r="T32" s="2">
        <v>2.4899999999999999E-2</v>
      </c>
      <c r="U32" s="103">
        <v>287.2</v>
      </c>
      <c r="V32" s="2">
        <v>8.9999999999999998E-4</v>
      </c>
      <c r="W32" s="103">
        <v>9.98</v>
      </c>
      <c r="X32" s="2">
        <v>0.87960000000000005</v>
      </c>
      <c r="Y32" s="103">
        <v>10142.469999999999</v>
      </c>
      <c r="Z32" s="104">
        <v>21673.09</v>
      </c>
    </row>
    <row r="33" spans="2:26" ht="28.35" customHeight="1">
      <c r="B33" s="100" t="s">
        <v>195</v>
      </c>
      <c r="C33" s="101" t="s">
        <v>30</v>
      </c>
      <c r="D33" s="102" t="s">
        <v>166</v>
      </c>
      <c r="E33" s="103">
        <v>13314.45</v>
      </c>
      <c r="F33" s="2">
        <v>0.79049999999999998</v>
      </c>
      <c r="G33" s="103">
        <v>10525.07</v>
      </c>
      <c r="H33" s="2">
        <v>5.28E-2</v>
      </c>
      <c r="I33" s="103">
        <v>702.89</v>
      </c>
      <c r="J33" s="2">
        <v>1.9E-3</v>
      </c>
      <c r="K33" s="103">
        <v>24.8</v>
      </c>
      <c r="L33" s="2">
        <v>0</v>
      </c>
      <c r="M33" s="103">
        <v>0</v>
      </c>
      <c r="N33" s="2">
        <v>0</v>
      </c>
      <c r="O33" s="103">
        <v>0</v>
      </c>
      <c r="P33" s="2">
        <v>2.0000000000000001E-4</v>
      </c>
      <c r="Q33" s="103">
        <v>2.64</v>
      </c>
      <c r="R33" s="2">
        <v>0</v>
      </c>
      <c r="S33" s="103">
        <v>0</v>
      </c>
      <c r="T33" s="2">
        <v>2.1600000000000001E-2</v>
      </c>
      <c r="U33" s="103">
        <v>287.2</v>
      </c>
      <c r="V33" s="2">
        <v>6.9999999999999999E-4</v>
      </c>
      <c r="W33" s="103">
        <v>9.98</v>
      </c>
      <c r="X33" s="2">
        <v>0.86770000000000003</v>
      </c>
      <c r="Y33" s="103">
        <v>11552.59</v>
      </c>
      <c r="Z33" s="104">
        <v>24867.03</v>
      </c>
    </row>
    <row r="34" spans="2:26" ht="28.35" customHeight="1">
      <c r="B34" s="100" t="s">
        <v>196</v>
      </c>
      <c r="C34" s="101" t="s">
        <v>31</v>
      </c>
      <c r="D34" s="102" t="s">
        <v>166</v>
      </c>
      <c r="E34" s="103">
        <v>11220</v>
      </c>
      <c r="F34" s="2">
        <v>0.79579999999999995</v>
      </c>
      <c r="G34" s="103">
        <v>8928.8799999999992</v>
      </c>
      <c r="H34" s="2">
        <v>6.2600000000000003E-2</v>
      </c>
      <c r="I34" s="103">
        <v>702.89</v>
      </c>
      <c r="J34" s="2">
        <v>2.2000000000000001E-3</v>
      </c>
      <c r="K34" s="103">
        <v>24.8</v>
      </c>
      <c r="L34" s="2">
        <v>0</v>
      </c>
      <c r="M34" s="103">
        <v>0</v>
      </c>
      <c r="N34" s="2">
        <v>0</v>
      </c>
      <c r="O34" s="103">
        <v>0</v>
      </c>
      <c r="P34" s="2">
        <v>2.9999999999999997E-4</v>
      </c>
      <c r="Q34" s="103">
        <v>3.6</v>
      </c>
      <c r="R34" s="2">
        <v>0</v>
      </c>
      <c r="S34" s="103">
        <v>0</v>
      </c>
      <c r="T34" s="2">
        <v>2.5600000000000001E-2</v>
      </c>
      <c r="U34" s="103">
        <v>287.2</v>
      </c>
      <c r="V34" s="2">
        <v>8.9999999999999998E-4</v>
      </c>
      <c r="W34" s="103">
        <v>9.98</v>
      </c>
      <c r="X34" s="2">
        <v>0.88749999999999996</v>
      </c>
      <c r="Y34" s="103">
        <v>9957.34</v>
      </c>
      <c r="Z34" s="104">
        <v>21177.34</v>
      </c>
    </row>
    <row r="35" spans="2:26" ht="28.35" customHeight="1">
      <c r="B35" s="100" t="s">
        <v>197</v>
      </c>
      <c r="C35" s="101" t="s">
        <v>32</v>
      </c>
      <c r="D35" s="102" t="s">
        <v>166</v>
      </c>
      <c r="E35" s="103">
        <v>11266.87</v>
      </c>
      <c r="F35" s="2">
        <v>0.79579999999999995</v>
      </c>
      <c r="G35" s="103">
        <v>8966.17</v>
      </c>
      <c r="H35" s="2">
        <v>6.2399999999999997E-2</v>
      </c>
      <c r="I35" s="103">
        <v>702.89</v>
      </c>
      <c r="J35" s="2">
        <v>2.2000000000000001E-3</v>
      </c>
      <c r="K35" s="103">
        <v>24.8</v>
      </c>
      <c r="L35" s="2">
        <v>0</v>
      </c>
      <c r="M35" s="103">
        <v>0</v>
      </c>
      <c r="N35" s="2">
        <v>0</v>
      </c>
      <c r="O35" s="103">
        <v>0</v>
      </c>
      <c r="P35" s="2">
        <v>2.9999999999999997E-4</v>
      </c>
      <c r="Q35" s="103">
        <v>3.6</v>
      </c>
      <c r="R35" s="2">
        <v>0</v>
      </c>
      <c r="S35" s="103">
        <v>0</v>
      </c>
      <c r="T35" s="2">
        <v>2.5499999999999998E-2</v>
      </c>
      <c r="U35" s="103">
        <v>287.2</v>
      </c>
      <c r="V35" s="2">
        <v>8.9999999999999998E-4</v>
      </c>
      <c r="W35" s="103">
        <v>9.98</v>
      </c>
      <c r="X35" s="2">
        <v>0.8871</v>
      </c>
      <c r="Y35" s="103">
        <v>9994.64</v>
      </c>
      <c r="Z35" s="104">
        <v>21261.51</v>
      </c>
    </row>
    <row r="36" spans="2:26" ht="28.35" customHeight="1">
      <c r="B36" s="100" t="s">
        <v>198</v>
      </c>
      <c r="C36" s="101" t="s">
        <v>33</v>
      </c>
      <c r="D36" s="102" t="s">
        <v>166</v>
      </c>
      <c r="E36" s="103">
        <v>13578.83</v>
      </c>
      <c r="F36" s="2">
        <v>0.79579999999999995</v>
      </c>
      <c r="G36" s="103">
        <v>10806.03</v>
      </c>
      <c r="H36" s="2">
        <v>5.1799999999999999E-2</v>
      </c>
      <c r="I36" s="103">
        <v>702.89</v>
      </c>
      <c r="J36" s="2">
        <v>1.8E-3</v>
      </c>
      <c r="K36" s="103">
        <v>24.8</v>
      </c>
      <c r="L36" s="2">
        <v>0</v>
      </c>
      <c r="M36" s="103">
        <v>0</v>
      </c>
      <c r="N36" s="2">
        <v>0</v>
      </c>
      <c r="O36" s="103">
        <v>0</v>
      </c>
      <c r="P36" s="2">
        <v>2.9999999999999997E-4</v>
      </c>
      <c r="Q36" s="103">
        <v>3.6</v>
      </c>
      <c r="R36" s="2">
        <v>0</v>
      </c>
      <c r="S36" s="103">
        <v>0</v>
      </c>
      <c r="T36" s="2">
        <v>2.12E-2</v>
      </c>
      <c r="U36" s="103">
        <v>287.2</v>
      </c>
      <c r="V36" s="2">
        <v>6.9999999999999999E-4</v>
      </c>
      <c r="W36" s="103">
        <v>9.98</v>
      </c>
      <c r="X36" s="2">
        <v>0.87150000000000005</v>
      </c>
      <c r="Y36" s="103">
        <v>11834.5</v>
      </c>
      <c r="Z36" s="104">
        <v>25413.33</v>
      </c>
    </row>
    <row r="37" spans="2:26" ht="28.35" customHeight="1">
      <c r="B37" s="100" t="s">
        <v>199</v>
      </c>
      <c r="C37" s="101" t="s">
        <v>34</v>
      </c>
      <c r="D37" s="102" t="s">
        <v>166</v>
      </c>
      <c r="E37" s="103">
        <v>20551.86</v>
      </c>
      <c r="F37" s="2">
        <v>0.79449999999999998</v>
      </c>
      <c r="G37" s="103">
        <v>16328.45</v>
      </c>
      <c r="H37" s="2">
        <v>3.4200000000000001E-2</v>
      </c>
      <c r="I37" s="103">
        <v>702.89</v>
      </c>
      <c r="J37" s="2">
        <v>1.1000000000000001E-3</v>
      </c>
      <c r="K37" s="103">
        <v>22.65</v>
      </c>
      <c r="L37" s="2">
        <v>0</v>
      </c>
      <c r="M37" s="103">
        <v>0</v>
      </c>
      <c r="N37" s="2">
        <v>0</v>
      </c>
      <c r="O37" s="103">
        <v>0</v>
      </c>
      <c r="P37" s="2">
        <v>2.0000000000000001E-4</v>
      </c>
      <c r="Q37" s="103">
        <v>3.66</v>
      </c>
      <c r="R37" s="2">
        <v>0</v>
      </c>
      <c r="S37" s="103">
        <v>0</v>
      </c>
      <c r="T37" s="2">
        <v>1.4E-2</v>
      </c>
      <c r="U37" s="103">
        <v>287.2</v>
      </c>
      <c r="V37" s="2">
        <v>5.0000000000000001E-4</v>
      </c>
      <c r="W37" s="103">
        <v>9.98</v>
      </c>
      <c r="X37" s="2">
        <v>0.84440000000000004</v>
      </c>
      <c r="Y37" s="103">
        <v>17354.830000000002</v>
      </c>
      <c r="Z37" s="104">
        <v>37906.68</v>
      </c>
    </row>
    <row r="38" spans="2:26" ht="28.35" customHeight="1">
      <c r="B38" s="100" t="s">
        <v>200</v>
      </c>
      <c r="C38" s="101" t="s">
        <v>35</v>
      </c>
      <c r="D38" s="102" t="s">
        <v>166</v>
      </c>
      <c r="E38" s="103">
        <v>17126.55</v>
      </c>
      <c r="F38" s="2">
        <v>0.79449999999999998</v>
      </c>
      <c r="G38" s="103">
        <v>13607.04</v>
      </c>
      <c r="H38" s="2">
        <v>4.1000000000000002E-2</v>
      </c>
      <c r="I38" s="103">
        <v>702.89</v>
      </c>
      <c r="J38" s="2">
        <v>1.2999999999999999E-3</v>
      </c>
      <c r="K38" s="103">
        <v>22.65</v>
      </c>
      <c r="L38" s="2">
        <v>0</v>
      </c>
      <c r="M38" s="103">
        <v>0</v>
      </c>
      <c r="N38" s="2">
        <v>0</v>
      </c>
      <c r="O38" s="103">
        <v>0</v>
      </c>
      <c r="P38" s="2">
        <v>2.0000000000000001E-4</v>
      </c>
      <c r="Q38" s="103">
        <v>3.66</v>
      </c>
      <c r="R38" s="2">
        <v>0</v>
      </c>
      <c r="S38" s="103">
        <v>0</v>
      </c>
      <c r="T38" s="2">
        <v>1.6799999999999999E-2</v>
      </c>
      <c r="U38" s="103">
        <v>287.2</v>
      </c>
      <c r="V38" s="2">
        <v>5.9999999999999995E-4</v>
      </c>
      <c r="W38" s="103">
        <v>9.98</v>
      </c>
      <c r="X38" s="2">
        <v>0.85440000000000005</v>
      </c>
      <c r="Y38" s="103">
        <v>14633.42</v>
      </c>
      <c r="Z38" s="104">
        <v>31759.96</v>
      </c>
    </row>
    <row r="39" spans="2:26" ht="28.35" customHeight="1">
      <c r="B39" s="100" t="s">
        <v>201</v>
      </c>
      <c r="C39" s="101" t="s">
        <v>36</v>
      </c>
      <c r="D39" s="102" t="s">
        <v>166</v>
      </c>
      <c r="E39" s="103">
        <v>11220</v>
      </c>
      <c r="F39" s="2">
        <v>0.80120000000000002</v>
      </c>
      <c r="G39" s="103">
        <v>8989.4599999999991</v>
      </c>
      <c r="H39" s="2">
        <v>6.2600000000000003E-2</v>
      </c>
      <c r="I39" s="103">
        <v>702.89</v>
      </c>
      <c r="J39" s="2">
        <v>2.2000000000000001E-3</v>
      </c>
      <c r="K39" s="103">
        <v>24.8</v>
      </c>
      <c r="L39" s="2">
        <v>0</v>
      </c>
      <c r="M39" s="103">
        <v>0</v>
      </c>
      <c r="N39" s="2">
        <v>0</v>
      </c>
      <c r="O39" s="103">
        <v>0</v>
      </c>
      <c r="P39" s="2">
        <v>4.0000000000000002E-4</v>
      </c>
      <c r="Q39" s="103">
        <v>4.63</v>
      </c>
      <c r="R39" s="2">
        <v>0</v>
      </c>
      <c r="S39" s="103">
        <v>0</v>
      </c>
      <c r="T39" s="2">
        <v>2.5600000000000001E-2</v>
      </c>
      <c r="U39" s="103">
        <v>287.2</v>
      </c>
      <c r="V39" s="2">
        <v>8.9999999999999998E-4</v>
      </c>
      <c r="W39" s="103">
        <v>9.98</v>
      </c>
      <c r="X39" s="2">
        <v>0.89300000000000002</v>
      </c>
      <c r="Y39" s="103">
        <v>10018.969999999999</v>
      </c>
      <c r="Z39" s="104">
        <v>21238.97</v>
      </c>
    </row>
    <row r="40" spans="2:26" ht="28.35" customHeight="1">
      <c r="B40" s="100" t="s">
        <v>202</v>
      </c>
      <c r="C40" s="101" t="s">
        <v>37</v>
      </c>
      <c r="D40" s="102" t="s">
        <v>166</v>
      </c>
      <c r="E40" s="103">
        <v>11526.37</v>
      </c>
      <c r="F40" s="2">
        <v>0.80120000000000002</v>
      </c>
      <c r="G40" s="103">
        <v>9234.93</v>
      </c>
      <c r="H40" s="2">
        <v>6.0999999999999999E-2</v>
      </c>
      <c r="I40" s="103">
        <v>702.89</v>
      </c>
      <c r="J40" s="2">
        <v>2.2000000000000001E-3</v>
      </c>
      <c r="K40" s="103">
        <v>24.8</v>
      </c>
      <c r="L40" s="2">
        <v>0</v>
      </c>
      <c r="M40" s="103">
        <v>0</v>
      </c>
      <c r="N40" s="2">
        <v>0</v>
      </c>
      <c r="O40" s="103">
        <v>0</v>
      </c>
      <c r="P40" s="2">
        <v>4.0000000000000002E-4</v>
      </c>
      <c r="Q40" s="103">
        <v>4.63</v>
      </c>
      <c r="R40" s="2">
        <v>0</v>
      </c>
      <c r="S40" s="103">
        <v>0</v>
      </c>
      <c r="T40" s="2">
        <v>2.4899999999999999E-2</v>
      </c>
      <c r="U40" s="103">
        <v>287.2</v>
      </c>
      <c r="V40" s="2">
        <v>8.9999999999999998E-4</v>
      </c>
      <c r="W40" s="103">
        <v>9.98</v>
      </c>
      <c r="X40" s="2">
        <v>0.89049999999999996</v>
      </c>
      <c r="Y40" s="103">
        <v>10264.43</v>
      </c>
      <c r="Z40" s="104">
        <v>21790.799999999999</v>
      </c>
    </row>
    <row r="41" spans="2:26" ht="28.35" customHeight="1">
      <c r="B41" s="100" t="s">
        <v>203</v>
      </c>
      <c r="C41" s="101" t="s">
        <v>38</v>
      </c>
      <c r="D41" s="102" t="s">
        <v>166</v>
      </c>
      <c r="E41" s="103">
        <v>13764.58</v>
      </c>
      <c r="F41" s="2">
        <v>0.80120000000000002</v>
      </c>
      <c r="G41" s="103">
        <v>11028.19</v>
      </c>
      <c r="H41" s="2">
        <v>5.11E-2</v>
      </c>
      <c r="I41" s="103">
        <v>702.89</v>
      </c>
      <c r="J41" s="2">
        <v>1.8E-3</v>
      </c>
      <c r="K41" s="103">
        <v>24.8</v>
      </c>
      <c r="L41" s="2">
        <v>0</v>
      </c>
      <c r="M41" s="103">
        <v>0</v>
      </c>
      <c r="N41" s="2">
        <v>0</v>
      </c>
      <c r="O41" s="103">
        <v>0</v>
      </c>
      <c r="P41" s="2">
        <v>2.9999999999999997E-4</v>
      </c>
      <c r="Q41" s="103">
        <v>4.63</v>
      </c>
      <c r="R41" s="2">
        <v>0</v>
      </c>
      <c r="S41" s="103">
        <v>0</v>
      </c>
      <c r="T41" s="2">
        <v>2.0899999999999998E-2</v>
      </c>
      <c r="U41" s="103">
        <v>287.2</v>
      </c>
      <c r="V41" s="2">
        <v>6.9999999999999999E-4</v>
      </c>
      <c r="W41" s="103">
        <v>9.98</v>
      </c>
      <c r="X41" s="2">
        <v>0.876</v>
      </c>
      <c r="Y41" s="103">
        <v>12057.69</v>
      </c>
      <c r="Z41" s="104">
        <v>25822.27</v>
      </c>
    </row>
    <row r="42" spans="2:26" ht="28.35" customHeight="1">
      <c r="B42" s="100" t="s">
        <v>204</v>
      </c>
      <c r="C42" s="101" t="s">
        <v>39</v>
      </c>
      <c r="D42" s="102" t="s">
        <v>166</v>
      </c>
      <c r="E42" s="103">
        <v>11220</v>
      </c>
      <c r="F42" s="2">
        <v>0.79449999999999998</v>
      </c>
      <c r="G42" s="103">
        <v>8914.2900000000009</v>
      </c>
      <c r="H42" s="2">
        <v>6.2600000000000003E-2</v>
      </c>
      <c r="I42" s="103">
        <v>702.89</v>
      </c>
      <c r="J42" s="2">
        <v>2.2000000000000001E-3</v>
      </c>
      <c r="K42" s="103">
        <v>24.8</v>
      </c>
      <c r="L42" s="2">
        <v>0</v>
      </c>
      <c r="M42" s="103">
        <v>0</v>
      </c>
      <c r="N42" s="2">
        <v>0</v>
      </c>
      <c r="O42" s="103">
        <v>0</v>
      </c>
      <c r="P42" s="2">
        <v>2.9999999999999997E-4</v>
      </c>
      <c r="Q42" s="103">
        <v>3.66</v>
      </c>
      <c r="R42" s="2">
        <v>0</v>
      </c>
      <c r="S42" s="103">
        <v>0</v>
      </c>
      <c r="T42" s="2">
        <v>2.5600000000000001E-2</v>
      </c>
      <c r="U42" s="103">
        <v>287.2</v>
      </c>
      <c r="V42" s="2">
        <v>8.9999999999999998E-4</v>
      </c>
      <c r="W42" s="103">
        <v>9.98</v>
      </c>
      <c r="X42" s="2">
        <v>0.88619999999999999</v>
      </c>
      <c r="Y42" s="103">
        <v>9942.82</v>
      </c>
      <c r="Z42" s="104">
        <v>21162.82</v>
      </c>
    </row>
    <row r="43" spans="2:26" ht="28.35" customHeight="1">
      <c r="B43" s="100" t="s">
        <v>205</v>
      </c>
      <c r="C43" s="101" t="s">
        <v>40</v>
      </c>
      <c r="D43" s="102" t="s">
        <v>166</v>
      </c>
      <c r="E43" s="103">
        <v>11669.34</v>
      </c>
      <c r="F43" s="2">
        <v>0.79449999999999998</v>
      </c>
      <c r="G43" s="103">
        <v>9271.2900000000009</v>
      </c>
      <c r="H43" s="2">
        <v>6.0199999999999997E-2</v>
      </c>
      <c r="I43" s="103">
        <v>702.89</v>
      </c>
      <c r="J43" s="2">
        <v>2.0999999999999999E-3</v>
      </c>
      <c r="K43" s="103">
        <v>24.8</v>
      </c>
      <c r="L43" s="2">
        <v>0</v>
      </c>
      <c r="M43" s="103">
        <v>0</v>
      </c>
      <c r="N43" s="2">
        <v>0</v>
      </c>
      <c r="O43" s="103">
        <v>0</v>
      </c>
      <c r="P43" s="2">
        <v>2.9999999999999997E-4</v>
      </c>
      <c r="Q43" s="103">
        <v>3.66</v>
      </c>
      <c r="R43" s="2">
        <v>0</v>
      </c>
      <c r="S43" s="103">
        <v>0</v>
      </c>
      <c r="T43" s="2">
        <v>2.46E-2</v>
      </c>
      <c r="U43" s="103">
        <v>287.2</v>
      </c>
      <c r="V43" s="2">
        <v>8.9999999999999998E-4</v>
      </c>
      <c r="W43" s="103">
        <v>9.98</v>
      </c>
      <c r="X43" s="2">
        <v>0.88260000000000005</v>
      </c>
      <c r="Y43" s="103">
        <v>10299.82</v>
      </c>
      <c r="Z43" s="104">
        <v>21969.16</v>
      </c>
    </row>
    <row r="44" spans="2:26" ht="28.35" customHeight="1">
      <c r="B44" s="100" t="s">
        <v>206</v>
      </c>
      <c r="C44" s="101" t="s">
        <v>41</v>
      </c>
      <c r="D44" s="102" t="s">
        <v>166</v>
      </c>
      <c r="E44" s="103">
        <v>14809.88</v>
      </c>
      <c r="F44" s="2">
        <v>0.79449999999999998</v>
      </c>
      <c r="G44" s="103">
        <v>11766.45</v>
      </c>
      <c r="H44" s="2">
        <v>4.7500000000000001E-2</v>
      </c>
      <c r="I44" s="103">
        <v>702.89</v>
      </c>
      <c r="J44" s="2">
        <v>1.6999999999999999E-3</v>
      </c>
      <c r="K44" s="103">
        <v>24.8</v>
      </c>
      <c r="L44" s="2">
        <v>0</v>
      </c>
      <c r="M44" s="103">
        <v>0</v>
      </c>
      <c r="N44" s="2">
        <v>0</v>
      </c>
      <c r="O44" s="103">
        <v>0</v>
      </c>
      <c r="P44" s="2">
        <v>2.0000000000000001E-4</v>
      </c>
      <c r="Q44" s="103">
        <v>3.66</v>
      </c>
      <c r="R44" s="2">
        <v>0</v>
      </c>
      <c r="S44" s="103">
        <v>0</v>
      </c>
      <c r="T44" s="2">
        <v>1.9400000000000001E-2</v>
      </c>
      <c r="U44" s="103">
        <v>287.2</v>
      </c>
      <c r="V44" s="2">
        <v>6.9999999999999999E-4</v>
      </c>
      <c r="W44" s="103">
        <v>9.98</v>
      </c>
      <c r="X44" s="2">
        <v>0.8639</v>
      </c>
      <c r="Y44" s="103">
        <v>12794.98</v>
      </c>
      <c r="Z44" s="104">
        <v>27604.86</v>
      </c>
    </row>
    <row r="45" spans="2:26" ht="28.35" customHeight="1">
      <c r="B45" s="100" t="s">
        <v>207</v>
      </c>
      <c r="C45" s="101" t="s">
        <v>42</v>
      </c>
      <c r="D45" s="102" t="s">
        <v>166</v>
      </c>
      <c r="E45" s="103">
        <v>11220</v>
      </c>
      <c r="F45" s="2">
        <v>0.80120000000000002</v>
      </c>
      <c r="G45" s="103">
        <v>8989.4599999999991</v>
      </c>
      <c r="H45" s="2">
        <v>6.2600000000000003E-2</v>
      </c>
      <c r="I45" s="103">
        <v>702.89</v>
      </c>
      <c r="J45" s="2">
        <v>2.2000000000000001E-3</v>
      </c>
      <c r="K45" s="103">
        <v>24.8</v>
      </c>
      <c r="L45" s="2">
        <v>0</v>
      </c>
      <c r="M45" s="103">
        <v>0</v>
      </c>
      <c r="N45" s="2">
        <v>0</v>
      </c>
      <c r="O45" s="103">
        <v>0</v>
      </c>
      <c r="P45" s="2">
        <v>4.0000000000000002E-4</v>
      </c>
      <c r="Q45" s="103">
        <v>4.63</v>
      </c>
      <c r="R45" s="2">
        <v>0</v>
      </c>
      <c r="S45" s="103">
        <v>0</v>
      </c>
      <c r="T45" s="2">
        <v>2.5600000000000001E-2</v>
      </c>
      <c r="U45" s="103">
        <v>287.2</v>
      </c>
      <c r="V45" s="2">
        <v>8.9999999999999998E-4</v>
      </c>
      <c r="W45" s="103">
        <v>9.98</v>
      </c>
      <c r="X45" s="2">
        <v>0.89300000000000002</v>
      </c>
      <c r="Y45" s="103">
        <v>10018.969999999999</v>
      </c>
      <c r="Z45" s="104">
        <v>21238.97</v>
      </c>
    </row>
    <row r="46" spans="2:26" ht="28.35" customHeight="1">
      <c r="B46" s="100" t="s">
        <v>208</v>
      </c>
      <c r="C46" s="101" t="s">
        <v>43</v>
      </c>
      <c r="D46" s="102" t="s">
        <v>166</v>
      </c>
      <c r="E46" s="103">
        <v>11526.37</v>
      </c>
      <c r="F46" s="2">
        <v>0.80120000000000002</v>
      </c>
      <c r="G46" s="103">
        <v>9234.93</v>
      </c>
      <c r="H46" s="2">
        <v>6.0999999999999999E-2</v>
      </c>
      <c r="I46" s="103">
        <v>702.89</v>
      </c>
      <c r="J46" s="2">
        <v>2.2000000000000001E-3</v>
      </c>
      <c r="K46" s="103">
        <v>24.8</v>
      </c>
      <c r="L46" s="2">
        <v>0</v>
      </c>
      <c r="M46" s="103">
        <v>0</v>
      </c>
      <c r="N46" s="2">
        <v>0</v>
      </c>
      <c r="O46" s="103">
        <v>0</v>
      </c>
      <c r="P46" s="2">
        <v>4.0000000000000002E-4</v>
      </c>
      <c r="Q46" s="103">
        <v>4.63</v>
      </c>
      <c r="R46" s="2">
        <v>0</v>
      </c>
      <c r="S46" s="103">
        <v>0</v>
      </c>
      <c r="T46" s="2">
        <v>2.4899999999999999E-2</v>
      </c>
      <c r="U46" s="103">
        <v>287.2</v>
      </c>
      <c r="V46" s="2">
        <v>8.9999999999999998E-4</v>
      </c>
      <c r="W46" s="103">
        <v>9.98</v>
      </c>
      <c r="X46" s="2">
        <v>0.89049999999999996</v>
      </c>
      <c r="Y46" s="103">
        <v>10264.43</v>
      </c>
      <c r="Z46" s="104">
        <v>21790.799999999999</v>
      </c>
    </row>
    <row r="47" spans="2:26" ht="28.35" customHeight="1">
      <c r="B47" s="100" t="s">
        <v>209</v>
      </c>
      <c r="C47" s="101" t="s">
        <v>44</v>
      </c>
      <c r="D47" s="102" t="s">
        <v>166</v>
      </c>
      <c r="E47" s="103">
        <v>13764.58</v>
      </c>
      <c r="F47" s="2">
        <v>0.80120000000000002</v>
      </c>
      <c r="G47" s="103">
        <v>11028.19</v>
      </c>
      <c r="H47" s="2">
        <v>5.11E-2</v>
      </c>
      <c r="I47" s="103">
        <v>702.89</v>
      </c>
      <c r="J47" s="2">
        <v>1.8E-3</v>
      </c>
      <c r="K47" s="103">
        <v>24.8</v>
      </c>
      <c r="L47" s="2">
        <v>0</v>
      </c>
      <c r="M47" s="103">
        <v>0</v>
      </c>
      <c r="N47" s="2">
        <v>0</v>
      </c>
      <c r="O47" s="103">
        <v>0</v>
      </c>
      <c r="P47" s="2">
        <v>2.9999999999999997E-4</v>
      </c>
      <c r="Q47" s="103">
        <v>4.63</v>
      </c>
      <c r="R47" s="2">
        <v>0</v>
      </c>
      <c r="S47" s="103">
        <v>0</v>
      </c>
      <c r="T47" s="2">
        <v>2.0899999999999998E-2</v>
      </c>
      <c r="U47" s="103">
        <v>287.2</v>
      </c>
      <c r="V47" s="2">
        <v>6.9999999999999999E-4</v>
      </c>
      <c r="W47" s="103">
        <v>9.98</v>
      </c>
      <c r="X47" s="2">
        <v>0.876</v>
      </c>
      <c r="Y47" s="103">
        <v>12057.69</v>
      </c>
      <c r="Z47" s="104">
        <v>25822.27</v>
      </c>
    </row>
    <row r="48" spans="2:26" ht="28.35" customHeight="1">
      <c r="B48" s="100" t="s">
        <v>210</v>
      </c>
      <c r="C48" s="101" t="s">
        <v>45</v>
      </c>
      <c r="D48" s="102" t="s">
        <v>166</v>
      </c>
      <c r="E48" s="103">
        <v>10004.5</v>
      </c>
      <c r="F48" s="2">
        <v>0.79849999999999999</v>
      </c>
      <c r="G48" s="103">
        <v>7988.59</v>
      </c>
      <c r="H48" s="2">
        <v>7.0300000000000001E-2</v>
      </c>
      <c r="I48" s="103">
        <v>702.89</v>
      </c>
      <c r="J48" s="2">
        <v>2.5000000000000001E-3</v>
      </c>
      <c r="K48" s="103">
        <v>24.8</v>
      </c>
      <c r="L48" s="2">
        <v>0</v>
      </c>
      <c r="M48" s="103">
        <v>0</v>
      </c>
      <c r="N48" s="2">
        <v>0</v>
      </c>
      <c r="O48" s="103">
        <v>0</v>
      </c>
      <c r="P48" s="2">
        <v>4.0000000000000002E-4</v>
      </c>
      <c r="Q48" s="103">
        <v>3.91</v>
      </c>
      <c r="R48" s="2">
        <v>0</v>
      </c>
      <c r="S48" s="103">
        <v>0</v>
      </c>
      <c r="T48" s="2">
        <v>2.87E-2</v>
      </c>
      <c r="U48" s="103">
        <v>287.2</v>
      </c>
      <c r="V48" s="2">
        <v>1E-3</v>
      </c>
      <c r="W48" s="103">
        <v>9.98</v>
      </c>
      <c r="X48" s="2">
        <v>0.90129999999999999</v>
      </c>
      <c r="Y48" s="103">
        <v>9017.3799999999992</v>
      </c>
      <c r="Z48" s="104">
        <v>19021.88</v>
      </c>
    </row>
    <row r="49" spans="2:26" ht="28.35" customHeight="1">
      <c r="B49" s="100" t="s">
        <v>211</v>
      </c>
      <c r="C49" s="101" t="s">
        <v>46</v>
      </c>
      <c r="D49" s="102" t="s">
        <v>166</v>
      </c>
      <c r="E49" s="103">
        <v>11482.37</v>
      </c>
      <c r="F49" s="2">
        <v>0.79849999999999999</v>
      </c>
      <c r="G49" s="103">
        <v>9168.67</v>
      </c>
      <c r="H49" s="2">
        <v>6.1199999999999997E-2</v>
      </c>
      <c r="I49" s="103">
        <v>702.89</v>
      </c>
      <c r="J49" s="2">
        <v>2.2000000000000001E-3</v>
      </c>
      <c r="K49" s="103">
        <v>24.8</v>
      </c>
      <c r="L49" s="2">
        <v>0</v>
      </c>
      <c r="M49" s="103">
        <v>0</v>
      </c>
      <c r="N49" s="2">
        <v>0</v>
      </c>
      <c r="O49" s="103">
        <v>0</v>
      </c>
      <c r="P49" s="2">
        <v>2.9999999999999997E-4</v>
      </c>
      <c r="Q49" s="103">
        <v>3.91</v>
      </c>
      <c r="R49" s="2">
        <v>0</v>
      </c>
      <c r="S49" s="103">
        <v>0</v>
      </c>
      <c r="T49" s="2">
        <v>2.5000000000000001E-2</v>
      </c>
      <c r="U49" s="103">
        <v>287.2</v>
      </c>
      <c r="V49" s="2">
        <v>8.9999999999999998E-4</v>
      </c>
      <c r="W49" s="103">
        <v>9.98</v>
      </c>
      <c r="X49" s="2">
        <v>0.8881</v>
      </c>
      <c r="Y49" s="103">
        <v>10197.459999999999</v>
      </c>
      <c r="Z49" s="104">
        <v>21679.83</v>
      </c>
    </row>
    <row r="50" spans="2:26" ht="28.35" customHeight="1">
      <c r="B50" s="100" t="s">
        <v>212</v>
      </c>
      <c r="C50" s="101" t="s">
        <v>47</v>
      </c>
      <c r="D50" s="102" t="s">
        <v>166</v>
      </c>
      <c r="E50" s="103">
        <v>13792.18</v>
      </c>
      <c r="F50" s="2">
        <v>0.79849999999999999</v>
      </c>
      <c r="G50" s="103">
        <v>11013.06</v>
      </c>
      <c r="H50" s="2">
        <v>5.0999999999999997E-2</v>
      </c>
      <c r="I50" s="103">
        <v>702.89</v>
      </c>
      <c r="J50" s="2">
        <v>1.8E-3</v>
      </c>
      <c r="K50" s="103">
        <v>24.8</v>
      </c>
      <c r="L50" s="2">
        <v>0</v>
      </c>
      <c r="M50" s="103">
        <v>0</v>
      </c>
      <c r="N50" s="2">
        <v>0</v>
      </c>
      <c r="O50" s="103">
        <v>0</v>
      </c>
      <c r="P50" s="2">
        <v>2.9999999999999997E-4</v>
      </c>
      <c r="Q50" s="103">
        <v>3.91</v>
      </c>
      <c r="R50" s="2">
        <v>0</v>
      </c>
      <c r="S50" s="103">
        <v>0</v>
      </c>
      <c r="T50" s="2">
        <v>2.0799999999999999E-2</v>
      </c>
      <c r="U50" s="103">
        <v>287.2</v>
      </c>
      <c r="V50" s="2">
        <v>6.9999999999999999E-4</v>
      </c>
      <c r="W50" s="103">
        <v>9.98</v>
      </c>
      <c r="X50" s="2">
        <v>0.87309999999999999</v>
      </c>
      <c r="Y50" s="103">
        <v>12041.84</v>
      </c>
      <c r="Z50" s="104">
        <v>25834.02</v>
      </c>
    </row>
    <row r="51" spans="2:26" ht="28.35" customHeight="1">
      <c r="B51" s="100" t="s">
        <v>213</v>
      </c>
      <c r="C51" s="101" t="s">
        <v>48</v>
      </c>
      <c r="D51" s="102" t="s">
        <v>166</v>
      </c>
      <c r="E51" s="103">
        <v>2779.77</v>
      </c>
      <c r="F51" s="2">
        <v>0.79610000000000003</v>
      </c>
      <c r="G51" s="103">
        <v>2212.9699999999998</v>
      </c>
      <c r="H51" s="2">
        <v>0.25290000000000001</v>
      </c>
      <c r="I51" s="103">
        <v>702.89</v>
      </c>
      <c r="J51" s="2">
        <v>8.8999999999999999E-3</v>
      </c>
      <c r="K51" s="103">
        <v>24.8</v>
      </c>
      <c r="L51" s="2">
        <v>0</v>
      </c>
      <c r="M51" s="103">
        <v>0</v>
      </c>
      <c r="N51" s="2">
        <v>1.8800000000000001E-2</v>
      </c>
      <c r="O51" s="103">
        <v>52.25</v>
      </c>
      <c r="P51" s="2">
        <v>1E-3</v>
      </c>
      <c r="Q51" s="103">
        <v>2.92</v>
      </c>
      <c r="R51" s="2">
        <v>0</v>
      </c>
      <c r="S51" s="103">
        <v>0</v>
      </c>
      <c r="T51" s="2">
        <v>0.1033</v>
      </c>
      <c r="U51" s="103">
        <v>287.2</v>
      </c>
      <c r="V51" s="2">
        <v>3.5999999999999999E-3</v>
      </c>
      <c r="W51" s="103">
        <v>9.98</v>
      </c>
      <c r="X51" s="2">
        <v>1.1846000000000001</v>
      </c>
      <c r="Y51" s="103">
        <v>3293</v>
      </c>
      <c r="Z51" s="104">
        <v>6072.77</v>
      </c>
    </row>
    <row r="52" spans="2:26" ht="28.35" customHeight="1">
      <c r="B52" s="100" t="s">
        <v>214</v>
      </c>
      <c r="C52" s="101" t="s">
        <v>49</v>
      </c>
      <c r="D52" s="102" t="s">
        <v>166</v>
      </c>
      <c r="E52" s="103">
        <v>3706.35</v>
      </c>
      <c r="F52" s="2">
        <v>0.79610000000000003</v>
      </c>
      <c r="G52" s="103">
        <v>2950.63</v>
      </c>
      <c r="H52" s="2">
        <v>0.18959999999999999</v>
      </c>
      <c r="I52" s="103">
        <v>702.89</v>
      </c>
      <c r="J52" s="2">
        <v>6.7000000000000002E-3</v>
      </c>
      <c r="K52" s="103">
        <v>24.8</v>
      </c>
      <c r="L52" s="2">
        <v>0</v>
      </c>
      <c r="M52" s="103">
        <v>0</v>
      </c>
      <c r="N52" s="2">
        <v>0</v>
      </c>
      <c r="O52" s="103">
        <v>0</v>
      </c>
      <c r="P52" s="2">
        <v>8.0000000000000004E-4</v>
      </c>
      <c r="Q52" s="103">
        <v>2.92</v>
      </c>
      <c r="R52" s="2">
        <v>0</v>
      </c>
      <c r="S52" s="103">
        <v>0</v>
      </c>
      <c r="T52" s="2">
        <v>7.7499999999999999E-2</v>
      </c>
      <c r="U52" s="103">
        <v>287.2</v>
      </c>
      <c r="V52" s="2">
        <v>2.7000000000000001E-3</v>
      </c>
      <c r="W52" s="103">
        <v>9.98</v>
      </c>
      <c r="X52" s="2">
        <v>1.0733999999999999</v>
      </c>
      <c r="Y52" s="103">
        <v>3978.42</v>
      </c>
      <c r="Z52" s="104">
        <v>7684.77</v>
      </c>
    </row>
    <row r="53" spans="2:26" ht="28.35" customHeight="1">
      <c r="B53" s="100" t="s">
        <v>215</v>
      </c>
      <c r="C53" s="101" t="s">
        <v>50</v>
      </c>
      <c r="D53" s="102" t="s">
        <v>166</v>
      </c>
      <c r="E53" s="103">
        <v>7205.54</v>
      </c>
      <c r="F53" s="2">
        <v>0.79610000000000003</v>
      </c>
      <c r="G53" s="103">
        <v>5736.33</v>
      </c>
      <c r="H53" s="2">
        <v>9.7500000000000003E-2</v>
      </c>
      <c r="I53" s="103">
        <v>702.89</v>
      </c>
      <c r="J53" s="2">
        <v>3.3999999999999998E-3</v>
      </c>
      <c r="K53" s="103">
        <v>24.8</v>
      </c>
      <c r="L53" s="2">
        <v>0</v>
      </c>
      <c r="M53" s="103">
        <v>0</v>
      </c>
      <c r="N53" s="2">
        <v>0</v>
      </c>
      <c r="O53" s="103">
        <v>0</v>
      </c>
      <c r="P53" s="2">
        <v>4.0000000000000002E-4</v>
      </c>
      <c r="Q53" s="103">
        <v>2.92</v>
      </c>
      <c r="R53" s="2">
        <v>0</v>
      </c>
      <c r="S53" s="103">
        <v>0</v>
      </c>
      <c r="T53" s="2">
        <v>3.9899999999999998E-2</v>
      </c>
      <c r="U53" s="103">
        <v>287.2</v>
      </c>
      <c r="V53" s="2">
        <v>1.4E-3</v>
      </c>
      <c r="W53" s="103">
        <v>9.98</v>
      </c>
      <c r="X53" s="2">
        <v>0.93869999999999998</v>
      </c>
      <c r="Y53" s="103">
        <v>6764.12</v>
      </c>
      <c r="Z53" s="104">
        <v>13969.66</v>
      </c>
    </row>
    <row r="54" spans="2:26" ht="28.35" customHeight="1">
      <c r="B54" s="100" t="s">
        <v>216</v>
      </c>
      <c r="C54" s="101" t="s">
        <v>51</v>
      </c>
      <c r="D54" s="102" t="s">
        <v>166</v>
      </c>
      <c r="E54" s="103">
        <v>2157.71</v>
      </c>
      <c r="F54" s="2">
        <v>0.80079999999999996</v>
      </c>
      <c r="G54" s="103">
        <v>1727.89</v>
      </c>
      <c r="H54" s="2">
        <v>0.32579999999999998</v>
      </c>
      <c r="I54" s="103">
        <v>702.89</v>
      </c>
      <c r="J54" s="2">
        <v>1.29E-2</v>
      </c>
      <c r="K54" s="103">
        <v>27.8</v>
      </c>
      <c r="L54" s="2">
        <v>0</v>
      </c>
      <c r="M54" s="103">
        <v>0</v>
      </c>
      <c r="N54" s="2">
        <v>4.1500000000000002E-2</v>
      </c>
      <c r="O54" s="103">
        <v>89.57</v>
      </c>
      <c r="P54" s="2">
        <v>2E-3</v>
      </c>
      <c r="Q54" s="103">
        <v>4.3099999999999996</v>
      </c>
      <c r="R54" s="2">
        <v>0</v>
      </c>
      <c r="S54" s="103">
        <v>0</v>
      </c>
      <c r="T54" s="2">
        <v>0.1331</v>
      </c>
      <c r="U54" s="103">
        <v>287.2</v>
      </c>
      <c r="V54" s="2">
        <v>4.5999999999999999E-3</v>
      </c>
      <c r="W54" s="103">
        <v>9.98</v>
      </c>
      <c r="X54" s="2">
        <v>1.3207</v>
      </c>
      <c r="Y54" s="103">
        <v>2849.65</v>
      </c>
      <c r="Z54" s="104">
        <v>5007.3599999999997</v>
      </c>
    </row>
    <row r="55" spans="2:26" ht="28.35" customHeight="1">
      <c r="B55" s="100" t="s">
        <v>217</v>
      </c>
      <c r="C55" s="101" t="s">
        <v>52</v>
      </c>
      <c r="D55" s="102" t="s">
        <v>166</v>
      </c>
      <c r="E55" s="103">
        <v>11220</v>
      </c>
      <c r="F55" s="2">
        <v>0.79220000000000002</v>
      </c>
      <c r="G55" s="103">
        <v>8888.48</v>
      </c>
      <c r="H55" s="2">
        <v>6.2600000000000003E-2</v>
      </c>
      <c r="I55" s="103">
        <v>702.89</v>
      </c>
      <c r="J55" s="2">
        <v>2.2000000000000001E-3</v>
      </c>
      <c r="K55" s="103">
        <v>24.8</v>
      </c>
      <c r="L55" s="2">
        <v>0</v>
      </c>
      <c r="M55" s="103">
        <v>0</v>
      </c>
      <c r="N55" s="2">
        <v>0</v>
      </c>
      <c r="O55" s="103">
        <v>0</v>
      </c>
      <c r="P55" s="2">
        <v>2.9999999999999997E-4</v>
      </c>
      <c r="Q55" s="103">
        <v>3.08</v>
      </c>
      <c r="R55" s="2">
        <v>0</v>
      </c>
      <c r="S55" s="103">
        <v>0</v>
      </c>
      <c r="T55" s="2">
        <v>2.5600000000000001E-2</v>
      </c>
      <c r="U55" s="103">
        <v>287.2</v>
      </c>
      <c r="V55" s="2">
        <v>8.9999999999999998E-4</v>
      </c>
      <c r="W55" s="103">
        <v>9.98</v>
      </c>
      <c r="X55" s="2">
        <v>0.88380000000000003</v>
      </c>
      <c r="Y55" s="103">
        <v>9916.43</v>
      </c>
      <c r="Z55" s="104">
        <v>21136.43</v>
      </c>
    </row>
    <row r="56" spans="2:26" ht="28.35" customHeight="1">
      <c r="B56" s="100" t="s">
        <v>218</v>
      </c>
      <c r="C56" s="101" t="s">
        <v>53</v>
      </c>
      <c r="D56" s="102" t="s">
        <v>166</v>
      </c>
      <c r="E56" s="103">
        <v>4941.05</v>
      </c>
      <c r="F56" s="2">
        <v>0.79320000000000002</v>
      </c>
      <c r="G56" s="103">
        <v>3919.24</v>
      </c>
      <c r="H56" s="2">
        <v>0.14230000000000001</v>
      </c>
      <c r="I56" s="103">
        <v>702.89</v>
      </c>
      <c r="J56" s="2">
        <v>5.0000000000000001E-3</v>
      </c>
      <c r="K56" s="103">
        <v>24.8</v>
      </c>
      <c r="L56" s="2">
        <v>0</v>
      </c>
      <c r="M56" s="103">
        <v>0</v>
      </c>
      <c r="N56" s="2">
        <v>0</v>
      </c>
      <c r="O56" s="103">
        <v>0</v>
      </c>
      <c r="P56" s="2">
        <v>4.0000000000000002E-4</v>
      </c>
      <c r="Q56" s="103">
        <v>2.1800000000000002</v>
      </c>
      <c r="R56" s="2">
        <v>0</v>
      </c>
      <c r="S56" s="103">
        <v>0</v>
      </c>
      <c r="T56" s="2">
        <v>5.8099999999999999E-2</v>
      </c>
      <c r="U56" s="103">
        <v>287.2</v>
      </c>
      <c r="V56" s="2">
        <v>2E-3</v>
      </c>
      <c r="W56" s="103">
        <v>9.98</v>
      </c>
      <c r="X56" s="2">
        <v>1.0011000000000001</v>
      </c>
      <c r="Y56" s="103">
        <v>4946.29</v>
      </c>
      <c r="Z56" s="104">
        <v>9887.34</v>
      </c>
    </row>
    <row r="57" spans="2:26" ht="28.35" customHeight="1">
      <c r="B57" s="100" t="s">
        <v>219</v>
      </c>
      <c r="C57" s="101" t="s">
        <v>54</v>
      </c>
      <c r="D57" s="102" t="s">
        <v>166</v>
      </c>
      <c r="E57" s="103">
        <v>6588.06</v>
      </c>
      <c r="F57" s="2">
        <v>0.79320000000000002</v>
      </c>
      <c r="G57" s="103">
        <v>5225.6499999999996</v>
      </c>
      <c r="H57" s="2">
        <v>0.1067</v>
      </c>
      <c r="I57" s="103">
        <v>702.89</v>
      </c>
      <c r="J57" s="2">
        <v>3.8E-3</v>
      </c>
      <c r="K57" s="103">
        <v>24.8</v>
      </c>
      <c r="L57" s="2">
        <v>0</v>
      </c>
      <c r="M57" s="103">
        <v>0</v>
      </c>
      <c r="N57" s="2">
        <v>0</v>
      </c>
      <c r="O57" s="103">
        <v>0</v>
      </c>
      <c r="P57" s="2">
        <v>2.9999999999999997E-4</v>
      </c>
      <c r="Q57" s="103">
        <v>2.1800000000000002</v>
      </c>
      <c r="R57" s="2">
        <v>0</v>
      </c>
      <c r="S57" s="103">
        <v>0</v>
      </c>
      <c r="T57" s="2">
        <v>4.36E-2</v>
      </c>
      <c r="U57" s="103">
        <v>287.2</v>
      </c>
      <c r="V57" s="2">
        <v>1.5E-3</v>
      </c>
      <c r="W57" s="103">
        <v>9.98</v>
      </c>
      <c r="X57" s="2">
        <v>0.94910000000000005</v>
      </c>
      <c r="Y57" s="103">
        <v>6252.7</v>
      </c>
      <c r="Z57" s="104">
        <v>12840.76</v>
      </c>
    </row>
    <row r="58" spans="2:26" ht="28.35" customHeight="1">
      <c r="B58" s="100" t="s">
        <v>220</v>
      </c>
      <c r="C58" s="101" t="s">
        <v>55</v>
      </c>
      <c r="D58" s="102" t="s">
        <v>166</v>
      </c>
      <c r="E58" s="103">
        <v>11069.44</v>
      </c>
      <c r="F58" s="2">
        <v>0.79320000000000002</v>
      </c>
      <c r="G58" s="103">
        <v>8780.2800000000007</v>
      </c>
      <c r="H58" s="2">
        <v>6.3500000000000001E-2</v>
      </c>
      <c r="I58" s="103">
        <v>702.89</v>
      </c>
      <c r="J58" s="2">
        <v>2.2000000000000001E-3</v>
      </c>
      <c r="K58" s="103">
        <v>24.8</v>
      </c>
      <c r="L58" s="2">
        <v>0</v>
      </c>
      <c r="M58" s="103">
        <v>0</v>
      </c>
      <c r="N58" s="2">
        <v>0</v>
      </c>
      <c r="O58" s="103">
        <v>0</v>
      </c>
      <c r="P58" s="2">
        <v>2.0000000000000001E-4</v>
      </c>
      <c r="Q58" s="103">
        <v>2.1800000000000002</v>
      </c>
      <c r="R58" s="2">
        <v>0</v>
      </c>
      <c r="S58" s="103">
        <v>0</v>
      </c>
      <c r="T58" s="2">
        <v>2.5899999999999999E-2</v>
      </c>
      <c r="U58" s="103">
        <v>287.2</v>
      </c>
      <c r="V58" s="2">
        <v>8.9999999999999998E-4</v>
      </c>
      <c r="W58" s="103">
        <v>9.98</v>
      </c>
      <c r="X58" s="2">
        <v>0.88600000000000001</v>
      </c>
      <c r="Y58" s="103">
        <v>9807.33</v>
      </c>
      <c r="Z58" s="104">
        <v>20876.78</v>
      </c>
    </row>
    <row r="59" spans="2:26" ht="28.35" customHeight="1">
      <c r="B59" s="100" t="s">
        <v>221</v>
      </c>
      <c r="C59" s="101" t="s">
        <v>56</v>
      </c>
      <c r="D59" s="102" t="s">
        <v>166</v>
      </c>
      <c r="E59" s="103">
        <v>2154.65</v>
      </c>
      <c r="F59" s="2">
        <v>0.80210000000000004</v>
      </c>
      <c r="G59" s="103">
        <v>1728.24</v>
      </c>
      <c r="H59" s="2">
        <v>0.32619999999999999</v>
      </c>
      <c r="I59" s="103">
        <v>702.89</v>
      </c>
      <c r="J59" s="2">
        <v>1.4E-2</v>
      </c>
      <c r="K59" s="103">
        <v>30.19</v>
      </c>
      <c r="L59" s="2">
        <v>0</v>
      </c>
      <c r="M59" s="103">
        <v>0</v>
      </c>
      <c r="N59" s="2">
        <v>4.1700000000000001E-2</v>
      </c>
      <c r="O59" s="103">
        <v>89.75</v>
      </c>
      <c r="P59" s="2">
        <v>2.2000000000000001E-3</v>
      </c>
      <c r="Q59" s="103">
        <v>4.63</v>
      </c>
      <c r="R59" s="2">
        <v>0</v>
      </c>
      <c r="S59" s="103">
        <v>0</v>
      </c>
      <c r="T59" s="2">
        <v>0.1333</v>
      </c>
      <c r="U59" s="103">
        <v>287.2</v>
      </c>
      <c r="V59" s="2">
        <v>4.5999999999999999E-3</v>
      </c>
      <c r="W59" s="103">
        <v>9.98</v>
      </c>
      <c r="X59" s="2">
        <v>1.3241000000000001</v>
      </c>
      <c r="Y59" s="103">
        <v>2852.89</v>
      </c>
      <c r="Z59" s="104">
        <v>5007.54</v>
      </c>
    </row>
    <row r="60" spans="2:26" ht="28.35" customHeight="1">
      <c r="B60" s="100" t="s">
        <v>222</v>
      </c>
      <c r="C60" s="101" t="s">
        <v>57</v>
      </c>
      <c r="D60" s="102" t="s">
        <v>166</v>
      </c>
      <c r="E60" s="103">
        <v>1953.12</v>
      </c>
      <c r="F60" s="2">
        <v>0.79920000000000002</v>
      </c>
      <c r="G60" s="103">
        <v>1560.93</v>
      </c>
      <c r="H60" s="2">
        <v>0.3599</v>
      </c>
      <c r="I60" s="103">
        <v>702.89</v>
      </c>
      <c r="J60" s="2">
        <v>1.55E-2</v>
      </c>
      <c r="K60" s="103">
        <v>30.19</v>
      </c>
      <c r="L60" s="2">
        <v>0</v>
      </c>
      <c r="M60" s="103">
        <v>0</v>
      </c>
      <c r="N60" s="2">
        <v>5.21E-2</v>
      </c>
      <c r="O60" s="103">
        <v>101.84</v>
      </c>
      <c r="P60" s="2">
        <v>2.2000000000000001E-3</v>
      </c>
      <c r="Q60" s="103">
        <v>4.3499999999999996</v>
      </c>
      <c r="R60" s="2">
        <v>0</v>
      </c>
      <c r="S60" s="103">
        <v>0</v>
      </c>
      <c r="T60" s="2">
        <v>0.14699999999999999</v>
      </c>
      <c r="U60" s="103">
        <v>287.2</v>
      </c>
      <c r="V60" s="2">
        <v>5.1000000000000004E-3</v>
      </c>
      <c r="W60" s="103">
        <v>9.98</v>
      </c>
      <c r="X60" s="2">
        <v>1.3811</v>
      </c>
      <c r="Y60" s="103">
        <v>2697.39</v>
      </c>
      <c r="Z60" s="104">
        <v>4650.51</v>
      </c>
    </row>
    <row r="61" spans="2:26" ht="28.35" customHeight="1">
      <c r="B61" s="100" t="s">
        <v>223</v>
      </c>
      <c r="C61" s="101" t="s">
        <v>58</v>
      </c>
      <c r="D61" s="102" t="s">
        <v>166</v>
      </c>
      <c r="E61" s="103">
        <v>4548.8100000000004</v>
      </c>
      <c r="F61" s="2">
        <v>0.80020000000000002</v>
      </c>
      <c r="G61" s="103">
        <v>3639.95</v>
      </c>
      <c r="H61" s="2">
        <v>0.1545</v>
      </c>
      <c r="I61" s="103">
        <v>702.89</v>
      </c>
      <c r="J61" s="2">
        <v>5.4999999999999997E-3</v>
      </c>
      <c r="K61" s="103">
        <v>24.8</v>
      </c>
      <c r="L61" s="2">
        <v>0</v>
      </c>
      <c r="M61" s="103">
        <v>0</v>
      </c>
      <c r="N61" s="2">
        <v>0</v>
      </c>
      <c r="O61" s="103">
        <v>0</v>
      </c>
      <c r="P61" s="2">
        <v>8.0000000000000004E-4</v>
      </c>
      <c r="Q61" s="103">
        <v>3.5</v>
      </c>
      <c r="R61" s="2">
        <v>0</v>
      </c>
      <c r="S61" s="103">
        <v>0</v>
      </c>
      <c r="T61" s="2">
        <v>6.3100000000000003E-2</v>
      </c>
      <c r="U61" s="103">
        <v>287.2</v>
      </c>
      <c r="V61" s="2">
        <v>2.2000000000000001E-3</v>
      </c>
      <c r="W61" s="103">
        <v>9.98</v>
      </c>
      <c r="X61" s="2">
        <v>1.0263</v>
      </c>
      <c r="Y61" s="103">
        <v>4668.32</v>
      </c>
      <c r="Z61" s="104">
        <v>9217.1299999999992</v>
      </c>
    </row>
    <row r="62" spans="2:26" ht="28.35" customHeight="1">
      <c r="B62" s="100" t="s">
        <v>224</v>
      </c>
      <c r="C62" s="101" t="s">
        <v>59</v>
      </c>
      <c r="D62" s="102" t="s">
        <v>166</v>
      </c>
      <c r="E62" s="103">
        <v>6065.08</v>
      </c>
      <c r="F62" s="2">
        <v>0.80020000000000002</v>
      </c>
      <c r="G62" s="103">
        <v>4853.2700000000004</v>
      </c>
      <c r="H62" s="2">
        <v>0.1159</v>
      </c>
      <c r="I62" s="103">
        <v>702.89</v>
      </c>
      <c r="J62" s="2">
        <v>4.1000000000000003E-3</v>
      </c>
      <c r="K62" s="103">
        <v>24.8</v>
      </c>
      <c r="L62" s="2">
        <v>0</v>
      </c>
      <c r="M62" s="103">
        <v>0</v>
      </c>
      <c r="N62" s="2">
        <v>0</v>
      </c>
      <c r="O62" s="103">
        <v>0</v>
      </c>
      <c r="P62" s="2">
        <v>5.9999999999999995E-4</v>
      </c>
      <c r="Q62" s="103">
        <v>3.5</v>
      </c>
      <c r="R62" s="2">
        <v>0</v>
      </c>
      <c r="S62" s="103">
        <v>0</v>
      </c>
      <c r="T62" s="2">
        <v>4.7399999999999998E-2</v>
      </c>
      <c r="U62" s="103">
        <v>287.2</v>
      </c>
      <c r="V62" s="2">
        <v>1.6000000000000001E-3</v>
      </c>
      <c r="W62" s="103">
        <v>9.98</v>
      </c>
      <c r="X62" s="2">
        <v>0.9698</v>
      </c>
      <c r="Y62" s="103">
        <v>5881.64</v>
      </c>
      <c r="Z62" s="104">
        <v>11946.72</v>
      </c>
    </row>
    <row r="63" spans="2:26" ht="28.35" customHeight="1">
      <c r="B63" s="100" t="s">
        <v>225</v>
      </c>
      <c r="C63" s="101" t="s">
        <v>60</v>
      </c>
      <c r="D63" s="102" t="s">
        <v>166</v>
      </c>
      <c r="E63" s="103">
        <v>10920.23</v>
      </c>
      <c r="F63" s="2">
        <v>0.80020000000000002</v>
      </c>
      <c r="G63" s="103">
        <v>8738.3700000000008</v>
      </c>
      <c r="H63" s="2">
        <v>6.4399999999999999E-2</v>
      </c>
      <c r="I63" s="103">
        <v>702.89</v>
      </c>
      <c r="J63" s="2">
        <v>2.3E-3</v>
      </c>
      <c r="K63" s="103">
        <v>24.8</v>
      </c>
      <c r="L63" s="2">
        <v>0</v>
      </c>
      <c r="M63" s="103">
        <v>0</v>
      </c>
      <c r="N63" s="2">
        <v>0</v>
      </c>
      <c r="O63" s="103">
        <v>0</v>
      </c>
      <c r="P63" s="2">
        <v>2.9999999999999997E-4</v>
      </c>
      <c r="Q63" s="103">
        <v>3.5</v>
      </c>
      <c r="R63" s="2">
        <v>0</v>
      </c>
      <c r="S63" s="103">
        <v>0</v>
      </c>
      <c r="T63" s="2">
        <v>2.63E-2</v>
      </c>
      <c r="U63" s="103">
        <v>287.2</v>
      </c>
      <c r="V63" s="2">
        <v>8.9999999999999998E-4</v>
      </c>
      <c r="W63" s="103">
        <v>9.98</v>
      </c>
      <c r="X63" s="2">
        <v>0.89439999999999997</v>
      </c>
      <c r="Y63" s="103">
        <v>9766.74</v>
      </c>
      <c r="Z63" s="104">
        <v>20686.96</v>
      </c>
    </row>
    <row r="64" spans="2:26" ht="28.35" customHeight="1">
      <c r="B64" s="100" t="s">
        <v>226</v>
      </c>
      <c r="C64" s="101" t="s">
        <v>61</v>
      </c>
      <c r="D64" s="102" t="s">
        <v>166</v>
      </c>
      <c r="E64" s="103">
        <v>2395.6799999999998</v>
      </c>
      <c r="F64" s="2">
        <v>0.8095</v>
      </c>
      <c r="G64" s="103">
        <v>1939.31</v>
      </c>
      <c r="H64" s="2">
        <v>0.29339999999999999</v>
      </c>
      <c r="I64" s="103">
        <v>702.89</v>
      </c>
      <c r="J64" s="2">
        <v>1.04E-2</v>
      </c>
      <c r="K64" s="103">
        <v>24.8</v>
      </c>
      <c r="L64" s="2">
        <v>0</v>
      </c>
      <c r="M64" s="103">
        <v>0</v>
      </c>
      <c r="N64" s="2">
        <v>3.1399999999999997E-2</v>
      </c>
      <c r="O64" s="103">
        <v>75.290000000000006</v>
      </c>
      <c r="P64" s="2">
        <v>3.3E-3</v>
      </c>
      <c r="Q64" s="103">
        <v>7.79</v>
      </c>
      <c r="R64" s="2">
        <v>0</v>
      </c>
      <c r="S64" s="103">
        <v>0</v>
      </c>
      <c r="T64" s="2">
        <v>0.11990000000000001</v>
      </c>
      <c r="U64" s="103">
        <v>287.2</v>
      </c>
      <c r="V64" s="2">
        <v>4.1999999999999997E-3</v>
      </c>
      <c r="W64" s="103">
        <v>9.98</v>
      </c>
      <c r="X64" s="2">
        <v>1.272</v>
      </c>
      <c r="Y64" s="103">
        <v>3047.26</v>
      </c>
      <c r="Z64" s="104">
        <v>5442.94</v>
      </c>
    </row>
    <row r="65" spans="2:26" ht="28.35" customHeight="1">
      <c r="B65" s="100" t="s">
        <v>227</v>
      </c>
      <c r="C65" s="101" t="s">
        <v>62</v>
      </c>
      <c r="D65" s="102" t="s">
        <v>166</v>
      </c>
      <c r="E65" s="103">
        <v>3194.25</v>
      </c>
      <c r="F65" s="2">
        <v>0.8095</v>
      </c>
      <c r="G65" s="103">
        <v>2585.7399999999998</v>
      </c>
      <c r="H65" s="2">
        <v>0.22</v>
      </c>
      <c r="I65" s="103">
        <v>702.89</v>
      </c>
      <c r="J65" s="2">
        <v>7.7999999999999996E-3</v>
      </c>
      <c r="K65" s="103">
        <v>24.8</v>
      </c>
      <c r="L65" s="2">
        <v>0</v>
      </c>
      <c r="M65" s="103">
        <v>0</v>
      </c>
      <c r="N65" s="2">
        <v>8.6E-3</v>
      </c>
      <c r="O65" s="103">
        <v>27.38</v>
      </c>
      <c r="P65" s="2">
        <v>2.3999999999999998E-3</v>
      </c>
      <c r="Q65" s="103">
        <v>7.79</v>
      </c>
      <c r="R65" s="2">
        <v>0</v>
      </c>
      <c r="S65" s="103">
        <v>0</v>
      </c>
      <c r="T65" s="2">
        <v>8.9899999999999994E-2</v>
      </c>
      <c r="U65" s="103">
        <v>287.2</v>
      </c>
      <c r="V65" s="2">
        <v>3.0999999999999999E-3</v>
      </c>
      <c r="W65" s="103">
        <v>9.98</v>
      </c>
      <c r="X65" s="2">
        <v>1.1414</v>
      </c>
      <c r="Y65" s="103">
        <v>3645.78</v>
      </c>
      <c r="Z65" s="104">
        <v>6840.03</v>
      </c>
    </row>
    <row r="66" spans="2:26" ht="28.35" customHeight="1">
      <c r="B66" s="100" t="s">
        <v>228</v>
      </c>
      <c r="C66" s="101" t="s">
        <v>63</v>
      </c>
      <c r="D66" s="102" t="s">
        <v>166</v>
      </c>
      <c r="E66" s="103">
        <v>4952.66</v>
      </c>
      <c r="F66" s="2">
        <v>0.8095</v>
      </c>
      <c r="G66" s="103">
        <v>4009.18</v>
      </c>
      <c r="H66" s="2">
        <v>0.1419</v>
      </c>
      <c r="I66" s="103">
        <v>702.89</v>
      </c>
      <c r="J66" s="2">
        <v>5.0000000000000001E-3</v>
      </c>
      <c r="K66" s="103">
        <v>24.8</v>
      </c>
      <c r="L66" s="2">
        <v>0</v>
      </c>
      <c r="M66" s="103">
        <v>0</v>
      </c>
      <c r="N66" s="2">
        <v>0</v>
      </c>
      <c r="O66" s="103">
        <v>0</v>
      </c>
      <c r="P66" s="2">
        <v>1.6000000000000001E-3</v>
      </c>
      <c r="Q66" s="103">
        <v>7.79</v>
      </c>
      <c r="R66" s="2">
        <v>0</v>
      </c>
      <c r="S66" s="103">
        <v>0</v>
      </c>
      <c r="T66" s="2">
        <v>5.8000000000000003E-2</v>
      </c>
      <c r="U66" s="103">
        <v>287.2</v>
      </c>
      <c r="V66" s="2">
        <v>2E-3</v>
      </c>
      <c r="W66" s="103">
        <v>9.98</v>
      </c>
      <c r="X66" s="2">
        <v>1.018</v>
      </c>
      <c r="Y66" s="103">
        <v>5041.84</v>
      </c>
      <c r="Z66" s="104">
        <v>9994.5</v>
      </c>
    </row>
    <row r="67" spans="2:26" ht="28.35" customHeight="1">
      <c r="B67" s="100" t="s">
        <v>229</v>
      </c>
      <c r="C67" s="101" t="s">
        <v>64</v>
      </c>
      <c r="D67" s="102" t="s">
        <v>166</v>
      </c>
      <c r="E67" s="103">
        <v>2434.7399999999998</v>
      </c>
      <c r="F67" s="2">
        <v>0.79879999999999995</v>
      </c>
      <c r="G67" s="103">
        <v>1944.87</v>
      </c>
      <c r="H67" s="2">
        <v>0.28870000000000001</v>
      </c>
      <c r="I67" s="103">
        <v>702.89</v>
      </c>
      <c r="J67" s="2">
        <v>0</v>
      </c>
      <c r="K67" s="103">
        <v>0</v>
      </c>
      <c r="L67" s="2">
        <v>0</v>
      </c>
      <c r="M67" s="103">
        <v>0</v>
      </c>
      <c r="N67" s="2">
        <v>0.03</v>
      </c>
      <c r="O67" s="103">
        <v>72.95</v>
      </c>
      <c r="P67" s="2">
        <v>1.6999999999999999E-3</v>
      </c>
      <c r="Q67" s="103">
        <v>4.1500000000000004</v>
      </c>
      <c r="R67" s="2">
        <v>0</v>
      </c>
      <c r="S67" s="103">
        <v>0</v>
      </c>
      <c r="T67" s="2">
        <v>0.11799999999999999</v>
      </c>
      <c r="U67" s="103">
        <v>287.2</v>
      </c>
      <c r="V67" s="2">
        <v>4.1000000000000003E-3</v>
      </c>
      <c r="W67" s="103">
        <v>9.98</v>
      </c>
      <c r="X67" s="2">
        <v>1.2412000000000001</v>
      </c>
      <c r="Y67" s="103">
        <v>3022.03</v>
      </c>
      <c r="Z67" s="104">
        <v>5456.77</v>
      </c>
    </row>
    <row r="68" spans="2:26" ht="28.35" customHeight="1">
      <c r="B68" s="100" t="s">
        <v>230</v>
      </c>
      <c r="C68" s="101" t="s">
        <v>65</v>
      </c>
      <c r="D68" s="102" t="s">
        <v>166</v>
      </c>
      <c r="E68" s="103">
        <v>1882.18</v>
      </c>
      <c r="F68" s="2">
        <v>0.79779999999999995</v>
      </c>
      <c r="G68" s="103">
        <v>1501.6</v>
      </c>
      <c r="H68" s="2">
        <v>0.37340000000000001</v>
      </c>
      <c r="I68" s="103">
        <v>702.89</v>
      </c>
      <c r="J68" s="2">
        <v>1.4800000000000001E-2</v>
      </c>
      <c r="K68" s="103">
        <v>27.8</v>
      </c>
      <c r="L68" s="2">
        <v>0</v>
      </c>
      <c r="M68" s="103">
        <v>0</v>
      </c>
      <c r="N68" s="2">
        <v>5.6399999999999999E-2</v>
      </c>
      <c r="O68" s="103">
        <v>106.1</v>
      </c>
      <c r="P68" s="2">
        <v>1.9E-3</v>
      </c>
      <c r="Q68" s="103">
        <v>3.57</v>
      </c>
      <c r="R68" s="2">
        <v>0</v>
      </c>
      <c r="S68" s="103">
        <v>0</v>
      </c>
      <c r="T68" s="2">
        <v>0.15260000000000001</v>
      </c>
      <c r="U68" s="103">
        <v>287.2</v>
      </c>
      <c r="V68" s="2">
        <v>5.3E-3</v>
      </c>
      <c r="W68" s="103">
        <v>9.98</v>
      </c>
      <c r="X68" s="2">
        <v>1.4021999999999999</v>
      </c>
      <c r="Y68" s="103">
        <v>2639.15</v>
      </c>
      <c r="Z68" s="104">
        <v>4521.33</v>
      </c>
    </row>
    <row r="69" spans="2:26" ht="28.35" customHeight="1">
      <c r="B69" s="100" t="s">
        <v>231</v>
      </c>
      <c r="C69" s="101" t="s">
        <v>66</v>
      </c>
      <c r="D69" s="102" t="s">
        <v>166</v>
      </c>
      <c r="E69" s="103">
        <v>2719.96</v>
      </c>
      <c r="F69" s="2">
        <v>0.80100000000000005</v>
      </c>
      <c r="G69" s="103">
        <v>2178.69</v>
      </c>
      <c r="H69" s="2">
        <v>0.25840000000000002</v>
      </c>
      <c r="I69" s="103">
        <v>702.89</v>
      </c>
      <c r="J69" s="2">
        <v>1.0200000000000001E-2</v>
      </c>
      <c r="K69" s="103">
        <v>27.8</v>
      </c>
      <c r="L69" s="2">
        <v>0</v>
      </c>
      <c r="M69" s="103">
        <v>0</v>
      </c>
      <c r="N69" s="2">
        <v>2.0500000000000001E-2</v>
      </c>
      <c r="O69" s="103">
        <v>55.83</v>
      </c>
      <c r="P69" s="2">
        <v>2E-3</v>
      </c>
      <c r="Q69" s="103">
        <v>5.45</v>
      </c>
      <c r="R69" s="2">
        <v>0</v>
      </c>
      <c r="S69" s="103">
        <v>0</v>
      </c>
      <c r="T69" s="2">
        <v>0.1056</v>
      </c>
      <c r="U69" s="103">
        <v>287.2</v>
      </c>
      <c r="V69" s="2">
        <v>3.7000000000000002E-3</v>
      </c>
      <c r="W69" s="103">
        <v>9.98</v>
      </c>
      <c r="X69" s="2">
        <v>1.2014</v>
      </c>
      <c r="Y69" s="103">
        <v>3267.85</v>
      </c>
      <c r="Z69" s="104">
        <v>5987.81</v>
      </c>
    </row>
    <row r="70" spans="2:26" ht="28.35" customHeight="1">
      <c r="B70" s="100" t="s">
        <v>232</v>
      </c>
      <c r="C70" s="101" t="s">
        <v>67</v>
      </c>
      <c r="D70" s="102" t="s">
        <v>166</v>
      </c>
      <c r="E70" s="103">
        <v>3118.31</v>
      </c>
      <c r="F70" s="2">
        <v>0.79849999999999999</v>
      </c>
      <c r="G70" s="103">
        <v>2489.9699999999998</v>
      </c>
      <c r="H70" s="2">
        <v>0.22539999999999999</v>
      </c>
      <c r="I70" s="103">
        <v>702.89</v>
      </c>
      <c r="J70" s="2">
        <v>8.8999999999999999E-3</v>
      </c>
      <c r="K70" s="103">
        <v>27.8</v>
      </c>
      <c r="L70" s="2">
        <v>0</v>
      </c>
      <c r="M70" s="103">
        <v>0</v>
      </c>
      <c r="N70" s="2">
        <v>1.0200000000000001E-2</v>
      </c>
      <c r="O70" s="103">
        <v>31.93</v>
      </c>
      <c r="P70" s="2">
        <v>1.1999999999999999E-3</v>
      </c>
      <c r="Q70" s="103">
        <v>3.85</v>
      </c>
      <c r="R70" s="2">
        <v>0</v>
      </c>
      <c r="S70" s="103">
        <v>0</v>
      </c>
      <c r="T70" s="2">
        <v>9.2100000000000001E-2</v>
      </c>
      <c r="U70" s="103">
        <v>287.2</v>
      </c>
      <c r="V70" s="2">
        <v>3.2000000000000002E-3</v>
      </c>
      <c r="W70" s="103">
        <v>9.98</v>
      </c>
      <c r="X70" s="2">
        <v>1.1395999999999999</v>
      </c>
      <c r="Y70" s="103">
        <v>3553.62</v>
      </c>
      <c r="Z70" s="104">
        <v>6671.93</v>
      </c>
    </row>
    <row r="71" spans="2:26" ht="28.35" customHeight="1">
      <c r="B71" s="100" t="s">
        <v>233</v>
      </c>
      <c r="C71" s="101" t="s">
        <v>68</v>
      </c>
      <c r="D71" s="102" t="s">
        <v>166</v>
      </c>
      <c r="E71" s="103">
        <v>4457.84</v>
      </c>
      <c r="F71" s="2">
        <v>0.8044</v>
      </c>
      <c r="G71" s="103">
        <v>3585.89</v>
      </c>
      <c r="H71" s="2">
        <v>0.15770000000000001</v>
      </c>
      <c r="I71" s="103">
        <v>702.89</v>
      </c>
      <c r="J71" s="2">
        <v>6.1999999999999998E-3</v>
      </c>
      <c r="K71" s="103">
        <v>27.8</v>
      </c>
      <c r="L71" s="2">
        <v>0</v>
      </c>
      <c r="M71" s="103">
        <v>0</v>
      </c>
      <c r="N71" s="2">
        <v>0</v>
      </c>
      <c r="O71" s="103">
        <v>0</v>
      </c>
      <c r="P71" s="2">
        <v>1.1000000000000001E-3</v>
      </c>
      <c r="Q71" s="103">
        <v>4.87</v>
      </c>
      <c r="R71" s="2">
        <v>0</v>
      </c>
      <c r="S71" s="103">
        <v>0</v>
      </c>
      <c r="T71" s="2">
        <v>6.4399999999999999E-2</v>
      </c>
      <c r="U71" s="103">
        <v>287.2</v>
      </c>
      <c r="V71" s="2">
        <v>2.2000000000000001E-3</v>
      </c>
      <c r="W71" s="103">
        <v>9.98</v>
      </c>
      <c r="X71" s="2">
        <v>1.0361</v>
      </c>
      <c r="Y71" s="103">
        <v>4618.63</v>
      </c>
      <c r="Z71" s="104">
        <v>9076.4699999999993</v>
      </c>
    </row>
    <row r="72" spans="2:26" ht="28.35" customHeight="1">
      <c r="B72" s="100" t="s">
        <v>234</v>
      </c>
      <c r="C72" s="101" t="s">
        <v>69</v>
      </c>
      <c r="D72" s="102" t="s">
        <v>166</v>
      </c>
      <c r="E72" s="103">
        <v>2591.14</v>
      </c>
      <c r="F72" s="2">
        <v>0.79549999999999998</v>
      </c>
      <c r="G72" s="103">
        <v>2061.2600000000002</v>
      </c>
      <c r="H72" s="2">
        <v>0.27129999999999999</v>
      </c>
      <c r="I72" s="103">
        <v>702.89</v>
      </c>
      <c r="J72" s="2">
        <v>1.0699999999999999E-2</v>
      </c>
      <c r="K72" s="103">
        <v>27.8</v>
      </c>
      <c r="L72" s="2">
        <v>0</v>
      </c>
      <c r="M72" s="103">
        <v>0</v>
      </c>
      <c r="N72" s="2">
        <v>2.4500000000000001E-2</v>
      </c>
      <c r="O72" s="103">
        <v>63.56</v>
      </c>
      <c r="P72" s="2">
        <v>1.6000000000000001E-3</v>
      </c>
      <c r="Q72" s="103">
        <v>4.1500000000000004</v>
      </c>
      <c r="R72" s="2">
        <v>0</v>
      </c>
      <c r="S72" s="103">
        <v>0</v>
      </c>
      <c r="T72" s="2">
        <v>0.1108</v>
      </c>
      <c r="U72" s="103">
        <v>287.2</v>
      </c>
      <c r="V72" s="2">
        <v>3.8999999999999998E-3</v>
      </c>
      <c r="W72" s="103">
        <v>9.98</v>
      </c>
      <c r="X72" s="2">
        <v>1.2182999999999999</v>
      </c>
      <c r="Y72" s="103">
        <v>3156.85</v>
      </c>
      <c r="Z72" s="104">
        <v>5747.99</v>
      </c>
    </row>
    <row r="73" spans="2:26" ht="28.35" customHeight="1">
      <c r="B73" s="100" t="s">
        <v>235</v>
      </c>
      <c r="C73" s="101" t="s">
        <v>70</v>
      </c>
      <c r="D73" s="102" t="s">
        <v>166</v>
      </c>
      <c r="E73" s="103">
        <v>4013.75</v>
      </c>
      <c r="F73" s="2">
        <v>0.79820000000000002</v>
      </c>
      <c r="G73" s="103">
        <v>3203.77</v>
      </c>
      <c r="H73" s="2">
        <v>0.17510000000000001</v>
      </c>
      <c r="I73" s="103">
        <v>702.89</v>
      </c>
      <c r="J73" s="2">
        <v>0</v>
      </c>
      <c r="K73" s="103">
        <v>0</v>
      </c>
      <c r="L73" s="2">
        <v>0</v>
      </c>
      <c r="M73" s="103">
        <v>0</v>
      </c>
      <c r="N73" s="2">
        <v>0</v>
      </c>
      <c r="O73" s="103">
        <v>0</v>
      </c>
      <c r="P73" s="2">
        <v>8.9999999999999998E-4</v>
      </c>
      <c r="Q73" s="103">
        <v>3.8</v>
      </c>
      <c r="R73" s="2">
        <v>0</v>
      </c>
      <c r="S73" s="103">
        <v>0</v>
      </c>
      <c r="T73" s="2">
        <v>7.1599999999999997E-2</v>
      </c>
      <c r="U73" s="103">
        <v>287.2</v>
      </c>
      <c r="V73" s="2">
        <v>2.5000000000000001E-3</v>
      </c>
      <c r="W73" s="103">
        <v>9.98</v>
      </c>
      <c r="X73" s="2">
        <v>1.0483</v>
      </c>
      <c r="Y73" s="103">
        <v>4207.6400000000003</v>
      </c>
      <c r="Z73" s="104">
        <v>8221.39</v>
      </c>
    </row>
    <row r="74" spans="2:26" ht="28.35" customHeight="1">
      <c r="B74" s="100" t="s">
        <v>236</v>
      </c>
      <c r="C74" s="101" t="s">
        <v>71</v>
      </c>
      <c r="D74" s="102" t="s">
        <v>166</v>
      </c>
      <c r="E74" s="103">
        <v>2290.75</v>
      </c>
      <c r="F74" s="2">
        <v>0.80169999999999997</v>
      </c>
      <c r="G74" s="103">
        <v>1836.49</v>
      </c>
      <c r="H74" s="2">
        <v>0.30680000000000002</v>
      </c>
      <c r="I74" s="103">
        <v>702.89</v>
      </c>
      <c r="J74" s="2">
        <v>1.21E-2</v>
      </c>
      <c r="K74" s="103">
        <v>27.8</v>
      </c>
      <c r="L74" s="2">
        <v>0</v>
      </c>
      <c r="M74" s="103">
        <v>0</v>
      </c>
      <c r="N74" s="2">
        <v>3.56E-2</v>
      </c>
      <c r="O74" s="103">
        <v>81.59</v>
      </c>
      <c r="P74" s="2">
        <v>2.0999999999999999E-3</v>
      </c>
      <c r="Q74" s="103">
        <v>4.7</v>
      </c>
      <c r="R74" s="2">
        <v>0</v>
      </c>
      <c r="S74" s="103">
        <v>0</v>
      </c>
      <c r="T74" s="2">
        <v>0.12540000000000001</v>
      </c>
      <c r="U74" s="103">
        <v>287.2</v>
      </c>
      <c r="V74" s="2">
        <v>4.4000000000000003E-3</v>
      </c>
      <c r="W74" s="103">
        <v>9.98</v>
      </c>
      <c r="X74" s="2">
        <v>1.2881</v>
      </c>
      <c r="Y74" s="103">
        <v>2950.65</v>
      </c>
      <c r="Z74" s="104">
        <v>5241.3999999999996</v>
      </c>
    </row>
    <row r="75" spans="2:26" ht="28.35" customHeight="1">
      <c r="B75" s="100" t="s">
        <v>237</v>
      </c>
      <c r="C75" s="101" t="s">
        <v>72</v>
      </c>
      <c r="D75" s="102" t="s">
        <v>166</v>
      </c>
      <c r="E75" s="103">
        <v>2182.42</v>
      </c>
      <c r="F75" s="2">
        <v>0.7984</v>
      </c>
      <c r="G75" s="103">
        <v>1742.44</v>
      </c>
      <c r="H75" s="2">
        <v>0.3221</v>
      </c>
      <c r="I75" s="103">
        <v>702.89</v>
      </c>
      <c r="J75" s="2">
        <v>0</v>
      </c>
      <c r="K75" s="103">
        <v>0</v>
      </c>
      <c r="L75" s="2">
        <v>0</v>
      </c>
      <c r="M75" s="103">
        <v>0</v>
      </c>
      <c r="N75" s="2">
        <v>4.0399999999999998E-2</v>
      </c>
      <c r="O75" s="103">
        <v>88.09</v>
      </c>
      <c r="P75" s="2">
        <v>1.6000000000000001E-3</v>
      </c>
      <c r="Q75" s="103">
        <v>3.58</v>
      </c>
      <c r="R75" s="2">
        <v>0</v>
      </c>
      <c r="S75" s="103">
        <v>0</v>
      </c>
      <c r="T75" s="2">
        <v>0.13159999999999999</v>
      </c>
      <c r="U75" s="103">
        <v>287.2</v>
      </c>
      <c r="V75" s="2">
        <v>4.5999999999999999E-3</v>
      </c>
      <c r="W75" s="103">
        <v>9.98</v>
      </c>
      <c r="X75" s="2">
        <v>1.2986</v>
      </c>
      <c r="Y75" s="103">
        <v>2834.19</v>
      </c>
      <c r="Z75" s="104">
        <v>5016.6099999999997</v>
      </c>
    </row>
    <row r="76" spans="2:26" ht="28.35" customHeight="1">
      <c r="B76" s="100" t="s">
        <v>238</v>
      </c>
      <c r="C76" s="101" t="s">
        <v>73</v>
      </c>
      <c r="D76" s="102" t="s">
        <v>166</v>
      </c>
      <c r="E76" s="103">
        <v>2909.89</v>
      </c>
      <c r="F76" s="2">
        <v>0.7984</v>
      </c>
      <c r="G76" s="103">
        <v>2323.2600000000002</v>
      </c>
      <c r="H76" s="2">
        <v>0.24160000000000001</v>
      </c>
      <c r="I76" s="103">
        <v>702.89</v>
      </c>
      <c r="J76" s="2">
        <v>0</v>
      </c>
      <c r="K76" s="103">
        <v>0</v>
      </c>
      <c r="L76" s="2">
        <v>0</v>
      </c>
      <c r="M76" s="103">
        <v>0</v>
      </c>
      <c r="N76" s="2">
        <v>1.5299999999999999E-2</v>
      </c>
      <c r="O76" s="103">
        <v>44.44</v>
      </c>
      <c r="P76" s="2">
        <v>1.1999999999999999E-3</v>
      </c>
      <c r="Q76" s="103">
        <v>3.58</v>
      </c>
      <c r="R76" s="2">
        <v>0</v>
      </c>
      <c r="S76" s="103">
        <v>0</v>
      </c>
      <c r="T76" s="2">
        <v>9.8699999999999996E-2</v>
      </c>
      <c r="U76" s="103">
        <v>287.2</v>
      </c>
      <c r="V76" s="2">
        <v>3.3999999999999998E-3</v>
      </c>
      <c r="W76" s="103">
        <v>9.98</v>
      </c>
      <c r="X76" s="2">
        <v>1.1586000000000001</v>
      </c>
      <c r="Y76" s="103">
        <v>3371.35</v>
      </c>
      <c r="Z76" s="104">
        <v>6281.25</v>
      </c>
    </row>
    <row r="77" spans="2:26" ht="28.35" customHeight="1">
      <c r="B77" s="100" t="s">
        <v>239</v>
      </c>
      <c r="C77" s="101" t="s">
        <v>74</v>
      </c>
      <c r="D77" s="102" t="s">
        <v>166</v>
      </c>
      <c r="E77" s="103">
        <v>4542.09</v>
      </c>
      <c r="F77" s="2">
        <v>0.7984</v>
      </c>
      <c r="G77" s="103">
        <v>3626.41</v>
      </c>
      <c r="H77" s="2">
        <v>0.15479999999999999</v>
      </c>
      <c r="I77" s="103">
        <v>702.89</v>
      </c>
      <c r="J77" s="2">
        <v>0</v>
      </c>
      <c r="K77" s="103">
        <v>0</v>
      </c>
      <c r="L77" s="2">
        <v>0</v>
      </c>
      <c r="M77" s="103">
        <v>0</v>
      </c>
      <c r="N77" s="2">
        <v>0</v>
      </c>
      <c r="O77" s="103">
        <v>0</v>
      </c>
      <c r="P77" s="2">
        <v>8.0000000000000004E-4</v>
      </c>
      <c r="Q77" s="103">
        <v>3.58</v>
      </c>
      <c r="R77" s="2">
        <v>0</v>
      </c>
      <c r="S77" s="103">
        <v>0</v>
      </c>
      <c r="T77" s="2">
        <v>6.3200000000000006E-2</v>
      </c>
      <c r="U77" s="103">
        <v>287.2</v>
      </c>
      <c r="V77" s="2">
        <v>2.2000000000000001E-3</v>
      </c>
      <c r="W77" s="103">
        <v>9.98</v>
      </c>
      <c r="X77" s="2">
        <v>1.0194000000000001</v>
      </c>
      <c r="Y77" s="103">
        <v>4630.0600000000004</v>
      </c>
      <c r="Z77" s="104">
        <v>9172.15</v>
      </c>
    </row>
    <row r="78" spans="2:26" ht="28.35" customHeight="1">
      <c r="B78" s="100" t="s">
        <v>240</v>
      </c>
      <c r="C78" s="101" t="s">
        <v>75</v>
      </c>
      <c r="D78" s="102" t="s">
        <v>166</v>
      </c>
      <c r="E78" s="103">
        <v>3166.55</v>
      </c>
      <c r="F78" s="2">
        <v>0.79720000000000002</v>
      </c>
      <c r="G78" s="103">
        <v>2524.37</v>
      </c>
      <c r="H78" s="2">
        <v>0.222</v>
      </c>
      <c r="I78" s="103">
        <v>702.89</v>
      </c>
      <c r="J78" s="2">
        <v>0</v>
      </c>
      <c r="K78" s="103">
        <v>0</v>
      </c>
      <c r="L78" s="2">
        <v>0</v>
      </c>
      <c r="M78" s="103">
        <v>0</v>
      </c>
      <c r="N78" s="2">
        <v>9.1999999999999998E-3</v>
      </c>
      <c r="O78" s="103">
        <v>29.04</v>
      </c>
      <c r="P78" s="2">
        <v>1.1999999999999999E-3</v>
      </c>
      <c r="Q78" s="103">
        <v>3.87</v>
      </c>
      <c r="R78" s="2">
        <v>0</v>
      </c>
      <c r="S78" s="103">
        <v>0</v>
      </c>
      <c r="T78" s="2">
        <v>9.0700000000000003E-2</v>
      </c>
      <c r="U78" s="103">
        <v>287.2</v>
      </c>
      <c r="V78" s="2">
        <v>3.2000000000000002E-3</v>
      </c>
      <c r="W78" s="103">
        <v>9.98</v>
      </c>
      <c r="X78" s="2">
        <v>1.1234</v>
      </c>
      <c r="Y78" s="103">
        <v>3557.36</v>
      </c>
      <c r="Z78" s="104">
        <v>6723.91</v>
      </c>
    </row>
    <row r="79" spans="2:26" ht="28.35" customHeight="1">
      <c r="B79" s="100" t="s">
        <v>241</v>
      </c>
      <c r="C79" s="101" t="s">
        <v>76</v>
      </c>
      <c r="D79" s="102" t="s">
        <v>166</v>
      </c>
      <c r="E79" s="103">
        <v>4222.07</v>
      </c>
      <c r="F79" s="2">
        <v>0.79720000000000002</v>
      </c>
      <c r="G79" s="103">
        <v>3365.83</v>
      </c>
      <c r="H79" s="2">
        <v>0.16650000000000001</v>
      </c>
      <c r="I79" s="103">
        <v>702.89</v>
      </c>
      <c r="J79" s="2">
        <v>0</v>
      </c>
      <c r="K79" s="103">
        <v>0</v>
      </c>
      <c r="L79" s="2">
        <v>0</v>
      </c>
      <c r="M79" s="103">
        <v>0</v>
      </c>
      <c r="N79" s="2">
        <v>0</v>
      </c>
      <c r="O79" s="103">
        <v>0</v>
      </c>
      <c r="P79" s="2">
        <v>8.9999999999999998E-4</v>
      </c>
      <c r="Q79" s="103">
        <v>3.87</v>
      </c>
      <c r="R79" s="2">
        <v>0</v>
      </c>
      <c r="S79" s="103">
        <v>0</v>
      </c>
      <c r="T79" s="2">
        <v>6.8000000000000005E-2</v>
      </c>
      <c r="U79" s="103">
        <v>287.2</v>
      </c>
      <c r="V79" s="2">
        <v>2.3999999999999998E-3</v>
      </c>
      <c r="W79" s="103">
        <v>9.98</v>
      </c>
      <c r="X79" s="2">
        <v>1.0349999999999999</v>
      </c>
      <c r="Y79" s="103">
        <v>4369.78</v>
      </c>
      <c r="Z79" s="104">
        <v>8591.84</v>
      </c>
    </row>
    <row r="80" spans="2:26" ht="28.35" customHeight="1">
      <c r="B80" s="100" t="s">
        <v>242</v>
      </c>
      <c r="C80" s="101" t="s">
        <v>77</v>
      </c>
      <c r="D80" s="102" t="s">
        <v>166</v>
      </c>
      <c r="E80" s="103">
        <v>7442.19</v>
      </c>
      <c r="F80" s="2">
        <v>0.79720000000000002</v>
      </c>
      <c r="G80" s="103">
        <v>5932.92</v>
      </c>
      <c r="H80" s="2">
        <v>9.4399999999999998E-2</v>
      </c>
      <c r="I80" s="103">
        <v>702.89</v>
      </c>
      <c r="J80" s="2">
        <v>0</v>
      </c>
      <c r="K80" s="103">
        <v>0</v>
      </c>
      <c r="L80" s="2">
        <v>0</v>
      </c>
      <c r="M80" s="103">
        <v>0</v>
      </c>
      <c r="N80" s="2">
        <v>0</v>
      </c>
      <c r="O80" s="103">
        <v>0</v>
      </c>
      <c r="P80" s="2">
        <v>5.0000000000000001E-4</v>
      </c>
      <c r="Q80" s="103">
        <v>3.87</v>
      </c>
      <c r="R80" s="2">
        <v>0</v>
      </c>
      <c r="S80" s="103">
        <v>0</v>
      </c>
      <c r="T80" s="2">
        <v>3.8600000000000002E-2</v>
      </c>
      <c r="U80" s="103">
        <v>287.2</v>
      </c>
      <c r="V80" s="2">
        <v>1.2999999999999999E-3</v>
      </c>
      <c r="W80" s="103">
        <v>9.98</v>
      </c>
      <c r="X80" s="2">
        <v>0.93210000000000004</v>
      </c>
      <c r="Y80" s="103">
        <v>6936.86</v>
      </c>
      <c r="Z80" s="104">
        <v>14379.06</v>
      </c>
    </row>
    <row r="81" spans="2:26" ht="28.35" customHeight="1">
      <c r="B81" s="100" t="s">
        <v>243</v>
      </c>
      <c r="C81" s="101" t="s">
        <v>78</v>
      </c>
      <c r="D81" s="102" t="s">
        <v>166</v>
      </c>
      <c r="E81" s="103">
        <v>11220</v>
      </c>
      <c r="F81" s="2">
        <v>0.79430000000000001</v>
      </c>
      <c r="G81" s="103">
        <v>8912.0499999999993</v>
      </c>
      <c r="H81" s="2">
        <v>6.2600000000000003E-2</v>
      </c>
      <c r="I81" s="103">
        <v>702.89</v>
      </c>
      <c r="J81" s="2">
        <v>2.2000000000000001E-3</v>
      </c>
      <c r="K81" s="103">
        <v>24.8</v>
      </c>
      <c r="L81" s="2">
        <v>0</v>
      </c>
      <c r="M81" s="103">
        <v>0</v>
      </c>
      <c r="N81" s="2">
        <v>0</v>
      </c>
      <c r="O81" s="103">
        <v>0</v>
      </c>
      <c r="P81" s="2">
        <v>2.9999999999999997E-4</v>
      </c>
      <c r="Q81" s="103">
        <v>3.87</v>
      </c>
      <c r="R81" s="2">
        <v>0</v>
      </c>
      <c r="S81" s="103">
        <v>0</v>
      </c>
      <c r="T81" s="2">
        <v>2.5600000000000001E-2</v>
      </c>
      <c r="U81" s="103">
        <v>287.2</v>
      </c>
      <c r="V81" s="2">
        <v>8.9999999999999998E-4</v>
      </c>
      <c r="W81" s="103">
        <v>9.98</v>
      </c>
      <c r="X81" s="2">
        <v>0.88600000000000001</v>
      </c>
      <c r="Y81" s="103">
        <v>9940.7900000000009</v>
      </c>
      <c r="Z81" s="104">
        <v>21160.79</v>
      </c>
    </row>
    <row r="82" spans="2:26" ht="28.35" customHeight="1">
      <c r="B82" s="100" t="s">
        <v>244</v>
      </c>
      <c r="C82" s="101" t="s">
        <v>79</v>
      </c>
      <c r="D82" s="102" t="s">
        <v>166</v>
      </c>
      <c r="E82" s="103">
        <v>11491.01</v>
      </c>
      <c r="F82" s="2">
        <v>0.79430000000000001</v>
      </c>
      <c r="G82" s="103">
        <v>9127.31</v>
      </c>
      <c r="H82" s="2">
        <v>6.1199999999999997E-2</v>
      </c>
      <c r="I82" s="103">
        <v>702.89</v>
      </c>
      <c r="J82" s="2">
        <v>2.2000000000000001E-3</v>
      </c>
      <c r="K82" s="103">
        <v>24.8</v>
      </c>
      <c r="L82" s="2">
        <v>0</v>
      </c>
      <c r="M82" s="103">
        <v>0</v>
      </c>
      <c r="N82" s="2">
        <v>0</v>
      </c>
      <c r="O82" s="103">
        <v>0</v>
      </c>
      <c r="P82" s="2">
        <v>2.9999999999999997E-4</v>
      </c>
      <c r="Q82" s="103">
        <v>3.87</v>
      </c>
      <c r="R82" s="2">
        <v>0</v>
      </c>
      <c r="S82" s="103">
        <v>0</v>
      </c>
      <c r="T82" s="2">
        <v>2.5000000000000001E-2</v>
      </c>
      <c r="U82" s="103">
        <v>287.2</v>
      </c>
      <c r="V82" s="2">
        <v>8.9999999999999998E-4</v>
      </c>
      <c r="W82" s="103">
        <v>9.98</v>
      </c>
      <c r="X82" s="2">
        <v>0.88380000000000003</v>
      </c>
      <c r="Y82" s="103">
        <v>10156.06</v>
      </c>
      <c r="Z82" s="104">
        <v>21647.07</v>
      </c>
    </row>
    <row r="83" spans="2:26" ht="28.35" customHeight="1">
      <c r="B83" s="100" t="s">
        <v>245</v>
      </c>
      <c r="C83" s="101" t="s">
        <v>80</v>
      </c>
      <c r="D83" s="102" t="s">
        <v>166</v>
      </c>
      <c r="E83" s="103">
        <v>12631.91</v>
      </c>
      <c r="F83" s="2">
        <v>0.79430000000000001</v>
      </c>
      <c r="G83" s="103">
        <v>10033.52</v>
      </c>
      <c r="H83" s="2">
        <v>5.5599999999999997E-2</v>
      </c>
      <c r="I83" s="103">
        <v>702.89</v>
      </c>
      <c r="J83" s="2">
        <v>2E-3</v>
      </c>
      <c r="K83" s="103">
        <v>24.8</v>
      </c>
      <c r="L83" s="2">
        <v>0</v>
      </c>
      <c r="M83" s="103">
        <v>0</v>
      </c>
      <c r="N83" s="2">
        <v>0</v>
      </c>
      <c r="O83" s="103">
        <v>0</v>
      </c>
      <c r="P83" s="2">
        <v>2.9999999999999997E-4</v>
      </c>
      <c r="Q83" s="103">
        <v>3.87</v>
      </c>
      <c r="R83" s="2">
        <v>0</v>
      </c>
      <c r="S83" s="103">
        <v>0</v>
      </c>
      <c r="T83" s="2">
        <v>2.2700000000000001E-2</v>
      </c>
      <c r="U83" s="103">
        <v>287.2</v>
      </c>
      <c r="V83" s="2">
        <v>8.0000000000000004E-4</v>
      </c>
      <c r="W83" s="103">
        <v>9.98</v>
      </c>
      <c r="X83" s="2">
        <v>0.87570000000000003</v>
      </c>
      <c r="Y83" s="103">
        <v>11062.27</v>
      </c>
      <c r="Z83" s="104">
        <v>23694.17</v>
      </c>
    </row>
    <row r="84" spans="2:26" ht="28.35" customHeight="1">
      <c r="B84" s="100" t="s">
        <v>246</v>
      </c>
      <c r="C84" s="101" t="s">
        <v>81</v>
      </c>
      <c r="D84" s="102" t="s">
        <v>166</v>
      </c>
      <c r="E84" s="103">
        <v>3416.59</v>
      </c>
      <c r="F84" s="2">
        <v>0.79420000000000002</v>
      </c>
      <c r="G84" s="103">
        <v>2713.45</v>
      </c>
      <c r="H84" s="2">
        <v>0.20569999999999999</v>
      </c>
      <c r="I84" s="103">
        <v>702.89</v>
      </c>
      <c r="J84" s="2">
        <v>7.3000000000000001E-3</v>
      </c>
      <c r="K84" s="103">
        <v>24.8</v>
      </c>
      <c r="L84" s="2">
        <v>0</v>
      </c>
      <c r="M84" s="103">
        <v>0</v>
      </c>
      <c r="N84" s="2">
        <v>4.1000000000000003E-3</v>
      </c>
      <c r="O84" s="103">
        <v>14.04</v>
      </c>
      <c r="P84" s="2">
        <v>8.0000000000000004E-4</v>
      </c>
      <c r="Q84" s="103">
        <v>2.73</v>
      </c>
      <c r="R84" s="2">
        <v>0</v>
      </c>
      <c r="S84" s="103">
        <v>0</v>
      </c>
      <c r="T84" s="2">
        <v>8.4099999999999994E-2</v>
      </c>
      <c r="U84" s="103">
        <v>287.2</v>
      </c>
      <c r="V84" s="2">
        <v>2.8999999999999998E-3</v>
      </c>
      <c r="W84" s="103">
        <v>9.98</v>
      </c>
      <c r="X84" s="2">
        <v>1.0991</v>
      </c>
      <c r="Y84" s="103">
        <v>3755.09</v>
      </c>
      <c r="Z84" s="104">
        <v>7171.68</v>
      </c>
    </row>
    <row r="85" spans="2:26" ht="28.35" customHeight="1">
      <c r="B85" s="100" t="s">
        <v>247</v>
      </c>
      <c r="C85" s="101" t="s">
        <v>82</v>
      </c>
      <c r="D85" s="102" t="s">
        <v>166</v>
      </c>
      <c r="E85" s="103">
        <v>4555.45</v>
      </c>
      <c r="F85" s="2">
        <v>0.79420000000000002</v>
      </c>
      <c r="G85" s="103">
        <v>3617.94</v>
      </c>
      <c r="H85" s="2">
        <v>0.15429999999999999</v>
      </c>
      <c r="I85" s="103">
        <v>702.89</v>
      </c>
      <c r="J85" s="2">
        <v>5.4000000000000003E-3</v>
      </c>
      <c r="K85" s="103">
        <v>24.8</v>
      </c>
      <c r="L85" s="2">
        <v>0</v>
      </c>
      <c r="M85" s="103">
        <v>0</v>
      </c>
      <c r="N85" s="2">
        <v>0</v>
      </c>
      <c r="O85" s="103">
        <v>0</v>
      </c>
      <c r="P85" s="2">
        <v>5.9999999999999995E-4</v>
      </c>
      <c r="Q85" s="103">
        <v>2.73</v>
      </c>
      <c r="R85" s="2">
        <v>0</v>
      </c>
      <c r="S85" s="103">
        <v>0</v>
      </c>
      <c r="T85" s="2">
        <v>6.3E-2</v>
      </c>
      <c r="U85" s="103">
        <v>287.2</v>
      </c>
      <c r="V85" s="2">
        <v>2.2000000000000001E-3</v>
      </c>
      <c r="W85" s="103">
        <v>9.98</v>
      </c>
      <c r="X85" s="2">
        <v>1.0198</v>
      </c>
      <c r="Y85" s="103">
        <v>4645.54</v>
      </c>
      <c r="Z85" s="104">
        <v>9200.99</v>
      </c>
    </row>
    <row r="86" spans="2:26" ht="28.35" customHeight="1">
      <c r="B86" s="100" t="s">
        <v>248</v>
      </c>
      <c r="C86" s="101" t="s">
        <v>83</v>
      </c>
      <c r="D86" s="102" t="s">
        <v>166</v>
      </c>
      <c r="E86" s="103">
        <v>8786.76</v>
      </c>
      <c r="F86" s="2">
        <v>0.79420000000000002</v>
      </c>
      <c r="G86" s="103">
        <v>6978.44</v>
      </c>
      <c r="H86" s="2">
        <v>0.08</v>
      </c>
      <c r="I86" s="103">
        <v>702.89</v>
      </c>
      <c r="J86" s="2">
        <v>2.8E-3</v>
      </c>
      <c r="K86" s="103">
        <v>24.8</v>
      </c>
      <c r="L86" s="2">
        <v>0</v>
      </c>
      <c r="M86" s="103">
        <v>0</v>
      </c>
      <c r="N86" s="2">
        <v>0</v>
      </c>
      <c r="O86" s="103">
        <v>0</v>
      </c>
      <c r="P86" s="2">
        <v>2.9999999999999997E-4</v>
      </c>
      <c r="Q86" s="103">
        <v>2.73</v>
      </c>
      <c r="R86" s="2">
        <v>0</v>
      </c>
      <c r="S86" s="103">
        <v>0</v>
      </c>
      <c r="T86" s="2">
        <v>3.27E-2</v>
      </c>
      <c r="U86" s="103">
        <v>287.2</v>
      </c>
      <c r="V86" s="2">
        <v>1.1000000000000001E-3</v>
      </c>
      <c r="W86" s="103">
        <v>9.98</v>
      </c>
      <c r="X86" s="2">
        <v>0.91110000000000002</v>
      </c>
      <c r="Y86" s="103">
        <v>8006.04</v>
      </c>
      <c r="Z86" s="104">
        <v>16792.8</v>
      </c>
    </row>
    <row r="87" spans="2:26" ht="28.35" customHeight="1">
      <c r="B87" s="100" t="s">
        <v>249</v>
      </c>
      <c r="C87" s="101" t="s">
        <v>84</v>
      </c>
      <c r="D87" s="102" t="s">
        <v>166</v>
      </c>
      <c r="E87" s="103">
        <v>3129</v>
      </c>
      <c r="F87" s="2">
        <v>0.82</v>
      </c>
      <c r="G87" s="103">
        <v>2565.7800000000002</v>
      </c>
      <c r="H87" s="2">
        <v>0.22459999999999999</v>
      </c>
      <c r="I87" s="103">
        <v>702.89</v>
      </c>
      <c r="J87" s="2">
        <v>7.9000000000000008E-3</v>
      </c>
      <c r="K87" s="103">
        <v>24.8</v>
      </c>
      <c r="L87" s="2">
        <v>0</v>
      </c>
      <c r="M87" s="103">
        <v>0</v>
      </c>
      <c r="N87" s="2">
        <v>0.01</v>
      </c>
      <c r="O87" s="103">
        <v>31.29</v>
      </c>
      <c r="P87" s="2">
        <v>1.8E-3</v>
      </c>
      <c r="Q87" s="103">
        <v>5.5</v>
      </c>
      <c r="R87" s="2">
        <v>0</v>
      </c>
      <c r="S87" s="103">
        <v>0</v>
      </c>
      <c r="T87" s="2">
        <v>9.1800000000000007E-2</v>
      </c>
      <c r="U87" s="103">
        <v>287.2</v>
      </c>
      <c r="V87" s="2">
        <v>3.2000000000000002E-3</v>
      </c>
      <c r="W87" s="103">
        <v>9.98</v>
      </c>
      <c r="X87" s="2">
        <v>1.1593</v>
      </c>
      <c r="Y87" s="103">
        <v>3627.44</v>
      </c>
      <c r="Z87" s="104">
        <v>6756.44</v>
      </c>
    </row>
    <row r="88" spans="2:26" ht="28.35" customHeight="1">
      <c r="B88" s="100" t="s">
        <v>250</v>
      </c>
      <c r="C88" s="101" t="s">
        <v>85</v>
      </c>
      <c r="D88" s="102" t="s">
        <v>166</v>
      </c>
      <c r="E88" s="103">
        <v>4172</v>
      </c>
      <c r="F88" s="2">
        <v>0.82</v>
      </c>
      <c r="G88" s="103">
        <v>3421.04</v>
      </c>
      <c r="H88" s="2">
        <v>0.16850000000000001</v>
      </c>
      <c r="I88" s="103">
        <v>702.89</v>
      </c>
      <c r="J88" s="2">
        <v>5.8999999999999999E-3</v>
      </c>
      <c r="K88" s="103">
        <v>24.8</v>
      </c>
      <c r="L88" s="2">
        <v>0</v>
      </c>
      <c r="M88" s="103">
        <v>0</v>
      </c>
      <c r="N88" s="2">
        <v>0</v>
      </c>
      <c r="O88" s="103">
        <v>0</v>
      </c>
      <c r="P88" s="2">
        <v>1.2999999999999999E-3</v>
      </c>
      <c r="Q88" s="103">
        <v>5.5</v>
      </c>
      <c r="R88" s="2">
        <v>0</v>
      </c>
      <c r="S88" s="103">
        <v>0</v>
      </c>
      <c r="T88" s="2">
        <v>6.88E-2</v>
      </c>
      <c r="U88" s="103">
        <v>287.2</v>
      </c>
      <c r="V88" s="2">
        <v>2.3999999999999998E-3</v>
      </c>
      <c r="W88" s="103">
        <v>9.98</v>
      </c>
      <c r="X88" s="2">
        <v>1.0669999999999999</v>
      </c>
      <c r="Y88" s="103">
        <v>4451.41</v>
      </c>
      <c r="Z88" s="104">
        <v>8623.41</v>
      </c>
    </row>
    <row r="89" spans="2:26" ht="28.35" customHeight="1">
      <c r="B89" s="100" t="s">
        <v>251</v>
      </c>
      <c r="C89" s="101" t="s">
        <v>86</v>
      </c>
      <c r="D89" s="102" t="s">
        <v>166</v>
      </c>
      <c r="E89" s="103">
        <v>6159.78</v>
      </c>
      <c r="F89" s="2">
        <v>0.82</v>
      </c>
      <c r="G89" s="103">
        <v>5051.0200000000004</v>
      </c>
      <c r="H89" s="2">
        <v>0.11409999999999999</v>
      </c>
      <c r="I89" s="103">
        <v>702.89</v>
      </c>
      <c r="J89" s="2">
        <v>4.0000000000000001E-3</v>
      </c>
      <c r="K89" s="103">
        <v>24.8</v>
      </c>
      <c r="L89" s="2">
        <v>0</v>
      </c>
      <c r="M89" s="103">
        <v>0</v>
      </c>
      <c r="N89" s="2">
        <v>0</v>
      </c>
      <c r="O89" s="103">
        <v>0</v>
      </c>
      <c r="P89" s="2">
        <v>8.9999999999999998E-4</v>
      </c>
      <c r="Q89" s="103">
        <v>5.5</v>
      </c>
      <c r="R89" s="2">
        <v>0</v>
      </c>
      <c r="S89" s="103">
        <v>0</v>
      </c>
      <c r="T89" s="2">
        <v>4.6600000000000003E-2</v>
      </c>
      <c r="U89" s="103">
        <v>287.2</v>
      </c>
      <c r="V89" s="2">
        <v>1.6000000000000001E-3</v>
      </c>
      <c r="W89" s="103">
        <v>9.98</v>
      </c>
      <c r="X89" s="2">
        <v>0.98729999999999996</v>
      </c>
      <c r="Y89" s="103">
        <v>6081.39</v>
      </c>
      <c r="Z89" s="104">
        <v>12241.17</v>
      </c>
    </row>
    <row r="90" spans="2:26" ht="28.35" customHeight="1">
      <c r="B90" s="100" t="s">
        <v>252</v>
      </c>
      <c r="C90" s="101" t="s">
        <v>87</v>
      </c>
      <c r="D90" s="102" t="s">
        <v>166</v>
      </c>
      <c r="E90" s="103">
        <v>2980.05</v>
      </c>
      <c r="F90" s="2">
        <v>0.80510000000000004</v>
      </c>
      <c r="G90" s="103">
        <v>2399.2399999999998</v>
      </c>
      <c r="H90" s="2">
        <v>0.2359</v>
      </c>
      <c r="I90" s="103">
        <v>702.89</v>
      </c>
      <c r="J90" s="2">
        <v>8.3000000000000001E-3</v>
      </c>
      <c r="K90" s="103">
        <v>24.8</v>
      </c>
      <c r="L90" s="2">
        <v>0</v>
      </c>
      <c r="M90" s="103">
        <v>0</v>
      </c>
      <c r="N90" s="2">
        <v>1.35E-2</v>
      </c>
      <c r="O90" s="103">
        <v>40.229999999999997</v>
      </c>
      <c r="P90" s="2">
        <v>1.2999999999999999E-3</v>
      </c>
      <c r="Q90" s="103">
        <v>3.74</v>
      </c>
      <c r="R90" s="2">
        <v>0</v>
      </c>
      <c r="S90" s="103">
        <v>0</v>
      </c>
      <c r="T90" s="2">
        <v>9.64E-2</v>
      </c>
      <c r="U90" s="103">
        <v>287.2</v>
      </c>
      <c r="V90" s="2">
        <v>3.3E-3</v>
      </c>
      <c r="W90" s="103">
        <v>9.98</v>
      </c>
      <c r="X90" s="2">
        <v>1.1637999999999999</v>
      </c>
      <c r="Y90" s="103">
        <v>3468.08</v>
      </c>
      <c r="Z90" s="104">
        <v>6448.13</v>
      </c>
    </row>
    <row r="91" spans="2:26" ht="28.35" customHeight="1">
      <c r="B91" s="100" t="s">
        <v>253</v>
      </c>
      <c r="C91" s="101" t="s">
        <v>88</v>
      </c>
      <c r="D91" s="102" t="s">
        <v>166</v>
      </c>
      <c r="E91" s="103">
        <v>3973.4</v>
      </c>
      <c r="F91" s="2">
        <v>0.80510000000000004</v>
      </c>
      <c r="G91" s="103">
        <v>3198.98</v>
      </c>
      <c r="H91" s="2">
        <v>0.1769</v>
      </c>
      <c r="I91" s="103">
        <v>702.89</v>
      </c>
      <c r="J91" s="2">
        <v>6.1999999999999998E-3</v>
      </c>
      <c r="K91" s="103">
        <v>24.8</v>
      </c>
      <c r="L91" s="2">
        <v>0</v>
      </c>
      <c r="M91" s="103">
        <v>0</v>
      </c>
      <c r="N91" s="2">
        <v>0</v>
      </c>
      <c r="O91" s="103">
        <v>0</v>
      </c>
      <c r="P91" s="2">
        <v>8.9999999999999998E-4</v>
      </c>
      <c r="Q91" s="103">
        <v>3.74</v>
      </c>
      <c r="R91" s="2">
        <v>0</v>
      </c>
      <c r="S91" s="103">
        <v>0</v>
      </c>
      <c r="T91" s="2">
        <v>7.2300000000000003E-2</v>
      </c>
      <c r="U91" s="103">
        <v>287.2</v>
      </c>
      <c r="V91" s="2">
        <v>2.5000000000000001E-3</v>
      </c>
      <c r="W91" s="103">
        <v>9.98</v>
      </c>
      <c r="X91" s="2">
        <v>1.0640000000000001</v>
      </c>
      <c r="Y91" s="103">
        <v>4227.6000000000004</v>
      </c>
      <c r="Z91" s="104">
        <v>8201</v>
      </c>
    </row>
    <row r="92" spans="2:26" ht="28.35" customHeight="1">
      <c r="B92" s="100" t="s">
        <v>254</v>
      </c>
      <c r="C92" s="101" t="s">
        <v>89</v>
      </c>
      <c r="D92" s="102" t="s">
        <v>166</v>
      </c>
      <c r="E92" s="103">
        <v>5890.45</v>
      </c>
      <c r="F92" s="2">
        <v>0.80510000000000004</v>
      </c>
      <c r="G92" s="103">
        <v>4742.3999999999996</v>
      </c>
      <c r="H92" s="2">
        <v>0.1193</v>
      </c>
      <c r="I92" s="103">
        <v>702.89</v>
      </c>
      <c r="J92" s="2">
        <v>4.1999999999999997E-3</v>
      </c>
      <c r="K92" s="103">
        <v>24.8</v>
      </c>
      <c r="L92" s="2">
        <v>0</v>
      </c>
      <c r="M92" s="103">
        <v>0</v>
      </c>
      <c r="N92" s="2">
        <v>0</v>
      </c>
      <c r="O92" s="103">
        <v>0</v>
      </c>
      <c r="P92" s="2">
        <v>5.9999999999999995E-4</v>
      </c>
      <c r="Q92" s="103">
        <v>3.74</v>
      </c>
      <c r="R92" s="2">
        <v>0</v>
      </c>
      <c r="S92" s="103">
        <v>0</v>
      </c>
      <c r="T92" s="2">
        <v>4.8800000000000003E-2</v>
      </c>
      <c r="U92" s="103">
        <v>287.2</v>
      </c>
      <c r="V92" s="2">
        <v>1.6999999999999999E-3</v>
      </c>
      <c r="W92" s="103">
        <v>9.98</v>
      </c>
      <c r="X92" s="2">
        <v>0.97970000000000002</v>
      </c>
      <c r="Y92" s="103">
        <v>5771.02</v>
      </c>
      <c r="Z92" s="104">
        <v>11661.48</v>
      </c>
    </row>
    <row r="93" spans="2:26" ht="28.35" customHeight="1">
      <c r="B93" s="100" t="s">
        <v>255</v>
      </c>
      <c r="C93" s="101" t="s">
        <v>90</v>
      </c>
      <c r="D93" s="102" t="s">
        <v>166</v>
      </c>
      <c r="E93" s="103">
        <v>3434.55</v>
      </c>
      <c r="F93" s="2">
        <v>0.8014</v>
      </c>
      <c r="G93" s="103">
        <v>2752.45</v>
      </c>
      <c r="H93" s="2">
        <v>0.20469999999999999</v>
      </c>
      <c r="I93" s="103">
        <v>702.89</v>
      </c>
      <c r="J93" s="2">
        <v>7.1999999999999998E-3</v>
      </c>
      <c r="K93" s="103">
        <v>24.8</v>
      </c>
      <c r="L93" s="2">
        <v>0</v>
      </c>
      <c r="M93" s="103">
        <v>0</v>
      </c>
      <c r="N93" s="2">
        <v>3.8E-3</v>
      </c>
      <c r="O93" s="103">
        <v>12.96</v>
      </c>
      <c r="P93" s="2">
        <v>1.2999999999999999E-3</v>
      </c>
      <c r="Q93" s="103">
        <v>4.54</v>
      </c>
      <c r="R93" s="2">
        <v>0</v>
      </c>
      <c r="S93" s="103">
        <v>0</v>
      </c>
      <c r="T93" s="2">
        <v>8.3599999999999994E-2</v>
      </c>
      <c r="U93" s="103">
        <v>287.2</v>
      </c>
      <c r="V93" s="2">
        <v>2.8999999999999998E-3</v>
      </c>
      <c r="W93" s="103">
        <v>9.98</v>
      </c>
      <c r="X93" s="2">
        <v>1.1049</v>
      </c>
      <c r="Y93" s="103">
        <v>3794.82</v>
      </c>
      <c r="Z93" s="104">
        <v>7229.37</v>
      </c>
    </row>
    <row r="94" spans="2:26" ht="28.35" customHeight="1">
      <c r="B94" s="100" t="s">
        <v>256</v>
      </c>
      <c r="C94" s="101" t="s">
        <v>91</v>
      </c>
      <c r="D94" s="102" t="s">
        <v>166</v>
      </c>
      <c r="E94" s="103">
        <v>4579.3999999999996</v>
      </c>
      <c r="F94" s="2">
        <v>0.8014</v>
      </c>
      <c r="G94" s="103">
        <v>3669.93</v>
      </c>
      <c r="H94" s="2">
        <v>0.1535</v>
      </c>
      <c r="I94" s="103">
        <v>702.89</v>
      </c>
      <c r="J94" s="2">
        <v>5.4000000000000003E-3</v>
      </c>
      <c r="K94" s="103">
        <v>24.8</v>
      </c>
      <c r="L94" s="2">
        <v>0</v>
      </c>
      <c r="M94" s="103">
        <v>0</v>
      </c>
      <c r="N94" s="2">
        <v>0</v>
      </c>
      <c r="O94" s="103">
        <v>0</v>
      </c>
      <c r="P94" s="2">
        <v>1E-3</v>
      </c>
      <c r="Q94" s="103">
        <v>4.54</v>
      </c>
      <c r="R94" s="2">
        <v>0</v>
      </c>
      <c r="S94" s="103">
        <v>0</v>
      </c>
      <c r="T94" s="2">
        <v>6.2700000000000006E-2</v>
      </c>
      <c r="U94" s="103">
        <v>287.2</v>
      </c>
      <c r="V94" s="2">
        <v>2.2000000000000001E-3</v>
      </c>
      <c r="W94" s="103">
        <v>9.98</v>
      </c>
      <c r="X94" s="2">
        <v>1.0262</v>
      </c>
      <c r="Y94" s="103">
        <v>4699.34</v>
      </c>
      <c r="Z94" s="104">
        <v>9278.74</v>
      </c>
    </row>
    <row r="95" spans="2:26" ht="28.35" customHeight="1">
      <c r="B95" s="100" t="s">
        <v>257</v>
      </c>
      <c r="C95" s="101" t="s">
        <v>92</v>
      </c>
      <c r="D95" s="102" t="s">
        <v>166</v>
      </c>
      <c r="E95" s="103">
        <v>7561.4</v>
      </c>
      <c r="F95" s="2">
        <v>0.8014</v>
      </c>
      <c r="G95" s="103">
        <v>6059.71</v>
      </c>
      <c r="H95" s="2">
        <v>9.2999999999999999E-2</v>
      </c>
      <c r="I95" s="103">
        <v>702.89</v>
      </c>
      <c r="J95" s="2">
        <v>3.3E-3</v>
      </c>
      <c r="K95" s="103">
        <v>24.8</v>
      </c>
      <c r="L95" s="2">
        <v>0</v>
      </c>
      <c r="M95" s="103">
        <v>0</v>
      </c>
      <c r="N95" s="2">
        <v>0</v>
      </c>
      <c r="O95" s="103">
        <v>0</v>
      </c>
      <c r="P95" s="2">
        <v>5.9999999999999995E-4</v>
      </c>
      <c r="Q95" s="103">
        <v>4.54</v>
      </c>
      <c r="R95" s="2">
        <v>0</v>
      </c>
      <c r="S95" s="103">
        <v>0</v>
      </c>
      <c r="T95" s="2">
        <v>3.7999999999999999E-2</v>
      </c>
      <c r="U95" s="103">
        <v>287.2</v>
      </c>
      <c r="V95" s="2">
        <v>1.2999999999999999E-3</v>
      </c>
      <c r="W95" s="103">
        <v>9.98</v>
      </c>
      <c r="X95" s="2">
        <v>0.9375</v>
      </c>
      <c r="Y95" s="103">
        <v>7089.12</v>
      </c>
      <c r="Z95" s="104">
        <v>14650.53</v>
      </c>
    </row>
    <row r="96" spans="2:26" ht="28.35" customHeight="1">
      <c r="B96" s="100" t="s">
        <v>258</v>
      </c>
      <c r="C96" s="101" t="s">
        <v>93</v>
      </c>
      <c r="D96" s="102" t="s">
        <v>166</v>
      </c>
      <c r="E96" s="103">
        <v>3129</v>
      </c>
      <c r="F96" s="2">
        <v>0.82789999999999997</v>
      </c>
      <c r="G96" s="103">
        <v>2590.5</v>
      </c>
      <c r="H96" s="2">
        <v>0.22459999999999999</v>
      </c>
      <c r="I96" s="103">
        <v>702.89</v>
      </c>
      <c r="J96" s="2">
        <v>7.9000000000000008E-3</v>
      </c>
      <c r="K96" s="103">
        <v>24.8</v>
      </c>
      <c r="L96" s="2">
        <v>0</v>
      </c>
      <c r="M96" s="103">
        <v>0</v>
      </c>
      <c r="N96" s="2">
        <v>0.01</v>
      </c>
      <c r="O96" s="103">
        <v>31.29</v>
      </c>
      <c r="P96" s="2">
        <v>1.8E-3</v>
      </c>
      <c r="Q96" s="103">
        <v>5.5</v>
      </c>
      <c r="R96" s="2">
        <v>0</v>
      </c>
      <c r="S96" s="103">
        <v>0</v>
      </c>
      <c r="T96" s="2">
        <v>9.1800000000000007E-2</v>
      </c>
      <c r="U96" s="103">
        <v>287.2</v>
      </c>
      <c r="V96" s="2">
        <v>3.2000000000000002E-3</v>
      </c>
      <c r="W96" s="103">
        <v>9.98</v>
      </c>
      <c r="X96" s="2">
        <v>1.1672</v>
      </c>
      <c r="Y96" s="103">
        <v>3652.16</v>
      </c>
      <c r="Z96" s="104">
        <v>6781.16</v>
      </c>
    </row>
    <row r="97" spans="2:26" ht="28.35" customHeight="1">
      <c r="B97" s="100" t="s">
        <v>259</v>
      </c>
      <c r="C97" s="101" t="s">
        <v>94</v>
      </c>
      <c r="D97" s="102" t="s">
        <v>166</v>
      </c>
      <c r="E97" s="103">
        <v>4172</v>
      </c>
      <c r="F97" s="2">
        <v>0.82789999999999997</v>
      </c>
      <c r="G97" s="103">
        <v>3454</v>
      </c>
      <c r="H97" s="2">
        <v>0.16850000000000001</v>
      </c>
      <c r="I97" s="103">
        <v>702.89</v>
      </c>
      <c r="J97" s="2">
        <v>5.8999999999999999E-3</v>
      </c>
      <c r="K97" s="103">
        <v>24.8</v>
      </c>
      <c r="L97" s="2">
        <v>0</v>
      </c>
      <c r="M97" s="103">
        <v>0</v>
      </c>
      <c r="N97" s="2">
        <v>0</v>
      </c>
      <c r="O97" s="103">
        <v>0</v>
      </c>
      <c r="P97" s="2">
        <v>1.2999999999999999E-3</v>
      </c>
      <c r="Q97" s="103">
        <v>5.5</v>
      </c>
      <c r="R97" s="2">
        <v>0</v>
      </c>
      <c r="S97" s="103">
        <v>0</v>
      </c>
      <c r="T97" s="2">
        <v>6.88E-2</v>
      </c>
      <c r="U97" s="103">
        <v>287.2</v>
      </c>
      <c r="V97" s="2">
        <v>2.3999999999999998E-3</v>
      </c>
      <c r="W97" s="103">
        <v>9.98</v>
      </c>
      <c r="X97" s="2">
        <v>1.0749</v>
      </c>
      <c r="Y97" s="103">
        <v>4484.37</v>
      </c>
      <c r="Z97" s="104">
        <v>8656.3700000000008</v>
      </c>
    </row>
    <row r="98" spans="2:26" ht="28.35" customHeight="1">
      <c r="B98" s="100" t="s">
        <v>260</v>
      </c>
      <c r="C98" s="101" t="s">
        <v>95</v>
      </c>
      <c r="D98" s="102" t="s">
        <v>166</v>
      </c>
      <c r="E98" s="103">
        <v>6159.78</v>
      </c>
      <c r="F98" s="2">
        <v>0.82789999999999997</v>
      </c>
      <c r="G98" s="103">
        <v>5099.68</v>
      </c>
      <c r="H98" s="2">
        <v>0.11409999999999999</v>
      </c>
      <c r="I98" s="103">
        <v>702.89</v>
      </c>
      <c r="J98" s="2">
        <v>4.0000000000000001E-3</v>
      </c>
      <c r="K98" s="103">
        <v>24.8</v>
      </c>
      <c r="L98" s="2">
        <v>0</v>
      </c>
      <c r="M98" s="103">
        <v>0</v>
      </c>
      <c r="N98" s="2">
        <v>0</v>
      </c>
      <c r="O98" s="103">
        <v>0</v>
      </c>
      <c r="P98" s="2">
        <v>8.9999999999999998E-4</v>
      </c>
      <c r="Q98" s="103">
        <v>5.5</v>
      </c>
      <c r="R98" s="2">
        <v>0</v>
      </c>
      <c r="S98" s="103">
        <v>0</v>
      </c>
      <c r="T98" s="2">
        <v>4.6600000000000003E-2</v>
      </c>
      <c r="U98" s="103">
        <v>287.2</v>
      </c>
      <c r="V98" s="2">
        <v>1.6000000000000001E-3</v>
      </c>
      <c r="W98" s="103">
        <v>9.98</v>
      </c>
      <c r="X98" s="2">
        <v>0.99519999999999997</v>
      </c>
      <c r="Y98" s="103">
        <v>6130.05</v>
      </c>
      <c r="Z98" s="104">
        <v>12289.83</v>
      </c>
    </row>
    <row r="99" spans="2:26" ht="28.35" customHeight="1">
      <c r="B99" s="100" t="s">
        <v>261</v>
      </c>
      <c r="C99" s="101" t="s">
        <v>96</v>
      </c>
      <c r="D99" s="102" t="s">
        <v>166</v>
      </c>
      <c r="E99" s="103">
        <v>3607.77</v>
      </c>
      <c r="F99" s="2">
        <v>0.8014</v>
      </c>
      <c r="G99" s="103">
        <v>2891.26</v>
      </c>
      <c r="H99" s="2">
        <v>0.1948</v>
      </c>
      <c r="I99" s="103">
        <v>702.89</v>
      </c>
      <c r="J99" s="2">
        <v>6.8999999999999999E-3</v>
      </c>
      <c r="K99" s="103">
        <v>24.8</v>
      </c>
      <c r="L99" s="2">
        <v>0</v>
      </c>
      <c r="M99" s="103">
        <v>0</v>
      </c>
      <c r="N99" s="2">
        <v>6.9999999999999999E-4</v>
      </c>
      <c r="O99" s="103">
        <v>2.57</v>
      </c>
      <c r="P99" s="2">
        <v>1.2999999999999999E-3</v>
      </c>
      <c r="Q99" s="103">
        <v>4.54</v>
      </c>
      <c r="R99" s="2">
        <v>0</v>
      </c>
      <c r="S99" s="103">
        <v>0</v>
      </c>
      <c r="T99" s="2">
        <v>7.9600000000000004E-2</v>
      </c>
      <c r="U99" s="103">
        <v>287.2</v>
      </c>
      <c r="V99" s="2">
        <v>2.8E-3</v>
      </c>
      <c r="W99" s="103">
        <v>9.98</v>
      </c>
      <c r="X99" s="2">
        <v>1.0873999999999999</v>
      </c>
      <c r="Y99" s="103">
        <v>3923.24</v>
      </c>
      <c r="Z99" s="104">
        <v>7531.01</v>
      </c>
    </row>
    <row r="100" spans="2:26" ht="28.35" customHeight="1">
      <c r="B100" s="100" t="s">
        <v>262</v>
      </c>
      <c r="C100" s="101" t="s">
        <v>97</v>
      </c>
      <c r="D100" s="102" t="s">
        <v>166</v>
      </c>
      <c r="E100" s="103">
        <v>4810.3599999999997</v>
      </c>
      <c r="F100" s="2">
        <v>0.8014</v>
      </c>
      <c r="G100" s="103">
        <v>3855.02</v>
      </c>
      <c r="H100" s="2">
        <v>0.14610000000000001</v>
      </c>
      <c r="I100" s="103">
        <v>702.89</v>
      </c>
      <c r="J100" s="2">
        <v>5.1999999999999998E-3</v>
      </c>
      <c r="K100" s="103">
        <v>24.8</v>
      </c>
      <c r="L100" s="2">
        <v>0</v>
      </c>
      <c r="M100" s="103">
        <v>0</v>
      </c>
      <c r="N100" s="2">
        <v>0</v>
      </c>
      <c r="O100" s="103">
        <v>0</v>
      </c>
      <c r="P100" s="2">
        <v>8.9999999999999998E-4</v>
      </c>
      <c r="Q100" s="103">
        <v>4.54</v>
      </c>
      <c r="R100" s="2">
        <v>0</v>
      </c>
      <c r="S100" s="103">
        <v>0</v>
      </c>
      <c r="T100" s="2">
        <v>5.9700000000000003E-2</v>
      </c>
      <c r="U100" s="103">
        <v>287.2</v>
      </c>
      <c r="V100" s="2">
        <v>2.0999999999999999E-3</v>
      </c>
      <c r="W100" s="103">
        <v>9.98</v>
      </c>
      <c r="X100" s="2">
        <v>1.0154000000000001</v>
      </c>
      <c r="Y100" s="103">
        <v>4884.43</v>
      </c>
      <c r="Z100" s="104">
        <v>9694.7900000000009</v>
      </c>
    </row>
    <row r="101" spans="2:26" ht="28.35" customHeight="1">
      <c r="B101" s="100" t="s">
        <v>263</v>
      </c>
      <c r="C101" s="101" t="s">
        <v>98</v>
      </c>
      <c r="D101" s="102" t="s">
        <v>166</v>
      </c>
      <c r="E101" s="103">
        <v>7731.83</v>
      </c>
      <c r="F101" s="2">
        <v>0.8014</v>
      </c>
      <c r="G101" s="103">
        <v>6196.29</v>
      </c>
      <c r="H101" s="2">
        <v>9.0899999999999995E-2</v>
      </c>
      <c r="I101" s="103">
        <v>702.89</v>
      </c>
      <c r="J101" s="2">
        <v>3.2000000000000002E-3</v>
      </c>
      <c r="K101" s="103">
        <v>24.8</v>
      </c>
      <c r="L101" s="2">
        <v>0</v>
      </c>
      <c r="M101" s="103">
        <v>0</v>
      </c>
      <c r="N101" s="2">
        <v>0</v>
      </c>
      <c r="O101" s="103">
        <v>0</v>
      </c>
      <c r="P101" s="2">
        <v>5.9999999999999995E-4</v>
      </c>
      <c r="Q101" s="103">
        <v>4.54</v>
      </c>
      <c r="R101" s="2">
        <v>0</v>
      </c>
      <c r="S101" s="103">
        <v>0</v>
      </c>
      <c r="T101" s="2">
        <v>3.7100000000000001E-2</v>
      </c>
      <c r="U101" s="103">
        <v>287.2</v>
      </c>
      <c r="V101" s="2">
        <v>1.2999999999999999E-3</v>
      </c>
      <c r="W101" s="103">
        <v>9.98</v>
      </c>
      <c r="X101" s="2">
        <v>0.9345</v>
      </c>
      <c r="Y101" s="103">
        <v>7225.7</v>
      </c>
      <c r="Z101" s="104">
        <v>14957.54</v>
      </c>
    </row>
    <row r="102" spans="2:26" ht="28.35" customHeight="1">
      <c r="B102" s="100" t="s">
        <v>648</v>
      </c>
      <c r="C102" s="101" t="s">
        <v>649</v>
      </c>
      <c r="D102" s="102" t="s">
        <v>299</v>
      </c>
      <c r="E102" s="103">
        <v>8.9700000000000006</v>
      </c>
      <c r="F102" s="2">
        <v>1.1317999999999999</v>
      </c>
      <c r="G102" s="103">
        <v>10.15</v>
      </c>
      <c r="H102" s="2">
        <v>0.42959999999999998</v>
      </c>
      <c r="I102" s="103">
        <v>3.85</v>
      </c>
      <c r="J102" s="2">
        <v>1.8499999999999999E-2</v>
      </c>
      <c r="K102" s="103">
        <v>0.17</v>
      </c>
      <c r="L102" s="2">
        <v>0</v>
      </c>
      <c r="M102" s="103">
        <v>0</v>
      </c>
      <c r="N102" s="2">
        <v>6.1499999999999999E-2</v>
      </c>
      <c r="O102" s="103">
        <v>0.55000000000000004</v>
      </c>
      <c r="P102" s="2">
        <v>2.5999999999999999E-3</v>
      </c>
      <c r="Q102" s="103">
        <v>0.02</v>
      </c>
      <c r="R102" s="2">
        <v>0</v>
      </c>
      <c r="S102" s="103">
        <v>0</v>
      </c>
      <c r="T102" s="2">
        <v>0.1757</v>
      </c>
      <c r="U102" s="103">
        <v>1.58</v>
      </c>
      <c r="V102" s="2">
        <v>6.1000000000000004E-3</v>
      </c>
      <c r="W102" s="103">
        <v>0.05</v>
      </c>
      <c r="X102" s="2">
        <v>1.8258000000000001</v>
      </c>
      <c r="Y102" s="103">
        <v>16.37</v>
      </c>
      <c r="Z102" s="104">
        <v>25.34</v>
      </c>
    </row>
    <row r="103" spans="2:26">
      <c r="B103" s="452" t="s">
        <v>264</v>
      </c>
    </row>
  </sheetData>
  <autoFilter ref="B1:Z103" xr:uid="{651DE2A1-518C-4567-B433-A8622D7B5E6C}">
    <filterColumn colId="4"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2" showButton="0"/>
  </autoFilter>
  <mergeCells count="17">
    <mergeCell ref="B1:B3"/>
    <mergeCell ref="C1:C3"/>
    <mergeCell ref="D1:D3"/>
    <mergeCell ref="E1:E2"/>
    <mergeCell ref="F1:G2"/>
    <mergeCell ref="V2:W2"/>
    <mergeCell ref="R1:W1"/>
    <mergeCell ref="X1:Y2"/>
    <mergeCell ref="Z1:Z2"/>
    <mergeCell ref="H2:I2"/>
    <mergeCell ref="J2:K2"/>
    <mergeCell ref="L2:M2"/>
    <mergeCell ref="N2:O2"/>
    <mergeCell ref="P2:Q2"/>
    <mergeCell ref="R2:S2"/>
    <mergeCell ref="T2:U2"/>
    <mergeCell ref="H1:Q1"/>
  </mergeCells>
  <printOptions horizontalCentered="1"/>
  <pageMargins left="0.19685039370078741" right="0.19685039370078741" top="1.32" bottom="0.70866141732283472" header="0.19685039370078741" footer="0.19685039370078741"/>
  <pageSetup paperSize="9" scale="50" fitToWidth="0" fitToHeight="0" orientation="landscape" horizontalDpi="4000" verticalDpi="4000" r:id="rId1"/>
  <headerFooter differentFirst="1">
    <oddHeader>&amp;C&amp;"Arial,Negrito"&amp;12&amp;G
&amp;22RELATÓRIO DE CONSOLIDAÇÃO DOS CUSTOS DE MÃO DE OBRA 
&amp;20Tabela 1 - Consolidação dos custos de mão de obra - Tabela de Preços de Consultoria - mês de referência:  janeiro de 2023 (&amp;P/&amp;N)</oddHeader>
    <oddFooter>&amp;C&amp;"Arial,Negrito"&amp;14
&amp;P&amp;11
&amp;G</oddFooter>
    <firstHeader>&amp;C&amp;"Arial,Negrito"&amp;G
&amp;22RELATÓRIO DE CONSOLIDAÇÃO DOS CUSTOS DE MÃO DE OBRA 
&amp;20Tabela 1 - Consolidação dos custos de mão de obra - Tabela de Preços de Consultoria - mês de referência: janeiro de 2023</firstHeader>
    <firstFooter>&amp;C
&amp;14
&amp;"Arial,Negrito"&amp;P&amp;"Arial,Normal"&amp;11
&amp;G</firstFooter>
  </headerFooter>
  <rowBreaks count="3" manualBreakCount="3">
    <brk id="30" max="26" man="1"/>
    <brk id="58" max="26" man="1"/>
    <brk id="86" max="26"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09F49-B320-4BD8-9937-489DC7BAEC7F}">
  <sheetPr>
    <tabColor rgb="FF00B050"/>
    <pageSetUpPr fitToPage="1"/>
  </sheetPr>
  <dimension ref="A1:H24"/>
  <sheetViews>
    <sheetView workbookViewId="0"/>
  </sheetViews>
  <sheetFormatPr defaultColWidth="3.85546875" defaultRowHeight="15"/>
  <cols>
    <col min="1" max="1" width="6.85546875" style="448" customWidth="1"/>
    <col min="2" max="2" width="16.85546875" style="448" customWidth="1"/>
    <col min="3" max="3" width="13.5703125" style="448" customWidth="1"/>
    <col min="4" max="4" width="57.42578125" style="448" customWidth="1"/>
    <col min="5" max="5" width="13.28515625" style="448" customWidth="1"/>
    <col min="6" max="7" width="20" style="448" customWidth="1"/>
    <col min="8" max="8" width="6.85546875" style="448" customWidth="1"/>
    <col min="9" max="16384" width="3.85546875" style="177"/>
  </cols>
  <sheetData>
    <row r="1" spans="1:8">
      <c r="B1" s="456">
        <v>45200</v>
      </c>
    </row>
    <row r="2" spans="1:8" s="178" customFormat="1" ht="20.25" customHeight="1">
      <c r="A2" s="449"/>
      <c r="B2" s="457" t="s">
        <v>453</v>
      </c>
      <c r="C2" s="458"/>
      <c r="D2" s="459"/>
      <c r="E2" s="458"/>
      <c r="F2" s="458"/>
      <c r="G2" s="458"/>
      <c r="H2" s="449"/>
    </row>
    <row r="3" spans="1:8" s="178" customFormat="1" ht="24" customHeight="1">
      <c r="A3" s="449"/>
      <c r="B3" s="460" t="str">
        <f>"Tabela de Preços de Consultoria - mês de referência: "&amp;TEXT(B1,"MMMM")&amp;" de "&amp;TEXT(B1,"AAAA")</f>
        <v>Tabela de Preços de Consultoria - mês de referência: outubro de 2023</v>
      </c>
      <c r="C3" s="461"/>
      <c r="D3" s="461"/>
      <c r="E3" s="461"/>
      <c r="F3" s="461"/>
      <c r="G3" s="461"/>
      <c r="H3" s="449"/>
    </row>
    <row r="4" spans="1:8" ht="27" customHeight="1">
      <c r="B4" s="783" t="s">
        <v>313</v>
      </c>
      <c r="C4" s="778" t="s">
        <v>146</v>
      </c>
      <c r="D4" s="778" t="s">
        <v>267</v>
      </c>
      <c r="E4" s="778" t="s">
        <v>326</v>
      </c>
      <c r="F4" s="778" t="s">
        <v>454</v>
      </c>
      <c r="G4" s="779"/>
      <c r="H4" s="450" t="s">
        <v>455</v>
      </c>
    </row>
    <row r="5" spans="1:8" ht="28.5" customHeight="1">
      <c r="B5" s="783"/>
      <c r="C5" s="778"/>
      <c r="D5" s="778"/>
      <c r="E5" s="778"/>
      <c r="F5" s="463" t="s">
        <v>297</v>
      </c>
      <c r="G5" s="464" t="s">
        <v>268</v>
      </c>
    </row>
    <row r="6" spans="1:8" ht="27" customHeight="1">
      <c r="B6" s="780" t="s">
        <v>266</v>
      </c>
      <c r="C6" s="465" t="s">
        <v>269</v>
      </c>
      <c r="D6" s="466" t="s">
        <v>456</v>
      </c>
      <c r="E6" s="465" t="s">
        <v>270</v>
      </c>
      <c r="F6" s="467">
        <v>34.43</v>
      </c>
      <c r="G6" s="468">
        <v>6.52</v>
      </c>
    </row>
    <row r="7" spans="1:8" ht="40.5" customHeight="1">
      <c r="B7" s="780"/>
      <c r="C7" s="465" t="s">
        <v>271</v>
      </c>
      <c r="D7" s="466" t="s">
        <v>652</v>
      </c>
      <c r="E7" s="465" t="s">
        <v>270</v>
      </c>
      <c r="F7" s="467">
        <v>83.2</v>
      </c>
      <c r="G7" s="468">
        <v>27.67</v>
      </c>
    </row>
    <row r="8" spans="1:8" ht="40.5" customHeight="1">
      <c r="B8" s="780"/>
      <c r="C8" s="465" t="s">
        <v>272</v>
      </c>
      <c r="D8" s="466" t="s">
        <v>653</v>
      </c>
      <c r="E8" s="465" t="s">
        <v>270</v>
      </c>
      <c r="F8" s="467">
        <v>82.42</v>
      </c>
      <c r="G8" s="468">
        <v>44.83</v>
      </c>
    </row>
    <row r="9" spans="1:8">
      <c r="B9" s="451" t="s">
        <v>264</v>
      </c>
      <c r="C9" s="469"/>
      <c r="D9" s="470"/>
      <c r="E9" s="469"/>
      <c r="F9" s="471"/>
      <c r="G9" s="471"/>
    </row>
    <row r="10" spans="1:8" ht="35.1" customHeight="1"/>
    <row r="11" spans="1:8" s="178" customFormat="1" ht="20.25" customHeight="1">
      <c r="A11" s="449"/>
      <c r="B11" s="457" t="s">
        <v>457</v>
      </c>
      <c r="C11" s="458"/>
      <c r="D11" s="459"/>
      <c r="E11" s="458"/>
      <c r="F11" s="458"/>
      <c r="G11" s="458"/>
      <c r="H11" s="449"/>
    </row>
    <row r="12" spans="1:8" s="178" customFormat="1" ht="24" customHeight="1">
      <c r="A12" s="449"/>
      <c r="B12" s="460" t="str">
        <f>"Tabela de Preços de Consultoria - mês de referência: "&amp;TEXT(B1,"MMMM")&amp;" de "&amp;TEXT(B1,"AAAA")</f>
        <v>Tabela de Preços de Consultoria - mês de referência: outubro de 2023</v>
      </c>
      <c r="C12" s="461"/>
      <c r="D12" s="461"/>
      <c r="E12" s="461"/>
      <c r="F12" s="461"/>
      <c r="G12" s="461"/>
      <c r="H12" s="449"/>
    </row>
    <row r="13" spans="1:8" ht="31.5">
      <c r="B13" s="462" t="s">
        <v>313</v>
      </c>
      <c r="C13" s="463" t="s">
        <v>146</v>
      </c>
      <c r="D13" s="778" t="s">
        <v>267</v>
      </c>
      <c r="E13" s="778"/>
      <c r="F13" s="463" t="s">
        <v>326</v>
      </c>
      <c r="G13" s="464" t="s">
        <v>458</v>
      </c>
    </row>
    <row r="14" spans="1:8" ht="27" customHeight="1">
      <c r="B14" s="780" t="s">
        <v>273</v>
      </c>
      <c r="C14" s="465" t="s">
        <v>274</v>
      </c>
      <c r="D14" s="781" t="s">
        <v>459</v>
      </c>
      <c r="E14" s="782"/>
      <c r="F14" s="465" t="s">
        <v>460</v>
      </c>
      <c r="G14" s="472">
        <v>47.49</v>
      </c>
    </row>
    <row r="15" spans="1:8" ht="27" customHeight="1">
      <c r="B15" s="780"/>
      <c r="C15" s="465" t="s">
        <v>275</v>
      </c>
      <c r="D15" s="781" t="s">
        <v>461</v>
      </c>
      <c r="E15" s="782"/>
      <c r="F15" s="465" t="s">
        <v>460</v>
      </c>
      <c r="G15" s="472">
        <v>31.05</v>
      </c>
    </row>
    <row r="16" spans="1:8" ht="27" customHeight="1">
      <c r="B16" s="780" t="s">
        <v>276</v>
      </c>
      <c r="C16" s="465" t="s">
        <v>277</v>
      </c>
      <c r="D16" s="781" t="s">
        <v>278</v>
      </c>
      <c r="E16" s="782"/>
      <c r="F16" s="465" t="s">
        <v>462</v>
      </c>
      <c r="G16" s="472">
        <v>493.61</v>
      </c>
    </row>
    <row r="17" spans="2:7" ht="27" customHeight="1">
      <c r="B17" s="780"/>
      <c r="C17" s="465" t="s">
        <v>279</v>
      </c>
      <c r="D17" s="781" t="s">
        <v>280</v>
      </c>
      <c r="E17" s="782"/>
      <c r="F17" s="465" t="s">
        <v>462</v>
      </c>
      <c r="G17" s="472">
        <v>43.89</v>
      </c>
    </row>
    <row r="18" spans="2:7" ht="27" customHeight="1">
      <c r="B18" s="780" t="s">
        <v>463</v>
      </c>
      <c r="C18" s="465" t="s">
        <v>281</v>
      </c>
      <c r="D18" s="781" t="s">
        <v>282</v>
      </c>
      <c r="E18" s="782"/>
      <c r="F18" s="465" t="s">
        <v>166</v>
      </c>
      <c r="G18" s="472">
        <v>5225.9399999999996</v>
      </c>
    </row>
    <row r="19" spans="2:7" ht="27" customHeight="1">
      <c r="B19" s="780"/>
      <c r="C19" s="465" t="s">
        <v>283</v>
      </c>
      <c r="D19" s="781" t="s">
        <v>284</v>
      </c>
      <c r="E19" s="782"/>
      <c r="F19" s="465" t="s">
        <v>166</v>
      </c>
      <c r="G19" s="472">
        <v>4315.87</v>
      </c>
    </row>
    <row r="20" spans="2:7" ht="27" customHeight="1">
      <c r="B20" s="780"/>
      <c r="C20" s="465" t="s">
        <v>285</v>
      </c>
      <c r="D20" s="781" t="s">
        <v>286</v>
      </c>
      <c r="E20" s="782"/>
      <c r="F20" s="465" t="s">
        <v>166</v>
      </c>
      <c r="G20" s="472">
        <v>4179.16</v>
      </c>
    </row>
    <row r="21" spans="2:7" ht="27" customHeight="1">
      <c r="B21" s="780"/>
      <c r="C21" s="465" t="s">
        <v>287</v>
      </c>
      <c r="D21" s="781" t="s">
        <v>288</v>
      </c>
      <c r="E21" s="782"/>
      <c r="F21" s="465" t="s">
        <v>166</v>
      </c>
      <c r="G21" s="472">
        <v>3195.48</v>
      </c>
    </row>
    <row r="22" spans="2:7" ht="27" customHeight="1">
      <c r="B22" s="780" t="s">
        <v>464</v>
      </c>
      <c r="C22" s="465" t="s">
        <v>289</v>
      </c>
      <c r="D22" s="781" t="s">
        <v>278</v>
      </c>
      <c r="E22" s="782"/>
      <c r="F22" s="465" t="s">
        <v>462</v>
      </c>
      <c r="G22" s="472">
        <v>132.13</v>
      </c>
    </row>
    <row r="23" spans="2:7" ht="27" customHeight="1">
      <c r="B23" s="780"/>
      <c r="C23" s="465" t="s">
        <v>290</v>
      </c>
      <c r="D23" s="781" t="s">
        <v>280</v>
      </c>
      <c r="E23" s="782"/>
      <c r="F23" s="465" t="s">
        <v>462</v>
      </c>
      <c r="G23" s="472">
        <v>209.32</v>
      </c>
    </row>
    <row r="24" spans="2:7">
      <c r="B24" s="451" t="s">
        <v>264</v>
      </c>
    </row>
  </sheetData>
  <mergeCells count="21">
    <mergeCell ref="B6:B8"/>
    <mergeCell ref="B4:B5"/>
    <mergeCell ref="C4:C5"/>
    <mergeCell ref="D4:D5"/>
    <mergeCell ref="E4:E5"/>
    <mergeCell ref="F4:G4"/>
    <mergeCell ref="B22:B23"/>
    <mergeCell ref="D22:E22"/>
    <mergeCell ref="D23:E23"/>
    <mergeCell ref="D13:E13"/>
    <mergeCell ref="B14:B15"/>
    <mergeCell ref="D14:E14"/>
    <mergeCell ref="D15:E15"/>
    <mergeCell ref="B16:B17"/>
    <mergeCell ref="D16:E16"/>
    <mergeCell ref="D17:E17"/>
    <mergeCell ref="B18:B21"/>
    <mergeCell ref="D18:E18"/>
    <mergeCell ref="D19:E19"/>
    <mergeCell ref="D20:E20"/>
    <mergeCell ref="D21:E21"/>
  </mergeCells>
  <pageMargins left="0.19685039370078741" right="0.19685039370078741" top="1.2" bottom="0.6692913385826772" header="0.25" footer="0.19685039370078741"/>
  <pageSetup paperSize="9" scale="65" fitToHeight="0" orientation="portrait" horizontalDpi="1200" verticalDpi="1200" r:id="rId1"/>
  <headerFooter>
    <oddHeader>&amp;C&amp;"Arial,Negrito"&amp;12&amp;G
&amp;16RELATÓRIO DE CUSTOS GERAIS</oddHeader>
    <oddFooter>&amp;C&amp;"Arial,Negrito"&amp;10
&amp;12&amp;P&amp;11
&amp;G</oddFooter>
    <firstHeader>&amp;C&amp;"Arial,Negrito"&amp;G
RELATÓRIO DE CUSTOS GERAIS E BENEFÍCIOS E DESPESAS INDIRETAS - BDI</firstHeader>
    <firstFooter>&amp;C
&amp;"Arial,Negrito"&amp;8&amp;P&amp;"Arial,Normal"&amp;11
&amp;G</firstFooter>
  </headerFooter>
  <rowBreaks count="3" manualBreakCount="3">
    <brk id="25" min="1" max="13" man="1"/>
    <brk id="51" max="16383" man="1"/>
    <brk id="75" min="1" max="1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E24BC-CE36-4C36-A48E-FB18C10F71A1}">
  <sheetPr>
    <tabColor rgb="FF002060"/>
    <outlinePr summaryBelow="0" summaryRight="0"/>
  </sheetPr>
  <dimension ref="A1:R320"/>
  <sheetViews>
    <sheetView showGridLines="0" zoomScale="70" zoomScaleNormal="70" workbookViewId="0">
      <selection activeCell="O9" sqref="O9"/>
    </sheetView>
  </sheetViews>
  <sheetFormatPr defaultColWidth="14.42578125" defaultRowHeight="12.75"/>
  <cols>
    <col min="1" max="1" width="5" style="442" customWidth="1"/>
    <col min="2" max="2" width="5.5703125" style="312" customWidth="1"/>
    <col min="3" max="3" width="9.42578125" style="312" customWidth="1"/>
    <col min="4" max="4" width="16.140625" style="310" bestFit="1" customWidth="1"/>
    <col min="5" max="5" width="45.42578125" style="312" customWidth="1"/>
    <col min="6" max="6" width="13.5703125" style="415" customWidth="1"/>
    <col min="7" max="7" width="15.42578125" style="314" customWidth="1"/>
    <col min="8" max="8" width="13.28515625" style="314" customWidth="1"/>
    <col min="9" max="10" width="16" style="314" customWidth="1"/>
    <col min="11" max="11" width="22.85546875" style="415" customWidth="1"/>
    <col min="12" max="12" width="74" style="422" customWidth="1"/>
    <col min="13" max="16384" width="14.42578125" style="312"/>
  </cols>
  <sheetData>
    <row r="1" spans="1:18" s="120" customFormat="1" ht="15"/>
    <row r="2" spans="1:18" s="120" customFormat="1" ht="54" customHeight="1"/>
    <row r="3" spans="1:18" ht="15.75">
      <c r="B3" s="599" t="s">
        <v>745</v>
      </c>
      <c r="C3" s="600"/>
      <c r="D3" s="601"/>
      <c r="E3" s="602"/>
      <c r="F3" s="603"/>
      <c r="G3" s="604"/>
      <c r="H3" s="605"/>
      <c r="I3" s="605"/>
      <c r="J3" s="605"/>
      <c r="K3" s="606"/>
      <c r="L3" s="607"/>
    </row>
    <row r="4" spans="1:18" ht="15.75">
      <c r="B4" s="608" t="s">
        <v>344</v>
      </c>
      <c r="C4" s="609"/>
      <c r="D4" s="610"/>
      <c r="E4" s="611"/>
      <c r="F4" s="612" t="str">
        <f>Dados!B16</f>
        <v>Data Base:</v>
      </c>
      <c r="G4" s="613">
        <f>Dados!C16</f>
        <v>45200</v>
      </c>
      <c r="H4" s="410" t="s">
        <v>345</v>
      </c>
      <c r="I4" s="410">
        <f>ROUND(I7+I19+I118+I217,2)-0.02</f>
        <v>3422373.75</v>
      </c>
      <c r="J4" s="410">
        <f ca="1">ROUND(J7+J19+J118+J217,2)-0.01</f>
        <v>6281283.1699999999</v>
      </c>
      <c r="K4" s="614"/>
      <c r="L4" s="615"/>
    </row>
    <row r="5" spans="1:18" s="310" customFormat="1">
      <c r="A5" s="442"/>
      <c r="B5" s="311"/>
      <c r="C5" s="311"/>
      <c r="D5" s="311"/>
      <c r="E5" s="311"/>
      <c r="F5" s="411"/>
      <c r="G5" s="313"/>
      <c r="J5" s="430"/>
      <c r="K5" s="416"/>
      <c r="L5" s="422"/>
    </row>
    <row r="6" spans="1:18" ht="30">
      <c r="B6" s="693" t="s">
        <v>313</v>
      </c>
      <c r="C6" s="694"/>
      <c r="D6" s="315" t="s">
        <v>333</v>
      </c>
      <c r="E6" s="315" t="s">
        <v>335</v>
      </c>
      <c r="F6" s="315" t="s">
        <v>326</v>
      </c>
      <c r="G6" s="315" t="s">
        <v>346</v>
      </c>
      <c r="H6" s="315" t="s">
        <v>347</v>
      </c>
      <c r="I6" s="315" t="s">
        <v>449</v>
      </c>
      <c r="J6" s="431" t="s">
        <v>450</v>
      </c>
      <c r="K6" s="315" t="s">
        <v>348</v>
      </c>
      <c r="L6" s="316" t="s">
        <v>349</v>
      </c>
      <c r="M6" s="317"/>
      <c r="N6" s="317"/>
      <c r="O6" s="317"/>
      <c r="P6" s="317"/>
      <c r="Q6" s="317"/>
      <c r="R6" s="317"/>
    </row>
    <row r="7" spans="1:18" ht="15">
      <c r="A7" s="442">
        <v>1</v>
      </c>
      <c r="B7" s="334">
        <f>A7</f>
        <v>1</v>
      </c>
      <c r="C7" s="335" t="str">
        <f>Resumo!C11</f>
        <v>Plano de Trabalho</v>
      </c>
      <c r="D7" s="319"/>
      <c r="E7" s="320"/>
      <c r="F7" s="412"/>
      <c r="G7" s="321"/>
      <c r="H7" s="322"/>
      <c r="I7" s="323">
        <f>SUM(I8:I18)</f>
        <v>174202.33346875</v>
      </c>
      <c r="J7" s="323">
        <f ca="1">SUM(J8:J18)</f>
        <v>251896.57419581246</v>
      </c>
      <c r="K7" s="417"/>
      <c r="L7" s="423"/>
    </row>
    <row r="8" spans="1:18">
      <c r="A8" s="442">
        <f>A7</f>
        <v>1</v>
      </c>
      <c r="B8" s="336"/>
      <c r="C8" s="337" t="str">
        <f>'1.PdT'!B18</f>
        <v>P8061</v>
      </c>
      <c r="D8" s="324" t="s">
        <v>350</v>
      </c>
      <c r="E8" s="325" t="str">
        <f>IF($D8="PESSOAL",VLOOKUP($C8,'TC 10-2023'!$B:$Z,2,FALSE), IF($D8="EQUIPAMENTOS",VLOOKUP($C8,Equip.Info!$A:$I,2,FALSE),VLOOKUP($C8,Mat.Info!$A:$H,2,FALSE)))</f>
        <v>Engenheiro coordenador</v>
      </c>
      <c r="F8" s="413" t="str">
        <f>IF(D8="PESSOAL","mês", IF(OR(D8="EQUIPAMENTOS",D8="MATERIAL"),"h",""))</f>
        <v>mês</v>
      </c>
      <c r="G8" s="326">
        <f>IF($D8="PESSOAL",VLOOKUP($C8,'TC 10-2023'!$B:$Z,25,FALSE), IF($D8="EQUIPAMENTOS",VLOOKUP($C8,Equip.Info!$A:$I,8,FALSE),VLOOKUP($C8,Mat.Info!$A:$H,8,FALSE)))</f>
        <v>31759.96</v>
      </c>
      <c r="H8" s="326">
        <f>'1.PdT'!H18</f>
        <v>0.25</v>
      </c>
      <c r="I8" s="328">
        <f t="shared" ref="I8:I16" si="0">G8*H8</f>
        <v>7939.99</v>
      </c>
      <c r="J8" s="328">
        <f ca="1">I8*(1+Dados!$C$17)</f>
        <v>11481.225539999999</v>
      </c>
      <c r="K8" s="418" t="str">
        <f>"DNIT "&amp;TEXT(Dados!$C$16,"mmm/aa")</f>
        <v>DNIT out/23</v>
      </c>
      <c r="L8" s="333" t="str">
        <f>'1.PdT'!G18&amp;" "&amp;Recursos!E8&amp;" por 15 dias"</f>
        <v>1 Engenheiro coordenador por 15 dias</v>
      </c>
    </row>
    <row r="9" spans="1:18">
      <c r="A9" s="442">
        <f t="shared" ref="A9:A238" si="1">A8</f>
        <v>1</v>
      </c>
      <c r="B9" s="336"/>
      <c r="C9" s="337" t="str">
        <f>'1.PdT'!B19</f>
        <v>P8044</v>
      </c>
      <c r="D9" s="324" t="s">
        <v>350</v>
      </c>
      <c r="E9" s="325" t="str">
        <f>IF(D9="PESSOAL",VLOOKUP($C9,'TC 10-2023'!$B:$Z,2,FALSE), IF(D9="EQUIPAMENTOS",VLOOKUP($C9,Equip.Info!A:I,2,FALSE),VLOOKUP($C9,Mat.Info!A:H,2,FALSE)))</f>
        <v xml:space="preserve">Coordenador ambiental </v>
      </c>
      <c r="F9" s="413" t="str">
        <f t="shared" ref="F9:F16" si="2">IF(D9="PESSOAL","mês", IF(OR(D9="EQUIPAMENTOS",D9="MATERIAL"),"h",""))</f>
        <v>mês</v>
      </c>
      <c r="G9" s="326">
        <f>IF($D9="PESSOAL",VLOOKUP($C9,'TC 10-2023'!$B:$Z,25,FALSE), IF($D9="EQUIPAMENTOS",VLOOKUP($C9,Equip.Info!$A:$I,8,FALSE),VLOOKUP($C9,Mat.Info!$A:$H,8,FALSE)))</f>
        <v>31481.62</v>
      </c>
      <c r="H9" s="326">
        <f>'1.PdT'!H19</f>
        <v>1</v>
      </c>
      <c r="I9" s="328">
        <f t="shared" si="0"/>
        <v>31481.62</v>
      </c>
      <c r="J9" s="328">
        <f ca="1">I9*(1+Dados!$C$17)</f>
        <v>45522.42252</v>
      </c>
      <c r="K9" s="418" t="str">
        <f>"DNIT "&amp;TEXT(Dados!$C$16,"mmm/aa")</f>
        <v>DNIT out/23</v>
      </c>
      <c r="L9" s="333" t="str">
        <f>'1.PdT'!G19&amp;" "&amp;Recursos!E9&amp;" por 15 dias"</f>
        <v>1 Coordenador ambiental  por 15 dias</v>
      </c>
    </row>
    <row r="10" spans="1:18">
      <c r="A10" s="442">
        <f t="shared" si="1"/>
        <v>1</v>
      </c>
      <c r="B10" s="336"/>
      <c r="C10" s="337" t="str">
        <f>'1.PdT'!B20</f>
        <v>P8060</v>
      </c>
      <c r="D10" s="324" t="s">
        <v>350</v>
      </c>
      <c r="E10" s="325" t="str">
        <f>IF(D10="PESSOAL",VLOOKUP($C10,'TC 10-2023'!$B:$Z,2,FALSE), IF(D10="EQUIPAMENTOS",VLOOKUP($C10,Equip.Info!A:I,2,FALSE),VLOOKUP($C10,Mat.Info!A:H,2,FALSE)))</f>
        <v>Engenheiro consultor especial</v>
      </c>
      <c r="F10" s="413" t="str">
        <f t="shared" si="2"/>
        <v>mês</v>
      </c>
      <c r="G10" s="326">
        <f>IF($D10="PESSOAL",VLOOKUP($C10,'TC 10-2023'!$B:$Z,25,FALSE), IF($D10="EQUIPAMENTOS",VLOOKUP($C10,Equip.Info!$A:$I,8,FALSE),VLOOKUP($C10,Mat.Info!$A:$H,8,FALSE)))</f>
        <v>37906.68</v>
      </c>
      <c r="H10" s="326">
        <f>'1.PdT'!H20</f>
        <v>1</v>
      </c>
      <c r="I10" s="328">
        <f t="shared" si="0"/>
        <v>37906.68</v>
      </c>
      <c r="J10" s="328">
        <f ca="1">I10*(1+Dados!$C$17)</f>
        <v>54813.059280000001</v>
      </c>
      <c r="K10" s="418" t="str">
        <f>"DNIT "&amp;TEXT(Dados!$C$16,"mmm/aa")</f>
        <v>DNIT out/23</v>
      </c>
      <c r="L10" s="333" t="str">
        <f>'1.PdT'!G20&amp;" "&amp;Recursos!E10&amp;" por 15 dias"</f>
        <v>1 Engenheiro consultor especial por 15 dias</v>
      </c>
    </row>
    <row r="11" spans="1:18">
      <c r="A11" s="442">
        <f t="shared" si="1"/>
        <v>1</v>
      </c>
      <c r="B11" s="336"/>
      <c r="C11" s="337" t="str">
        <f>'1.PdT'!B21</f>
        <v>P8067</v>
      </c>
      <c r="D11" s="324" t="s">
        <v>350</v>
      </c>
      <c r="E11" s="325" t="str">
        <f>IF(D11="PESSOAL",VLOOKUP($C11,'TC 10-2023'!$B:$Z,2,FALSE), IF(D11="EQUIPAMENTOS",VLOOKUP($C11,Equip.Info!A:I,2,FALSE),VLOOKUP($C11,Mat.Info!A:H,2,FALSE)))</f>
        <v>Engenheiro de projetos sênior</v>
      </c>
      <c r="F11" s="413" t="str">
        <f t="shared" si="2"/>
        <v>mês</v>
      </c>
      <c r="G11" s="326">
        <f>IF($D11="PESSOAL",VLOOKUP($C11,'TC 10-2023'!$B:$Z,25,FALSE), IF($D11="EQUIPAMENTOS",VLOOKUP($C11,Equip.Info!$A:$I,8,FALSE),VLOOKUP($C11,Mat.Info!$A:$H,8,FALSE)))</f>
        <v>27604.86</v>
      </c>
      <c r="H11" s="326">
        <f>'1.PdT'!H21</f>
        <v>1</v>
      </c>
      <c r="I11" s="328">
        <f t="shared" si="0"/>
        <v>27604.86</v>
      </c>
      <c r="J11" s="328">
        <f ca="1">I11*(1+Dados!$C$17)</f>
        <v>39916.627560000001</v>
      </c>
      <c r="K11" s="418" t="str">
        <f>"DNIT "&amp;TEXT(Dados!$C$16,"mmm/aa")</f>
        <v>DNIT out/23</v>
      </c>
      <c r="L11" s="333" t="str">
        <f>'1.PdT'!G21&amp;" "&amp;Recursos!E11&amp;" por 15 dias"</f>
        <v>1 Engenheiro de projetos sênior por 15 dias</v>
      </c>
    </row>
    <row r="12" spans="1:18">
      <c r="A12" s="442">
        <f t="shared" si="1"/>
        <v>1</v>
      </c>
      <c r="B12" s="336"/>
      <c r="C12" s="337" t="str">
        <f>'1.PdT'!B22</f>
        <v>P8066</v>
      </c>
      <c r="D12" s="324" t="s">
        <v>350</v>
      </c>
      <c r="E12" s="325" t="str">
        <f>IF(D12="PESSOAL",VLOOKUP($C12,'TC 10-2023'!$B:$Z,2,FALSE), IF(D12="EQUIPAMENTOS",VLOOKUP($C12,Equip.Info!A:I,2,FALSE),VLOOKUP($C12,Mat.Info!A:H,2,FALSE)))</f>
        <v>Engenheiro de projetos pleno</v>
      </c>
      <c r="F12" s="413" t="str">
        <f t="shared" si="2"/>
        <v>mês</v>
      </c>
      <c r="G12" s="326">
        <f>IF($D12="PESSOAL",VLOOKUP($C12,'TC 10-2023'!$B:$Z,25,FALSE), IF($D12="EQUIPAMENTOS",VLOOKUP($C12,Equip.Info!$A:$I,8,FALSE),VLOOKUP($C12,Mat.Info!$A:$H,8,FALSE)))</f>
        <v>21969.16</v>
      </c>
      <c r="H12" s="326">
        <f>'1.PdT'!H22</f>
        <v>1</v>
      </c>
      <c r="I12" s="328">
        <f t="shared" si="0"/>
        <v>21969.16</v>
      </c>
      <c r="J12" s="328">
        <f ca="1">I12*(1+Dados!$C$17)</f>
        <v>31767.405359999997</v>
      </c>
      <c r="K12" s="418" t="str">
        <f>"DNIT "&amp;TEXT(Dados!$C$16,"mmm/aa")</f>
        <v>DNIT out/23</v>
      </c>
      <c r="L12" s="333" t="str">
        <f>'1.PdT'!G22&amp;" "&amp;Recursos!E12&amp;" por 15 dias"</f>
        <v>1 Engenheiro de projetos pleno por 15 dias</v>
      </c>
    </row>
    <row r="13" spans="1:18">
      <c r="A13" s="442">
        <f t="shared" si="1"/>
        <v>1</v>
      </c>
      <c r="B13" s="336"/>
      <c r="C13" s="337" t="str">
        <f>'1.PdT'!B23</f>
        <v>P8047</v>
      </c>
      <c r="D13" s="324" t="s">
        <v>350</v>
      </c>
      <c r="E13" s="325" t="str">
        <f>IF(D13="PESSOAL",VLOOKUP($C13,'TC 10-2023'!$B:$Z,2,FALSE), IF(D13="EQUIPAMENTOS",VLOOKUP($C13,Equip.Info!A:I,2,FALSE),VLOOKUP($C13,Mat.Info!A:H,2,FALSE)))</f>
        <v>Economista sênior</v>
      </c>
      <c r="F13" s="413" t="str">
        <f t="shared" si="2"/>
        <v>mês</v>
      </c>
      <c r="G13" s="326">
        <f>IF($D13="PESSOAL",VLOOKUP($C13,'TC 10-2023'!$B:$Z,25,FALSE), IF($D13="EQUIPAMENTOS",VLOOKUP($C13,Equip.Info!$A:$I,8,FALSE),VLOOKUP($C13,Mat.Info!$A:$H,8,FALSE)))</f>
        <v>19860.28</v>
      </c>
      <c r="H13" s="326">
        <f>'1.PdT'!H23</f>
        <v>1</v>
      </c>
      <c r="I13" s="328">
        <f>G13*H13</f>
        <v>19860.28</v>
      </c>
      <c r="J13" s="328">
        <f ca="1">I13*(1+Dados!$C$17)</f>
        <v>28717.964879999996</v>
      </c>
      <c r="K13" s="418" t="str">
        <f>"DNIT "&amp;TEXT(Dados!$C$16,"mmm/aa")</f>
        <v>DNIT out/23</v>
      </c>
      <c r="L13" s="333" t="str">
        <f>'1.PdT'!G23&amp;" "&amp;Recursos!E13&amp;" por 15 dias"</f>
        <v>1 Economista sênior por 15 dias</v>
      </c>
    </row>
    <row r="14" spans="1:18">
      <c r="A14" s="442">
        <f t="shared" si="1"/>
        <v>1</v>
      </c>
      <c r="B14" s="336"/>
      <c r="C14" s="337" t="str">
        <f>'1.PdT'!B24</f>
        <v>P8003</v>
      </c>
      <c r="D14" s="324" t="s">
        <v>350</v>
      </c>
      <c r="E14" s="325" t="str">
        <f>IF(D14="PESSOAL",VLOOKUP($C14,'TC 10-2023'!$B:$Z,2,FALSE), IF(D14="EQUIPAMENTOS",VLOOKUP($C14,Equip.Info!A:I,2,FALSE),VLOOKUP($C14,Mat.Info!A:H,2,FALSE)))</f>
        <v>Advogado sênior</v>
      </c>
      <c r="F14" s="413" t="str">
        <f t="shared" si="2"/>
        <v>mês</v>
      </c>
      <c r="G14" s="326">
        <f>IF($D14="PESSOAL",VLOOKUP($C14,'TC 10-2023'!$B:$Z,25,FALSE), IF($D14="EQUIPAMENTOS",VLOOKUP($C14,Equip.Info!$A:$I,8,FALSE),VLOOKUP($C14,Mat.Info!$A:$H,8,FALSE)))</f>
        <v>19214.900000000001</v>
      </c>
      <c r="H14" s="326">
        <f>'1.PdT'!H24</f>
        <v>1</v>
      </c>
      <c r="I14" s="328">
        <f t="shared" si="0"/>
        <v>19214.900000000001</v>
      </c>
      <c r="J14" s="328">
        <f ca="1">I14*(1+Dados!$C$17)</f>
        <v>27784.7454</v>
      </c>
      <c r="K14" s="418" t="str">
        <f>"DNIT "&amp;TEXT(Dados!$C$16,"mmm/aa")</f>
        <v>DNIT out/23</v>
      </c>
      <c r="L14" s="333" t="str">
        <f>'1.PdT'!G24&amp;" "&amp;Recursos!E14&amp;" por 15 dias"</f>
        <v>1 Advogado sênior por 15 dias</v>
      </c>
    </row>
    <row r="15" spans="1:18">
      <c r="A15" s="442">
        <f t="shared" si="1"/>
        <v>1</v>
      </c>
      <c r="B15" s="338"/>
      <c r="C15" s="339" t="str">
        <f>'1.PdT'!B12</f>
        <v>EQSF002</v>
      </c>
      <c r="D15" s="324" t="s">
        <v>352</v>
      </c>
      <c r="E15" s="325" t="str">
        <f>IF(D15="PESSOAL",VLOOKUP($C15,'TC 10-2023'!$B:$Z,2,FALSE), IF(D15="EQUIPAMENTOS",VLOOKUP($C15,Equip.Info!A:I,2,FALSE),VLOOKUP($C15,Mat.Info!A:H,2,FALSE)))</f>
        <v>Laptop completo, processador Intel Core i5, 16GB memória, Resolução 3.840x2.160 (4K), PV GPU de 4GB e Sistema Operacional.</v>
      </c>
      <c r="F15" s="413" t="str">
        <f t="shared" si="2"/>
        <v>h</v>
      </c>
      <c r="G15" s="326">
        <f>IF($D15="PESSOAL",VLOOKUP($C15,'TC 10-2023'!$B:$Z,25,FALSE), IF($D15="EQUIPAMENTOS",VLOOKUP($C15,Equip.Info!$A:$I,8,FALSE),VLOOKUP($C15,Mat.Info!$A:$H,8,FALSE)))</f>
        <v>0.217</v>
      </c>
      <c r="H15" s="329">
        <f>'1.PdT'!F12</f>
        <v>1140.5625</v>
      </c>
      <c r="I15" s="328">
        <f t="shared" si="0"/>
        <v>247.50206249999999</v>
      </c>
      <c r="J15" s="328">
        <f ca="1">I15*(1+Dados!$C$17)</f>
        <v>357.88798237499998</v>
      </c>
      <c r="K15" s="418" t="s">
        <v>667</v>
      </c>
      <c r="L15" s="333" t="s">
        <v>451</v>
      </c>
    </row>
    <row r="16" spans="1:18">
      <c r="A16" s="442">
        <f t="shared" si="1"/>
        <v>1</v>
      </c>
      <c r="B16" s="338"/>
      <c r="C16" s="339" t="str">
        <f>'1.PdT'!B31</f>
        <v>MTSF001</v>
      </c>
      <c r="D16" s="324" t="s">
        <v>448</v>
      </c>
      <c r="E16" s="325" t="str">
        <f>IF(D16="PESSOAL",VLOOKUP($C16,'TC 10-2023'!$B:$Z,2,FALSE), IF(D16="EQUIPAMENTOS",VLOOKUP($C16,Equip.Info!A:I,2,FALSE),VLOOKUP($C16,Mat.Info!A:H,2,FALSE)))</f>
        <v>Pacote Microsoft 365 Business Basic</v>
      </c>
      <c r="F16" s="413" t="str">
        <f t="shared" si="2"/>
        <v>h</v>
      </c>
      <c r="G16" s="326">
        <f>IF($D16="PESSOAL",VLOOKUP($C16,'TC 10-2023'!$B:$Z,25,FALSE), IF($D16="EQUIPAMENTOS",VLOOKUP($C16,Equip.Info!$A:$I,8,FALSE),VLOOKUP($C16,Mat.Info!$A:$H,8,FALSE)))</f>
        <v>0.16250000000000001</v>
      </c>
      <c r="H16" s="329">
        <f>'1.PdT'!I31</f>
        <v>1140.5625</v>
      </c>
      <c r="I16" s="328">
        <f t="shared" si="0"/>
        <v>185.34140625000001</v>
      </c>
      <c r="J16" s="328">
        <f ca="1">I16*(1+Dados!$C$17)</f>
        <v>268.00367343750003</v>
      </c>
      <c r="K16" s="418" t="s">
        <v>667</v>
      </c>
      <c r="L16" s="333" t="s">
        <v>691</v>
      </c>
    </row>
    <row r="17" spans="1:17" ht="33.75">
      <c r="A17" s="442">
        <f t="shared" si="1"/>
        <v>1</v>
      </c>
      <c r="B17" s="340"/>
      <c r="C17" s="428" t="s">
        <v>550</v>
      </c>
      <c r="D17" s="324" t="s">
        <v>526</v>
      </c>
      <c r="E17" s="325" t="s">
        <v>547</v>
      </c>
      <c r="F17" s="413" t="s">
        <v>544</v>
      </c>
      <c r="G17" s="326">
        <f>I17/H17</f>
        <v>497.33333333333331</v>
      </c>
      <c r="H17" s="327">
        <f>IF(D17="PASSAGENS",SUMIFS('Diárias e Passagens'!K:K,'Diárias e Passagens'!A:A,A17),SUMIFS('Diárias e Passagens'!N:N,'Diárias e Passagens'!A:A,A17))</f>
        <v>3</v>
      </c>
      <c r="I17" s="328">
        <f>IF(D17="PASSAGENS",SUMIFS('Diárias e Passagens'!M:M,'Diárias e Passagens'!A:A,A17),SUMIFS('Diárias e Passagens'!P:P,'Diárias e Passagens'!A:A,A17))</f>
        <v>1492</v>
      </c>
      <c r="J17" s="328">
        <f ca="1">I17*(1+Dados!$C$17)</f>
        <v>2157.4319999999998</v>
      </c>
      <c r="K17" s="419" t="s">
        <v>546</v>
      </c>
      <c r="L17" s="333" t="s">
        <v>545</v>
      </c>
    </row>
    <row r="18" spans="1:17" ht="25.5">
      <c r="A18" s="442">
        <f t="shared" si="1"/>
        <v>1</v>
      </c>
      <c r="B18" s="340"/>
      <c r="C18" s="341"/>
      <c r="D18" s="324" t="s">
        <v>351</v>
      </c>
      <c r="E18" s="325" t="s">
        <v>548</v>
      </c>
      <c r="F18" s="413" t="s">
        <v>543</v>
      </c>
      <c r="G18" s="326">
        <f>I18/H18</f>
        <v>600</v>
      </c>
      <c r="H18" s="327">
        <f>IF(D18="PASSAGENS",SUMIFS('Diárias e Passagens'!K:K,'Diárias e Passagens'!A:A,A18),SUMIFS('Diárias e Passagens'!N:N,'Diárias e Passagens'!A:A,A18))</f>
        <v>10.5</v>
      </c>
      <c r="I18" s="328">
        <f>IF(D18="PASSAGENS",SUMIFS('Diárias e Passagens'!M:M,'Diárias e Passagens'!A:A,A18),SUMIFS('Diárias e Passagens'!P:P,'Diárias e Passagens'!A:A,A18))</f>
        <v>6300</v>
      </c>
      <c r="J18" s="328">
        <f ca="1">I18*(1+Dados!$C$17)</f>
        <v>9109.7999999999993</v>
      </c>
      <c r="K18" s="419" t="str">
        <f>Diárias!$I$6</f>
        <v>DECRETO Nº 11.872, DE 29 DE DEZEMBRO DE 2023</v>
      </c>
      <c r="L18" s="333" t="s">
        <v>553</v>
      </c>
      <c r="Q18" s="330"/>
    </row>
    <row r="19" spans="1:17" ht="15">
      <c r="A19" s="442">
        <v>2</v>
      </c>
      <c r="B19" s="511">
        <f>A19</f>
        <v>2</v>
      </c>
      <c r="C19" s="335" t="str">
        <f>'Cronograma'!C5</f>
        <v>EVTEA - Segmento 1 - Brasília (DF) - Luziânia (GO)</v>
      </c>
      <c r="D19" s="319"/>
      <c r="E19" s="320"/>
      <c r="F19" s="412"/>
      <c r="G19" s="321"/>
      <c r="H19" s="322"/>
      <c r="I19" s="323">
        <f>I20+I119+I218</f>
        <v>1948902.8597262502</v>
      </c>
      <c r="J19" s="323">
        <f ca="1">J20+J41+J52+J66+J76+J83+J95+J104+J113</f>
        <v>1928269.7655276761</v>
      </c>
      <c r="K19" s="417"/>
      <c r="L19" s="423"/>
    </row>
    <row r="20" spans="1:17" ht="15">
      <c r="A20" s="442" t="str">
        <f>$A$19&amp;".1"</f>
        <v>2.1</v>
      </c>
      <c r="B20" s="512" t="str">
        <f>A20</f>
        <v>2.1</v>
      </c>
      <c r="C20" s="344" t="str">
        <f>'Cronograma'!C12</f>
        <v>Dimensão de Mercado e Demanda (EMD)</v>
      </c>
      <c r="D20" s="319"/>
      <c r="E20" s="320"/>
      <c r="F20" s="412"/>
      <c r="G20" s="321"/>
      <c r="H20" s="322"/>
      <c r="I20" s="323">
        <f>SUM(I21:I40)</f>
        <v>649634.28657541669</v>
      </c>
      <c r="J20" s="323">
        <f ca="1">SUM(J21:J40)</f>
        <v>939371.17838805239</v>
      </c>
      <c r="K20" s="417"/>
      <c r="L20" s="423"/>
    </row>
    <row r="21" spans="1:17" ht="15">
      <c r="A21" s="442" t="str">
        <f>$A$20&amp;".1"</f>
        <v>2.1.1</v>
      </c>
      <c r="B21" s="512" t="str">
        <f>A21</f>
        <v>2.1.1</v>
      </c>
      <c r="C21" s="344" t="str">
        <f>C20&amp;" - Pesquisa de Campo"</f>
        <v>Dimensão de Mercado e Demanda (EMD) - Pesquisa de Campo</v>
      </c>
      <c r="D21" s="319"/>
      <c r="E21" s="320"/>
      <c r="F21" s="412"/>
      <c r="G21" s="321"/>
      <c r="H21" s="322"/>
      <c r="I21" s="323"/>
      <c r="J21" s="323"/>
      <c r="K21" s="417"/>
      <c r="L21" s="423"/>
    </row>
    <row r="22" spans="1:17">
      <c r="A22" s="442" t="str">
        <f>A21</f>
        <v>2.1.1</v>
      </c>
      <c r="B22" s="336"/>
      <c r="C22" s="337" t="str">
        <f>'2.1.1.EMD.Campo'!B18</f>
        <v>P8025</v>
      </c>
      <c r="D22" s="324" t="s">
        <v>350</v>
      </c>
      <c r="E22" s="325" t="str">
        <f>IF(D22="PESSOAL",VLOOKUP($C22,'TC 10-2023'!$B:$Z,2,FALSE), IF(D22="EQUIPAMENTOS",VLOOKUP($C22,Equip.Info!A:I,2,FALSE),VLOOKUP($C22,Mat.Info!A:H,2,FALSE)))</f>
        <v>Auxiliar</v>
      </c>
      <c r="F22" s="413" t="str">
        <f t="shared" ref="F22:F26" si="3">IF(D22="PESSOAL","mês", IF(OR(D22="EQUIPAMENTOS",D22="MATERIAL"),"h",""))</f>
        <v>mês</v>
      </c>
      <c r="G22" s="326">
        <f>IF($D22="PESSOAL",VLOOKUP($C22,'TC 10-2023'!$B:$Z,25,FALSE), IF($D22="EQUIPAMENTOS",VLOOKUP($C22,Equip.Info!$A:$I,8,FALSE),VLOOKUP($C22,Mat.Info!$A:$H,8,FALSE)))</f>
        <v>3818.09</v>
      </c>
      <c r="H22" s="326">
        <f>'2.1.1.EMD.Campo'!H18</f>
        <v>50</v>
      </c>
      <c r="I22" s="328">
        <f t="shared" ref="I22:I26" si="4">G22*H22</f>
        <v>190904.5</v>
      </c>
      <c r="J22" s="328">
        <f ca="1">I22*(1+Dados!$C$17)</f>
        <v>276047.90700000001</v>
      </c>
      <c r="K22" s="418" t="str">
        <f>"DNIT "&amp;TEXT(Dados!$C$16,"mmm/aa")</f>
        <v>DNIT out/23</v>
      </c>
      <c r="L22" s="333" t="str">
        <f>'2.1.1.EMD.Campo'!G18&amp;" "&amp;'2.1.1.EMD.Campo'!C18&amp;" por mês"</f>
        <v>25 Auxiliar por mês</v>
      </c>
    </row>
    <row r="23" spans="1:17">
      <c r="A23" s="442" t="str">
        <f>A22</f>
        <v>2.1.1</v>
      </c>
      <c r="B23" s="336"/>
      <c r="C23" s="337" t="str">
        <f>'2.1.1.EMD.Campo'!B19</f>
        <v>P8155</v>
      </c>
      <c r="D23" s="324" t="s">
        <v>350</v>
      </c>
      <c r="E23" s="325" t="str">
        <f>IF(D23="PESSOAL",VLOOKUP($C23,'TC 10-2023'!$B:$Z,2,FALSE), IF(D23="EQUIPAMENTOS",VLOOKUP($C23,Equip.Info!A:I,2,FALSE),VLOOKUP($C23,Mat.Info!A:H,2,FALSE)))</f>
        <v>Técnico em geoprocessamento</v>
      </c>
      <c r="F23" s="413" t="str">
        <f t="shared" ref="F23:F24" si="5">IF(D23="PESSOAL","mês", IF(OR(D23="EQUIPAMENTOS",D23="MATERIAL"),"h",""))</f>
        <v>mês</v>
      </c>
      <c r="G23" s="326">
        <f>IF($D23="PESSOAL",VLOOKUP($C23,'TC 10-2023'!$B:$Z,25,FALSE), IF($D23="EQUIPAMENTOS",VLOOKUP($C23,Equip.Info!$A:$I,8,FALSE),VLOOKUP($C23,Mat.Info!$A:$H,8,FALSE)))</f>
        <v>5747.99</v>
      </c>
      <c r="H23" s="326">
        <f>'2.1.1.EMD.Campo'!H19</f>
        <v>8</v>
      </c>
      <c r="I23" s="328">
        <f t="shared" ref="I23:I24" si="6">G23*H23</f>
        <v>45983.92</v>
      </c>
      <c r="J23" s="328">
        <f ca="1">I23*(1+Dados!$C$17)</f>
        <v>66492.748319999999</v>
      </c>
      <c r="K23" s="418" t="str">
        <f>"DNIT "&amp;TEXT(Dados!$C$16,"mmm/aa")</f>
        <v>DNIT out/23</v>
      </c>
      <c r="L23" s="333" t="str">
        <f>'2.1.1.EMD.Campo'!G19&amp;" "&amp;'2.1.1.EMD.Campo'!C19&amp;" por mês"</f>
        <v>4 Técnico em geoprocessamento por mês</v>
      </c>
    </row>
    <row r="24" spans="1:17">
      <c r="A24" s="442" t="str">
        <f t="shared" ref="A24:A25" si="7">A22</f>
        <v>2.1.1</v>
      </c>
      <c r="B24" s="336"/>
      <c r="C24" s="337" t="str">
        <f>'2.1.1.EMD.Campo'!B20</f>
        <v>P8061</v>
      </c>
      <c r="D24" s="324" t="s">
        <v>350</v>
      </c>
      <c r="E24" s="325" t="str">
        <f>IF(D24="PESSOAL",VLOOKUP($C24,'TC 10-2023'!$B:$Z,2,FALSE), IF(D24="EQUIPAMENTOS",VLOOKUP($C24,Equip.Info!A:I,2,FALSE),VLOOKUP($C24,Mat.Info!A:H,2,FALSE)))</f>
        <v>Engenheiro coordenador</v>
      </c>
      <c r="F24" s="413" t="str">
        <f t="shared" si="5"/>
        <v>mês</v>
      </c>
      <c r="G24" s="326">
        <f>IF($D24="PESSOAL",VLOOKUP($C24,'TC 10-2023'!$B:$Z,25,FALSE), IF($D24="EQUIPAMENTOS",VLOOKUP($C24,Equip.Info!$A:$I,8,FALSE),VLOOKUP($C24,Mat.Info!$A:$H,8,FALSE)))</f>
        <v>31759.96</v>
      </c>
      <c r="H24" s="326">
        <f>'2.1.1.EMD.Campo'!H20</f>
        <v>2</v>
      </c>
      <c r="I24" s="328">
        <f t="shared" si="6"/>
        <v>63519.92</v>
      </c>
      <c r="J24" s="328">
        <f ca="1">I24*(1+Dados!$C$17)</f>
        <v>91849.804319999996</v>
      </c>
      <c r="K24" s="418" t="str">
        <f>"DNIT "&amp;TEXT(Dados!$C$16,"mmm/aa")</f>
        <v>DNIT out/23</v>
      </c>
      <c r="L24" s="333" t="str">
        <f>'2.1.1.EMD.Campo'!G20&amp;" "&amp;'2.1.1.EMD.Campo'!C20&amp;" por mês"</f>
        <v>1 Engenheiro coordenador por mês</v>
      </c>
    </row>
    <row r="25" spans="1:17">
      <c r="A25" s="442" t="str">
        <f t="shared" si="7"/>
        <v>2.1.1</v>
      </c>
      <c r="B25" s="338"/>
      <c r="C25" s="339" t="str">
        <f>'2.1.1.EMD.Campo'!$B$12</f>
        <v>EQSF002</v>
      </c>
      <c r="D25" s="324" t="s">
        <v>352</v>
      </c>
      <c r="E25" s="325" t="str">
        <f>IF(D25="PESSOAL",VLOOKUP($C25,'TC 10-2023'!$B:$Z,2,FALSE), IF(D25="EQUIPAMENTOS",VLOOKUP($C25,Equip.Info!A:I,2,FALSE),VLOOKUP($C25,Mat.Info!A:H,2,FALSE)))</f>
        <v>Laptop completo, processador Intel Core i5, 16GB memória, Resolução 3.840x2.160 (4K), PV GPU de 4GB e Sistema Operacional.</v>
      </c>
      <c r="F25" s="413" t="str">
        <f t="shared" si="3"/>
        <v>h</v>
      </c>
      <c r="G25" s="326">
        <f>IF($D25="PESSOAL",VLOOKUP($C25,'TC 10-2023'!$B:$Z,25,FALSE), IF($D25="EQUIPAMENTOS",VLOOKUP($C25,Equip.Info!$A:$I,8,FALSE),VLOOKUP($C25,Mat.Info!$A:$H,8,FALSE)))</f>
        <v>0.217</v>
      </c>
      <c r="H25" s="329">
        <f>'2.1.1.EMD.Campo'!F12</f>
        <v>10949.4</v>
      </c>
      <c r="I25" s="328">
        <f t="shared" si="4"/>
        <v>2376.0198</v>
      </c>
      <c r="J25" s="328">
        <f ca="1">I25*(1+Dados!$C$17)</f>
        <v>3435.7246307999999</v>
      </c>
      <c r="K25" s="418" t="s">
        <v>667</v>
      </c>
      <c r="L25" s="333" t="s">
        <v>451</v>
      </c>
    </row>
    <row r="26" spans="1:17">
      <c r="A26" s="442" t="str">
        <f t="shared" si="1"/>
        <v>2.1.1</v>
      </c>
      <c r="B26" s="338"/>
      <c r="C26" s="339" t="str">
        <f>'2.1.1.EMD.Campo'!$B$31</f>
        <v>MTSF001</v>
      </c>
      <c r="D26" s="324" t="s">
        <v>448</v>
      </c>
      <c r="E26" s="325" t="str">
        <f>IF(D26="PESSOAL",VLOOKUP($C26,'TC 10-2023'!$B:$Z,2,FALSE), IF(D26="EQUIPAMENTOS",VLOOKUP($C26,Equip.Info!A:I,2,FALSE),VLOOKUP($C26,Mat.Info!A:H,2,FALSE)))</f>
        <v>Pacote Microsoft 365 Business Basic</v>
      </c>
      <c r="F26" s="413" t="str">
        <f t="shared" si="3"/>
        <v>h</v>
      </c>
      <c r="G26" s="326">
        <f>IF($D26="PESSOAL",VLOOKUP($C26,'TC 10-2023'!$B:$Z,25,FALSE), IF($D26="EQUIPAMENTOS",VLOOKUP($C26,Equip.Info!$A:$I,8,FALSE),VLOOKUP($C26,Mat.Info!$A:$H,8,FALSE)))</f>
        <v>0.16250000000000001</v>
      </c>
      <c r="H26" s="329">
        <f>'2.1.1.EMD.Campo'!I31</f>
        <v>10949.4</v>
      </c>
      <c r="I26" s="328">
        <f t="shared" si="4"/>
        <v>1779.2774999999999</v>
      </c>
      <c r="J26" s="328">
        <f ca="1">I26*(1+Dados!$C$17)</f>
        <v>2572.8352649999997</v>
      </c>
      <c r="K26" s="418" t="s">
        <v>667</v>
      </c>
      <c r="L26" s="333" t="s">
        <v>691</v>
      </c>
    </row>
    <row r="27" spans="1:17">
      <c r="A27" s="442" t="str">
        <f t="shared" si="1"/>
        <v>2.1.1</v>
      </c>
      <c r="B27" s="439"/>
      <c r="C27" s="440" t="str">
        <f>'Inspeção-Veículo'!B9</f>
        <v>E8887</v>
      </c>
      <c r="D27" s="324" t="s">
        <v>561</v>
      </c>
      <c r="E27" s="325" t="str">
        <f>VLOOKUP(A27,'Inspeção-Veículo'!$A$9:$O$17,4,0)</f>
        <v>Veículo tipo van furgão com capacidade de 1,38 t - 100 kW (com motorista)</v>
      </c>
      <c r="F27" s="413" t="s">
        <v>299</v>
      </c>
      <c r="G27" s="326"/>
      <c r="H27" s="329"/>
      <c r="I27" s="328">
        <f>VLOOKUP(A27,'Inspeção-Veículo'!$A$9:$O$17,15,0)</f>
        <v>27993.727500000001</v>
      </c>
      <c r="J27" s="328">
        <f ca="1">I27*(1+Dados!$C$17)</f>
        <v>40478.929965000003</v>
      </c>
      <c r="K27" s="418" t="str">
        <f>"DNIT "&amp;TEXT(Dados!$C$16,"mmm/aa")</f>
        <v>DNIT out/23</v>
      </c>
      <c r="L27" s="333" t="str">
        <f>"Custo produtivo e improdutivo DNIT, considerando "&amp;'Inspeção-Veículo'!I9&amp;" de utilização produtiva."</f>
        <v>Custo produtivo e improdutivo DNIT, considerando 0,5 de utilização produtiva.</v>
      </c>
    </row>
    <row r="28" spans="1:17" ht="25.5">
      <c r="A28" s="442" t="str">
        <f t="shared" si="1"/>
        <v>2.1.1</v>
      </c>
      <c r="B28" s="340"/>
      <c r="C28" s="428" t="s">
        <v>734</v>
      </c>
      <c r="D28" s="324" t="s">
        <v>526</v>
      </c>
      <c r="E28" s="325" t="s">
        <v>547</v>
      </c>
      <c r="F28" s="413" t="s">
        <v>544</v>
      </c>
      <c r="G28" s="326">
        <f>I28/H28</f>
        <v>497.33333333333331</v>
      </c>
      <c r="H28" s="327">
        <f>IF(D28="PASSAGENS",SUMIFS('Diárias e Passagens'!K:K,'Diárias e Passagens'!A:A,A28),SUMIFS('Diárias e Passagens'!N:N,'Diárias e Passagens'!A:A,A28))</f>
        <v>6</v>
      </c>
      <c r="I28" s="328">
        <f>IF(D28="PASSAGENS",SUMIFS('Diárias e Passagens'!M:M,'Diárias e Passagens'!A:A,A28),SUMIFS('Diárias e Passagens'!P:P,'Diárias e Passagens'!A:A,A28))</f>
        <v>2984</v>
      </c>
      <c r="J28" s="328">
        <f ca="1">I28*(1+Dados!$C$17)</f>
        <v>4314.8639999999996</v>
      </c>
      <c r="K28" s="419" t="s">
        <v>546</v>
      </c>
      <c r="L28" s="333" t="s">
        <v>563</v>
      </c>
    </row>
    <row r="29" spans="1:17" ht="25.5">
      <c r="A29" s="442" t="str">
        <f t="shared" si="1"/>
        <v>2.1.1</v>
      </c>
      <c r="B29" s="340"/>
      <c r="C29" s="428" t="s">
        <v>734</v>
      </c>
      <c r="D29" s="324" t="s">
        <v>351</v>
      </c>
      <c r="E29" s="325" t="s">
        <v>548</v>
      </c>
      <c r="F29" s="413" t="s">
        <v>549</v>
      </c>
      <c r="G29" s="326">
        <f>I29/H29</f>
        <v>600</v>
      </c>
      <c r="H29" s="327">
        <f>IF(D29="PASSAGENS",SUMIFS('Diárias e Passagens'!K:K,'Diárias e Passagens'!A:A,A29),SUMIFS('Diárias e Passagens'!N:N,'Diárias e Passagens'!A:A,A29))</f>
        <v>33</v>
      </c>
      <c r="I29" s="328">
        <f>IF(D29="PASSAGENS",SUMIFS('Diárias e Passagens'!M:M,'Diárias e Passagens'!A:A,A29),SUMIFS('Diárias e Passagens'!P:P,'Diárias e Passagens'!A:A,A29))</f>
        <v>19800</v>
      </c>
      <c r="J29" s="328">
        <f ca="1">I29*(1+Dados!$C$17)</f>
        <v>28630.799999999999</v>
      </c>
      <c r="K29" s="419" t="str">
        <f>Diárias!$I$6</f>
        <v>DECRETO Nº 11.872, DE 29 DE DEZEMBRO DE 2023</v>
      </c>
      <c r="L29" s="333" t="s">
        <v>564</v>
      </c>
      <c r="Q29" s="330"/>
    </row>
    <row r="30" spans="1:17" ht="15">
      <c r="A30" s="442" t="str">
        <f>$A$20&amp;".2"</f>
        <v>2.1.2</v>
      </c>
      <c r="B30" s="343" t="str">
        <f>A30</f>
        <v>2.1.2</v>
      </c>
      <c r="C30" s="344" t="str">
        <f>C20&amp;" - Consolidação do Estudo"</f>
        <v>Dimensão de Mercado e Demanda (EMD) - Consolidação do Estudo</v>
      </c>
      <c r="D30" s="319"/>
      <c r="E30" s="320"/>
      <c r="F30" s="412"/>
      <c r="G30" s="321"/>
      <c r="H30" s="322"/>
      <c r="I30" s="323"/>
      <c r="J30" s="323"/>
      <c r="K30" s="417"/>
      <c r="L30" s="423"/>
    </row>
    <row r="31" spans="1:17">
      <c r="A31" s="442" t="str">
        <f>A30</f>
        <v>2.1.2</v>
      </c>
      <c r="B31" s="336"/>
      <c r="C31" s="337" t="str">
        <f>'2.1.2.EMD'!B18</f>
        <v>P8060</v>
      </c>
      <c r="D31" s="324" t="s">
        <v>350</v>
      </c>
      <c r="E31" s="325" t="str">
        <f>IF($D31="PESSOAL",VLOOKUP($C31,'TC 10-2023'!$B:$Z,2,FALSE), IF($D31="EQUIPAMENTOS",VLOOKUP($C31,Equip.Info!$A:$I,2,FALSE),VLOOKUP($C31,Mat.Info!$A:$H,2,FALSE)))</f>
        <v>Engenheiro consultor especial</v>
      </c>
      <c r="F31" s="413" t="str">
        <f>IF(D31="PESSOAL","mês", IF(OR(D31="EQUIPAMENTOS",D31="MATERIAL"),"h",""))</f>
        <v>mês</v>
      </c>
      <c r="G31" s="326">
        <f>IF($D31="PESSOAL",VLOOKUP($C31,'TC 10-2023'!$B:$Z,25,FALSE), IF($D31="EQUIPAMENTOS",VLOOKUP($C31,Equip.Info!$A:$I,8,FALSE),VLOOKUP($C31,Mat.Info!$A:$H,8,FALSE)))</f>
        <v>37906.68</v>
      </c>
      <c r="H31" s="326">
        <f>'2.1.2.EMD'!H18</f>
        <v>1.5</v>
      </c>
      <c r="I31" s="328">
        <f t="shared" ref="I31:I38" si="8">G31*H31</f>
        <v>56860.020000000004</v>
      </c>
      <c r="J31" s="328">
        <f ca="1">I31*(1+Dados!$C$17)</f>
        <v>82219.588920000009</v>
      </c>
      <c r="K31" s="418" t="str">
        <f>"DNIT "&amp;TEXT(Dados!$C$16,"mmm/aa")</f>
        <v>DNIT out/23</v>
      </c>
      <c r="L31" s="333" t="str">
        <f>'2.1.2.EMD'!G18&amp;" "&amp;'2.1.2.EMD'!C18&amp;" por mês"</f>
        <v>1 Engenheiro consultor especial por mês</v>
      </c>
    </row>
    <row r="32" spans="1:17">
      <c r="A32" s="442" t="str">
        <f t="shared" si="1"/>
        <v>2.1.2</v>
      </c>
      <c r="B32" s="336"/>
      <c r="C32" s="337" t="str">
        <f>'2.1.2.EMD'!B19</f>
        <v>P8067</v>
      </c>
      <c r="D32" s="324" t="s">
        <v>350</v>
      </c>
      <c r="E32" s="325" t="str">
        <f>IF($D32="PESSOAL",VLOOKUP($C32,'TC 10-2023'!$B:$Z,2,FALSE), IF($D32="EQUIPAMENTOS",VLOOKUP($C32,Equip.Info!$A:$I,2,FALSE),VLOOKUP($C32,Mat.Info!$A:$H,2,FALSE)))</f>
        <v>Engenheiro de projetos sênior</v>
      </c>
      <c r="F32" s="413" t="str">
        <f t="shared" ref="F32:F35" si="9">IF(D32="PESSOAL","mês", IF(OR(D32="EQUIPAMENTOS",D32="MATERIAL"),"h",""))</f>
        <v>mês</v>
      </c>
      <c r="G32" s="326">
        <f>IF($D32="PESSOAL",VLOOKUP($C32,'TC 10-2023'!$B:$Z,25,FALSE), IF($D32="EQUIPAMENTOS",VLOOKUP($C32,Equip.Info!$A:$I,8,FALSE),VLOOKUP($C32,Mat.Info!$A:$H,8,FALSE)))</f>
        <v>27604.86</v>
      </c>
      <c r="H32" s="326">
        <f>'2.1.2.EMD'!H19</f>
        <v>3</v>
      </c>
      <c r="I32" s="328">
        <f t="shared" ref="I32:I35" si="10">G32*H32</f>
        <v>82814.58</v>
      </c>
      <c r="J32" s="328">
        <f ca="1">I32*(1+Dados!$C$17)</f>
        <v>119749.88268</v>
      </c>
      <c r="K32" s="418" t="str">
        <f>"DNIT "&amp;TEXT(Dados!$C$16,"mmm/aa")</f>
        <v>DNIT out/23</v>
      </c>
      <c r="L32" s="333" t="str">
        <f>'2.1.2.EMD'!G19&amp;" "&amp;'2.1.2.EMD'!C19&amp;" por mês"</f>
        <v>1 Engenheiro de projetos sênior por mês</v>
      </c>
    </row>
    <row r="33" spans="1:17">
      <c r="A33" s="442" t="str">
        <f t="shared" si="1"/>
        <v>2.1.2</v>
      </c>
      <c r="B33" s="336"/>
      <c r="C33" s="337" t="str">
        <f>'2.1.2.EMD'!B20</f>
        <v>P8066</v>
      </c>
      <c r="D33" s="324" t="s">
        <v>350</v>
      </c>
      <c r="E33" s="325" t="str">
        <f>IF($D33="PESSOAL",VLOOKUP($C33,'TC 10-2023'!$B:$Z,2,FALSE), IF($D33="EQUIPAMENTOS",VLOOKUP($C33,Equip.Info!$A:$I,2,FALSE),VLOOKUP($C33,Mat.Info!$A:$H,2,FALSE)))</f>
        <v>Engenheiro de projetos pleno</v>
      </c>
      <c r="F33" s="413" t="str">
        <f t="shared" si="9"/>
        <v>mês</v>
      </c>
      <c r="G33" s="326">
        <f>IF($D33="PESSOAL",VLOOKUP($C33,'TC 10-2023'!$B:$Z,25,FALSE), IF($D33="EQUIPAMENTOS",VLOOKUP($C33,Equip.Info!$A:$I,8,FALSE),VLOOKUP($C33,Mat.Info!$A:$H,8,FALSE)))</f>
        <v>21969.16</v>
      </c>
      <c r="H33" s="326">
        <f>'2.1.2.EMD'!H20</f>
        <v>3</v>
      </c>
      <c r="I33" s="328">
        <f t="shared" si="10"/>
        <v>65907.48</v>
      </c>
      <c r="J33" s="328">
        <f ca="1">I33*(1+Dados!$C$17)</f>
        <v>95302.216079999984</v>
      </c>
      <c r="K33" s="418" t="str">
        <f>"DNIT "&amp;TEXT(Dados!$C$16,"mmm/aa")</f>
        <v>DNIT out/23</v>
      </c>
      <c r="L33" s="333" t="str">
        <f>'2.1.2.EMD'!G20&amp;" "&amp;'2.1.2.EMD'!C20&amp;" por mês"</f>
        <v>1 Engenheiro de projetos pleno por mês</v>
      </c>
    </row>
    <row r="34" spans="1:17">
      <c r="A34" s="442" t="str">
        <f>A33</f>
        <v>2.1.2</v>
      </c>
      <c r="B34" s="336"/>
      <c r="C34" s="337" t="str">
        <f>'2.1.2.EMD'!B21</f>
        <v>P8047</v>
      </c>
      <c r="D34" s="324" t="s">
        <v>350</v>
      </c>
      <c r="E34" s="325" t="str">
        <f>IF($D34="PESSOAL",VLOOKUP($C34,'TC 10-2023'!$B:$Z,2,FALSE), IF($D34="EQUIPAMENTOS",VLOOKUP($C34,Equip.Info!$A:$I,2,FALSE),VLOOKUP($C34,Mat.Info!$A:$H,2,FALSE)))</f>
        <v>Economista sênior</v>
      </c>
      <c r="F34" s="413" t="str">
        <f t="shared" si="9"/>
        <v>mês</v>
      </c>
      <c r="G34" s="326">
        <f>IF($D34="PESSOAL",VLOOKUP($C34,'TC 10-2023'!$B:$Z,25,FALSE), IF($D34="EQUIPAMENTOS",VLOOKUP($C34,Equip.Info!$A:$I,8,FALSE),VLOOKUP($C34,Mat.Info!$A:$H,8,FALSE)))</f>
        <v>19860.28</v>
      </c>
      <c r="H34" s="326">
        <f>'2.1.2.EMD'!H21</f>
        <v>3</v>
      </c>
      <c r="I34" s="328">
        <f t="shared" si="10"/>
        <v>59580.84</v>
      </c>
      <c r="J34" s="328">
        <f ca="1">I34*(1+Dados!$C$17)</f>
        <v>86153.894639999999</v>
      </c>
      <c r="K34" s="418" t="str">
        <f>"DNIT "&amp;TEXT(Dados!$C$16,"mmm/aa")</f>
        <v>DNIT out/23</v>
      </c>
      <c r="L34" s="333" t="str">
        <f>'2.1.2.EMD'!G21&amp;" "&amp;'2.1.2.EMD'!C21&amp;" por mês"</f>
        <v>1 Economista sênior por mês</v>
      </c>
    </row>
    <row r="35" spans="1:17">
      <c r="A35" s="442" t="str">
        <f t="shared" si="1"/>
        <v>2.1.2</v>
      </c>
      <c r="B35" s="336"/>
      <c r="C35" s="337" t="str">
        <f>'2.1.2.EMD'!B22</f>
        <v>P8061</v>
      </c>
      <c r="D35" s="324" t="s">
        <v>350</v>
      </c>
      <c r="E35" s="325" t="str">
        <f>IF($D35="PESSOAL",VLOOKUP($C35,'TC 10-2023'!$B:$Z,2,FALSE), IF($D35="EQUIPAMENTOS",VLOOKUP($C35,Equip.Info!$A:$I,2,FALSE),VLOOKUP($C35,Mat.Info!$A:$H,2,FALSE)))</f>
        <v>Engenheiro coordenador</v>
      </c>
      <c r="F35" s="413" t="str">
        <f t="shared" si="9"/>
        <v>mês</v>
      </c>
      <c r="G35" s="326">
        <f>IF($D35="PESSOAL",VLOOKUP($C35,'TC 10-2023'!$B:$Z,25,FALSE), IF($D35="EQUIPAMENTOS",VLOOKUP($C35,Equip.Info!$A:$I,8,FALSE),VLOOKUP($C35,Mat.Info!$A:$H,8,FALSE)))</f>
        <v>31759.96</v>
      </c>
      <c r="H35" s="326">
        <f>'2.1.2.EMD'!H22</f>
        <v>0.75</v>
      </c>
      <c r="I35" s="328">
        <f t="shared" si="10"/>
        <v>23819.97</v>
      </c>
      <c r="J35" s="328">
        <f ca="1">I35*(1+Dados!$C$17)</f>
        <v>34443.676619999998</v>
      </c>
      <c r="K35" s="418" t="str">
        <f>"DNIT "&amp;TEXT(Dados!$C$16,"mmm/aa")</f>
        <v>DNIT out/23</v>
      </c>
      <c r="L35" s="333" t="str">
        <f>'2.1.2.EMD'!G22&amp;" "&amp;'2.1.2.EMD'!C22&amp;" por mês"</f>
        <v>1 Engenheiro coordenador por mês</v>
      </c>
    </row>
    <row r="36" spans="1:17">
      <c r="A36" s="442" t="str">
        <f t="shared" si="1"/>
        <v>2.1.2</v>
      </c>
      <c r="B36" s="338"/>
      <c r="C36" s="339" t="str">
        <f>'2.1.2.EMD'!$B$12</f>
        <v>EQSF001</v>
      </c>
      <c r="D36" s="324" t="s">
        <v>352</v>
      </c>
      <c r="E36" s="325" t="str">
        <f>IF(D36="PESSOAL",VLOOKUP($C36,'TC 10-2023'!$B:$Z,2,FALSE), IF(D36="EQUIPAMENTOS",VLOOKUP($C36,Equip.Info!A:I,2,FALSE),VLOOKUP($C36,Mat.Info!A:H,2,FALSE)))</f>
        <v>Desktop completo, processador Intel Core i5, 16GB memória, Resolução 3.840x2.160 (4K), PV GPU de 4GB e Sistema Operacional.</v>
      </c>
      <c r="F36" s="413" t="str">
        <f t="shared" ref="F36:F38" si="11">IF(D36="PESSOAL","mês", IF(OR(D36="EQUIPAMENTOS",D36="MATERIAL"),"h",""))</f>
        <v>h</v>
      </c>
      <c r="G36" s="326">
        <f>IF($D36="PESSOAL",VLOOKUP($C36,'TC 10-2023'!$B:$Z,25,FALSE), IF($D36="EQUIPAMENTOS",VLOOKUP($C36,Equip.Info!$A:$I,8,FALSE),VLOOKUP($C36,Mat.Info!$A:$H,8,FALSE)))</f>
        <v>0.54349999999999998</v>
      </c>
      <c r="H36" s="329">
        <f>'2.1.2.EMD'!F12</f>
        <v>1642.41</v>
      </c>
      <c r="I36" s="328">
        <f t="shared" si="8"/>
        <v>892.64983500000005</v>
      </c>
      <c r="J36" s="328">
        <f ca="1">I36*(1+Dados!$C$17)</f>
        <v>1290.77166141</v>
      </c>
      <c r="K36" s="418" t="s">
        <v>667</v>
      </c>
      <c r="L36" s="333" t="s">
        <v>451</v>
      </c>
    </row>
    <row r="37" spans="1:17">
      <c r="A37" s="442" t="str">
        <f t="shared" si="1"/>
        <v>2.1.2</v>
      </c>
      <c r="B37" s="338"/>
      <c r="C37" s="339" t="str">
        <f>'2.1.2.EMD'!$B$13</f>
        <v>EQSF002</v>
      </c>
      <c r="D37" s="324" t="s">
        <v>352</v>
      </c>
      <c r="E37" s="325" t="str">
        <f>IF(D37="PESSOAL",VLOOKUP($C37,'TC 10-2023'!$B:$Z,2,FALSE), IF(D37="EQUIPAMENTOS",VLOOKUP($C37,Equip.Info!A:I,2,FALSE),VLOOKUP($C37,Mat.Info!A:H,2,FALSE)))</f>
        <v>Laptop completo, processador Intel Core i5, 16GB memória, Resolução 3.840x2.160 (4K), PV GPU de 4GB e Sistema Operacional.</v>
      </c>
      <c r="F37" s="413" t="str">
        <f t="shared" ref="F37" si="12">IF(D37="PESSOAL","mês", IF(OR(D37="EQUIPAMENTOS",D37="MATERIAL"),"h",""))</f>
        <v>h</v>
      </c>
      <c r="G37" s="326">
        <f>IF($D37="PESSOAL",VLOOKUP($C37,'TC 10-2023'!$B:$Z,25,FALSE), IF($D37="EQUIPAMENTOS",VLOOKUP($C37,Equip.Info!$A:$I,8,FALSE),VLOOKUP($C37,Mat.Info!$A:$H,8,FALSE)))</f>
        <v>0.217</v>
      </c>
      <c r="H37" s="329">
        <f>'2.1.2.EMD'!F13</f>
        <v>410.60250000000002</v>
      </c>
      <c r="I37" s="328">
        <f t="shared" ref="I37" si="13">G37*H37</f>
        <v>89.10074250000001</v>
      </c>
      <c r="J37" s="328">
        <f ca="1">I37*(1+Dados!$C$17)</f>
        <v>128.83967365500001</v>
      </c>
      <c r="K37" s="418" t="s">
        <v>667</v>
      </c>
      <c r="L37" s="333" t="s">
        <v>451</v>
      </c>
    </row>
    <row r="38" spans="1:17">
      <c r="A38" s="442" t="str">
        <f t="shared" si="1"/>
        <v>2.1.2</v>
      </c>
      <c r="B38" s="338"/>
      <c r="C38" s="339" t="str">
        <f>'2.1.2.EMD'!B$31</f>
        <v>MTSF001</v>
      </c>
      <c r="D38" s="324" t="s">
        <v>448</v>
      </c>
      <c r="E38" s="325" t="str">
        <f>IF(D38="PESSOAL",VLOOKUP($C38,'TC 10-2023'!$B:$Z,2,FALSE), IF(D38="EQUIPAMENTOS",VLOOKUP($C38,Equip.Info!A:I,2,FALSE),VLOOKUP($C38,Mat.Info!A:H,2,FALSE)))</f>
        <v>Pacote Microsoft 365 Business Basic</v>
      </c>
      <c r="F38" s="413" t="str">
        <f t="shared" si="11"/>
        <v>h</v>
      </c>
      <c r="G38" s="326">
        <f>IF($D38="PESSOAL",VLOOKUP($C38,'TC 10-2023'!$B:$Z,25,FALSE), IF($D38="EQUIPAMENTOS",VLOOKUP($C38,Equip.Info!$A:$I,8,FALSE),VLOOKUP($C38,Mat.Info!$A:$H,8,FALSE)))</f>
        <v>0.16250000000000001</v>
      </c>
      <c r="H38" s="329">
        <f>'2.1.2.EMD'!I31</f>
        <v>2053.0125000000003</v>
      </c>
      <c r="I38" s="328">
        <f t="shared" si="8"/>
        <v>333.61453125000008</v>
      </c>
      <c r="J38" s="328">
        <f ca="1">I38*(1+Dados!$C$17)</f>
        <v>482.40661218750012</v>
      </c>
      <c r="K38" s="418" t="s">
        <v>667</v>
      </c>
      <c r="L38" s="333" t="s">
        <v>691</v>
      </c>
    </row>
    <row r="39" spans="1:17" ht="33.75">
      <c r="A39" s="442" t="str">
        <f t="shared" si="1"/>
        <v>2.1.2</v>
      </c>
      <c r="B39" s="340"/>
      <c r="C39" s="428" t="s">
        <v>550</v>
      </c>
      <c r="D39" s="324" t="s">
        <v>526</v>
      </c>
      <c r="E39" s="325" t="s">
        <v>547</v>
      </c>
      <c r="F39" s="413" t="s">
        <v>544</v>
      </c>
      <c r="G39" s="326">
        <f>I39/H39</f>
        <v>497.33333333333331</v>
      </c>
      <c r="H39" s="327">
        <f>IF(D39="PASSAGENS",SUMIFS('Diárias e Passagens'!K:K,'Diárias e Passagens'!A:A,A39),SUMIFS('Diárias e Passagens'!N:N,'Diárias e Passagens'!A:A,A39))</f>
        <v>2</v>
      </c>
      <c r="I39" s="328">
        <f>IF(D39="PASSAGENS",SUMIFS('Diárias e Passagens'!M:M,'Diárias e Passagens'!A:A,A39),SUMIFS('Diárias e Passagens'!P:P,'Diárias e Passagens'!A:A,A39))</f>
        <v>994.66666666666663</v>
      </c>
      <c r="J39" s="328">
        <f ca="1">I39*(1+Dados!$C$17)</f>
        <v>1438.288</v>
      </c>
      <c r="K39" s="419" t="s">
        <v>546</v>
      </c>
      <c r="L39" s="333" t="s">
        <v>563</v>
      </c>
    </row>
    <row r="40" spans="1:17" ht="33.75">
      <c r="A40" s="442" t="str">
        <f t="shared" si="1"/>
        <v>2.1.2</v>
      </c>
      <c r="B40" s="340"/>
      <c r="C40" s="428" t="s">
        <v>550</v>
      </c>
      <c r="D40" s="324" t="s">
        <v>351</v>
      </c>
      <c r="E40" s="325" t="s">
        <v>548</v>
      </c>
      <c r="F40" s="413" t="s">
        <v>549</v>
      </c>
      <c r="G40" s="326">
        <f>I40/H40</f>
        <v>600</v>
      </c>
      <c r="H40" s="327">
        <f>IF(D40="PASSAGENS",SUMIFS('Diárias e Passagens'!K:K,'Diárias e Passagens'!A:A,A40),SUMIFS('Diárias e Passagens'!N:N,'Diárias e Passagens'!A:A,A40))</f>
        <v>5</v>
      </c>
      <c r="I40" s="328">
        <f>IF(D40="PASSAGENS",SUMIFS('Diárias e Passagens'!M:M,'Diárias e Passagens'!A:A,A40),SUMIFS('Diárias e Passagens'!P:P,'Diárias e Passagens'!A:A,A40))</f>
        <v>3000</v>
      </c>
      <c r="J40" s="328">
        <f ca="1">I40*(1+Dados!$C$17)</f>
        <v>4338</v>
      </c>
      <c r="K40" s="419" t="str">
        <f>Diárias!$I$6</f>
        <v>DECRETO Nº 11.872, DE 29 DE DEZEMBRO DE 2023</v>
      </c>
      <c r="L40" s="333" t="s">
        <v>564</v>
      </c>
      <c r="Q40" s="330"/>
    </row>
    <row r="41" spans="1:17" s="331" customFormat="1" ht="15">
      <c r="A41" s="442" t="str">
        <f>B41</f>
        <v>2.2</v>
      </c>
      <c r="B41" s="342" t="str">
        <f>'Cronograma'!B13</f>
        <v>2.2</v>
      </c>
      <c r="C41" s="342" t="str">
        <f>'Cronograma'!C13</f>
        <v>Dimensão de Engenharia (EEN)</v>
      </c>
      <c r="D41" s="319"/>
      <c r="E41" s="320"/>
      <c r="F41" s="412"/>
      <c r="G41" s="321"/>
      <c r="H41" s="322"/>
      <c r="I41" s="323">
        <f>SUM(I42:I51)</f>
        <v>158780.04337916669</v>
      </c>
      <c r="J41" s="323">
        <f ca="1">SUM(J42:J51)</f>
        <v>229595.94272627498</v>
      </c>
      <c r="K41" s="420"/>
      <c r="L41" s="424"/>
      <c r="Q41" s="332"/>
    </row>
    <row r="42" spans="1:17">
      <c r="A42" s="442" t="str">
        <f t="shared" ref="A42:A51" si="14">A41</f>
        <v>2.2</v>
      </c>
      <c r="B42" s="336"/>
      <c r="C42" s="337" t="str">
        <f>'2.2.EEN'!B18</f>
        <v>P8060</v>
      </c>
      <c r="D42" s="324" t="s">
        <v>350</v>
      </c>
      <c r="E42" s="325" t="str">
        <f>IF(D42="PESSOAL",VLOOKUP($C42,'TC 10-2023'!$B:$Z,2,FALSE), IF(D42="EQUIPAMENTOS",VLOOKUP($C42,Equip.Info!A:I,2,FALSE),VLOOKUP($C42,Mat.Info!A:H,2,FALSE)))</f>
        <v>Engenheiro consultor especial</v>
      </c>
      <c r="F42" s="413" t="str">
        <f t="shared" ref="F42:F49" si="15">IF(D42="PESSOAL","mês", IF(OR(D42="EQUIPAMENTOS",D42="MATERIAL"),"h",""))</f>
        <v>mês</v>
      </c>
      <c r="G42" s="326">
        <f>IF($D42="PESSOAL",VLOOKUP($C42,'TC 10-2023'!$B:$Z,25,FALSE), IF($D42="EQUIPAMENTOS",VLOOKUP($C42,Equip.Info!$A:$I,8,FALSE),VLOOKUP($C42,Mat.Info!$A:$H,8,FALSE)))</f>
        <v>37906.68</v>
      </c>
      <c r="H42" s="326">
        <f>'2.2.EEN'!H18</f>
        <v>1</v>
      </c>
      <c r="I42" s="328">
        <f t="shared" ref="I42:I49" si="16">G42*H42</f>
        <v>37906.68</v>
      </c>
      <c r="J42" s="328">
        <f ca="1">I42*(1+Dados!$C$17)</f>
        <v>54813.059280000001</v>
      </c>
      <c r="K42" s="418" t="str">
        <f>"DNIT "&amp;TEXT(Dados!$C$16,"mmm/aa")</f>
        <v>DNIT out/23</v>
      </c>
      <c r="L42" s="333" t="str">
        <f>'2.2.EEN'!G18&amp;" "&amp;E42&amp;" por mês"</f>
        <v>1 Engenheiro consultor especial por mês</v>
      </c>
    </row>
    <row r="43" spans="1:17">
      <c r="A43" s="442" t="str">
        <f t="shared" si="14"/>
        <v>2.2</v>
      </c>
      <c r="B43" s="336"/>
      <c r="C43" s="337" t="str">
        <f>'2.2.EEN'!B19</f>
        <v>P8067</v>
      </c>
      <c r="D43" s="324" t="s">
        <v>350</v>
      </c>
      <c r="E43" s="325" t="str">
        <f>IF(D43="PESSOAL",VLOOKUP($C43,'TC 10-2023'!$B:$Z,2,FALSE), IF(D43="EQUIPAMENTOS",VLOOKUP($C43,Equip.Info!A:I,2,FALSE),VLOOKUP($C43,Mat.Info!A:H,2,FALSE)))</f>
        <v>Engenheiro de projetos sênior</v>
      </c>
      <c r="F43" s="413" t="str">
        <f t="shared" ref="F43:F45" si="17">IF(D43="PESSOAL","mês", IF(OR(D43="EQUIPAMENTOS",D43="MATERIAL"),"h",""))</f>
        <v>mês</v>
      </c>
      <c r="G43" s="326">
        <f>IF($D43="PESSOAL",VLOOKUP($C43,'TC 10-2023'!$B:$Z,25,FALSE), IF($D43="EQUIPAMENTOS",VLOOKUP($C43,Equip.Info!$A:$I,8,FALSE),VLOOKUP($C43,Mat.Info!$A:$H,8,FALSE)))</f>
        <v>27604.86</v>
      </c>
      <c r="H43" s="326">
        <f>'2.2.EEN'!H19</f>
        <v>2</v>
      </c>
      <c r="I43" s="328">
        <f t="shared" ref="I43:I45" si="18">G43*H43</f>
        <v>55209.72</v>
      </c>
      <c r="J43" s="328">
        <f ca="1">I43*(1+Dados!$C$17)</f>
        <v>79833.255120000002</v>
      </c>
      <c r="K43" s="418" t="str">
        <f>"DNIT "&amp;TEXT(Dados!$C$16,"mmm/aa")</f>
        <v>DNIT out/23</v>
      </c>
      <c r="L43" s="333" t="str">
        <f>'2.2.EEN'!G19&amp;" "&amp;E43&amp;" por mês"</f>
        <v>1 Engenheiro de projetos sênior por mês</v>
      </c>
    </row>
    <row r="44" spans="1:17">
      <c r="A44" s="442" t="str">
        <f t="shared" si="14"/>
        <v>2.2</v>
      </c>
      <c r="B44" s="336"/>
      <c r="C44" s="337" t="str">
        <f>'2.2.EEN'!B20</f>
        <v>P8066</v>
      </c>
      <c r="D44" s="324" t="s">
        <v>350</v>
      </c>
      <c r="E44" s="325" t="str">
        <f>IF(D44="PESSOAL",VLOOKUP($C44,'TC 10-2023'!$B:$Z,2,FALSE), IF(D44="EQUIPAMENTOS",VLOOKUP($C44,Equip.Info!A:I,2,FALSE),VLOOKUP($C44,Mat.Info!A:H,2,FALSE)))</f>
        <v>Engenheiro de projetos pleno</v>
      </c>
      <c r="F44" s="413" t="str">
        <f t="shared" si="17"/>
        <v>mês</v>
      </c>
      <c r="G44" s="326">
        <f>IF($D44="PESSOAL",VLOOKUP($C44,'TC 10-2023'!$B:$Z,25,FALSE), IF($D44="EQUIPAMENTOS",VLOOKUP($C44,Equip.Info!$A:$I,8,FALSE),VLOOKUP($C44,Mat.Info!$A:$H,8,FALSE)))</f>
        <v>21969.16</v>
      </c>
      <c r="H44" s="326">
        <f>'2.2.EEN'!H20</f>
        <v>2</v>
      </c>
      <c r="I44" s="328">
        <f t="shared" si="18"/>
        <v>43938.32</v>
      </c>
      <c r="J44" s="328">
        <f ca="1">I44*(1+Dados!$C$17)</f>
        <v>63534.810719999994</v>
      </c>
      <c r="K44" s="418" t="str">
        <f>"DNIT "&amp;TEXT(Dados!$C$16,"mmm/aa")</f>
        <v>DNIT out/23</v>
      </c>
      <c r="L44" s="333" t="str">
        <f>'2.2.EEN'!G20&amp;" "&amp;E44&amp;" por mês"</f>
        <v>1 Engenheiro de projetos pleno por mês</v>
      </c>
    </row>
    <row r="45" spans="1:17">
      <c r="A45" s="442" t="str">
        <f t="shared" si="14"/>
        <v>2.2</v>
      </c>
      <c r="B45" s="336"/>
      <c r="C45" s="337" t="str">
        <f>'2.2.EEN'!B21</f>
        <v>P8061</v>
      </c>
      <c r="D45" s="324" t="s">
        <v>350</v>
      </c>
      <c r="E45" s="325" t="str">
        <f>IF(D45="PESSOAL",VLOOKUP($C45,'TC 10-2023'!$B:$Z,2,FALSE), IF(D45="EQUIPAMENTOS",VLOOKUP($C45,Equip.Info!A:I,2,FALSE),VLOOKUP($C45,Mat.Info!A:H,2,FALSE)))</f>
        <v>Engenheiro coordenador</v>
      </c>
      <c r="F45" s="413" t="str">
        <f t="shared" si="17"/>
        <v>mês</v>
      </c>
      <c r="G45" s="326">
        <f>IF($D45="PESSOAL",VLOOKUP($C45,'TC 10-2023'!$B:$Z,25,FALSE), IF($D45="EQUIPAMENTOS",VLOOKUP($C45,Equip.Info!$A:$I,8,FALSE),VLOOKUP($C45,Mat.Info!$A:$H,8,FALSE)))</f>
        <v>31759.96</v>
      </c>
      <c r="H45" s="326">
        <f>'2.2.EEN'!H21</f>
        <v>0.5</v>
      </c>
      <c r="I45" s="328">
        <f t="shared" si="18"/>
        <v>15879.98</v>
      </c>
      <c r="J45" s="328">
        <f ca="1">I45*(1+Dados!$C$17)</f>
        <v>22962.451079999999</v>
      </c>
      <c r="K45" s="418" t="str">
        <f>"DNIT "&amp;TEXT(Dados!$C$16,"mmm/aa")</f>
        <v>DNIT out/23</v>
      </c>
      <c r="L45" s="333" t="str">
        <f>'2.2.EEN'!G21&amp;" "&amp;E45&amp;" por mês"</f>
        <v>1 Engenheiro coordenador por mês</v>
      </c>
    </row>
    <row r="46" spans="1:17">
      <c r="A46" s="442" t="str">
        <f t="shared" si="14"/>
        <v>2.2</v>
      </c>
      <c r="B46" s="338"/>
      <c r="C46" s="339" t="str">
        <f>'2.2.EEN'!$B12</f>
        <v>EQSF001</v>
      </c>
      <c r="D46" s="324" t="s">
        <v>352</v>
      </c>
      <c r="E46" s="325" t="str">
        <f>IF(D46="PESSOAL",VLOOKUP($C46,'TC 10-2023'!$B:$Z,2,FALSE), IF(D46="EQUIPAMENTOS",VLOOKUP($C46,Equip.Info!A:I,2,FALSE),VLOOKUP($C46,Mat.Info!A:H,2,FALSE)))</f>
        <v>Desktop completo, processador Intel Core i5, 16GB memória, Resolução 3.840x2.160 (4K), PV GPU de 4GB e Sistema Operacional.</v>
      </c>
      <c r="F46" s="413" t="str">
        <f t="shared" si="15"/>
        <v>h</v>
      </c>
      <c r="G46" s="326">
        <f>IF($D46="PESSOAL",VLOOKUP($C46,'TC 10-2023'!$B:$Z,25,FALSE), IF($D46="EQUIPAMENTOS",VLOOKUP($C46,Equip.Info!$A:$I,8,FALSE),VLOOKUP($C46,Mat.Info!$A:$H,8,FALSE)))</f>
        <v>0.54349999999999998</v>
      </c>
      <c r="H46" s="329">
        <f>'2.2.EEN'!F12</f>
        <v>729.96</v>
      </c>
      <c r="I46" s="328">
        <f t="shared" si="16"/>
        <v>396.73326000000003</v>
      </c>
      <c r="J46" s="328">
        <f ca="1">I46*(1+Dados!$C$17)</f>
        <v>573.67629396000007</v>
      </c>
      <c r="K46" s="418" t="s">
        <v>667</v>
      </c>
      <c r="L46" s="333" t="s">
        <v>451</v>
      </c>
    </row>
    <row r="47" spans="1:17">
      <c r="A47" s="442" t="str">
        <f t="shared" si="14"/>
        <v>2.2</v>
      </c>
      <c r="B47" s="338"/>
      <c r="C47" s="339" t="str">
        <f>'2.2.EEN'!$B13</f>
        <v>EQSF002</v>
      </c>
      <c r="D47" s="324" t="s">
        <v>352</v>
      </c>
      <c r="E47" s="325" t="str">
        <f>IF(D47="PESSOAL",VLOOKUP($C47,'TC 10-2023'!$B:$Z,2,FALSE), IF(D47="EQUIPAMENTOS",VLOOKUP($C47,Equip.Info!A:I,2,FALSE),VLOOKUP($C47,Mat.Info!A:H,2,FALSE)))</f>
        <v>Laptop completo, processador Intel Core i5, 16GB memória, Resolução 3.840x2.160 (4K), PV GPU de 4GB e Sistema Operacional.</v>
      </c>
      <c r="F47" s="413" t="str">
        <f t="shared" ref="F47" si="19">IF(D47="PESSOAL","mês", IF(OR(D47="EQUIPAMENTOS",D47="MATERIAL"),"h",""))</f>
        <v>h</v>
      </c>
      <c r="G47" s="326">
        <f>IF($D47="PESSOAL",VLOOKUP($C47,'TC 10-2023'!$B:$Z,25,FALSE), IF($D47="EQUIPAMENTOS",VLOOKUP($C47,Equip.Info!$A:$I,8,FALSE),VLOOKUP($C47,Mat.Info!$A:$H,8,FALSE)))</f>
        <v>0.217</v>
      </c>
      <c r="H47" s="329">
        <f>'2.2.EEN'!F13</f>
        <v>273.73500000000001</v>
      </c>
      <c r="I47" s="328">
        <f t="shared" ref="I47" si="20">G47*H47</f>
        <v>59.400494999999999</v>
      </c>
      <c r="J47" s="328">
        <f ca="1">I47*(1+Dados!$C$17)</f>
        <v>85.893115769999994</v>
      </c>
      <c r="K47" s="418" t="s">
        <v>667</v>
      </c>
      <c r="L47" s="333" t="s">
        <v>451</v>
      </c>
    </row>
    <row r="48" spans="1:17">
      <c r="A48" s="442" t="str">
        <f t="shared" si="14"/>
        <v>2.2</v>
      </c>
      <c r="B48" s="338"/>
      <c r="C48" s="339" t="str">
        <f>'2.2.EEN'!$B$31</f>
        <v>MTSF001</v>
      </c>
      <c r="D48" s="324" t="s">
        <v>448</v>
      </c>
      <c r="E48" s="325" t="str">
        <f>IF(D48="PESSOAL",VLOOKUP($C48,'TC 10-2023'!$B:$Z,2,FALSE), IF(D48="EQUIPAMENTOS",VLOOKUP($C48,Equip.Info!A:I,2,FALSE),VLOOKUP($C48,Mat.Info!A:H,2,FALSE)))</f>
        <v>Pacote Microsoft 365 Business Basic</v>
      </c>
      <c r="F48" s="413" t="str">
        <f t="shared" si="15"/>
        <v>h</v>
      </c>
      <c r="G48" s="326">
        <f>IF($D48="PESSOAL",VLOOKUP($C48,'TC 10-2023'!$B:$Z,25,FALSE), IF($D48="EQUIPAMENTOS",VLOOKUP($C48,Equip.Info!$A:$I,8,FALSE),VLOOKUP($C48,Mat.Info!$A:$H,8,FALSE)))</f>
        <v>0.16250000000000001</v>
      </c>
      <c r="H48" s="329">
        <f>'2.2.EEN'!I31</f>
        <v>1003.6950000000001</v>
      </c>
      <c r="I48" s="328">
        <f t="shared" si="16"/>
        <v>163.10043750000003</v>
      </c>
      <c r="J48" s="328">
        <f ca="1">I48*(1+Dados!$C$17)</f>
        <v>235.84323262500004</v>
      </c>
      <c r="K48" s="418" t="s">
        <v>667</v>
      </c>
      <c r="L48" s="333" t="s">
        <v>691</v>
      </c>
    </row>
    <row r="49" spans="1:17">
      <c r="A49" s="442" t="str">
        <f t="shared" si="14"/>
        <v>2.2</v>
      </c>
      <c r="B49" s="338"/>
      <c r="C49" s="339" t="str">
        <f>'2.2.EEN'!$B$32</f>
        <v>MTSF002</v>
      </c>
      <c r="D49" s="324" t="s">
        <v>448</v>
      </c>
      <c r="E49" s="325" t="str">
        <f>IF(D49="PESSOAL",VLOOKUP($C49,'TC 10-2023'!$B:$Z,2,FALSE), IF(D49="EQUIPAMENTOS",VLOOKUP($C49,Equip.Info!A:I,2,FALSE),VLOOKUP($C49,Mat.Info!A:H,2,FALSE)))</f>
        <v>Software CAD para MAC/Windows 64bits</v>
      </c>
      <c r="F49" s="413" t="str">
        <f t="shared" si="15"/>
        <v>h</v>
      </c>
      <c r="G49" s="326">
        <f>IF($D49="PESSOAL",VLOOKUP($C49,'TC 10-2023'!$B:$Z,25,FALSE), IF($D49="EQUIPAMENTOS",VLOOKUP($C49,Equip.Info!$A:$I,8,FALSE),VLOOKUP($C49,Mat.Info!$A:$H,8,FALSE)))</f>
        <v>3.3740000000000001</v>
      </c>
      <c r="H49" s="329">
        <f>'2.2.EEN'!I32</f>
        <v>364.98</v>
      </c>
      <c r="I49" s="328">
        <f t="shared" si="16"/>
        <v>1231.4425200000001</v>
      </c>
      <c r="J49" s="328">
        <f ca="1">I49*(1+Dados!$C$17)</f>
        <v>1780.6658839199999</v>
      </c>
      <c r="K49" s="418" t="s">
        <v>667</v>
      </c>
      <c r="L49" s="333" t="s">
        <v>565</v>
      </c>
    </row>
    <row r="50" spans="1:17" ht="33.75">
      <c r="A50" s="442" t="str">
        <f t="shared" si="14"/>
        <v>2.2</v>
      </c>
      <c r="B50" s="340"/>
      <c r="C50" s="428" t="s">
        <v>550</v>
      </c>
      <c r="D50" s="324" t="s">
        <v>526</v>
      </c>
      <c r="E50" s="325" t="s">
        <v>547</v>
      </c>
      <c r="F50" s="413" t="s">
        <v>544</v>
      </c>
      <c r="G50" s="326">
        <f>I50/H50</f>
        <v>497.33333333333331</v>
      </c>
      <c r="H50" s="327">
        <f>IF(D50="PASSAGENS",SUMIFS('Diárias e Passagens'!K:K,'Diárias e Passagens'!A:A,A50),SUMIFS('Diárias e Passagens'!N:N,'Diárias e Passagens'!A:A,A50))</f>
        <v>2</v>
      </c>
      <c r="I50" s="328">
        <f>IF(D50="PASSAGENS",SUMIFS('Diárias e Passagens'!M:M,'Diárias e Passagens'!A:A,A50),SUMIFS('Diárias e Passagens'!P:P,'Diárias e Passagens'!A:A,A50))</f>
        <v>994.66666666666663</v>
      </c>
      <c r="J50" s="328">
        <f ca="1">I50*(1+Dados!$C$17)</f>
        <v>1438.288</v>
      </c>
      <c r="K50" s="419" t="s">
        <v>546</v>
      </c>
      <c r="L50" s="333" t="s">
        <v>563</v>
      </c>
    </row>
    <row r="51" spans="1:17" ht="33.75">
      <c r="A51" s="442" t="str">
        <f t="shared" si="14"/>
        <v>2.2</v>
      </c>
      <c r="B51" s="340"/>
      <c r="C51" s="428" t="s">
        <v>550</v>
      </c>
      <c r="D51" s="324" t="s">
        <v>351</v>
      </c>
      <c r="E51" s="325" t="s">
        <v>548</v>
      </c>
      <c r="F51" s="413" t="s">
        <v>543</v>
      </c>
      <c r="G51" s="326">
        <f>I51/H51</f>
        <v>600</v>
      </c>
      <c r="H51" s="327">
        <f>IF(D51="PASSAGENS",SUMIFS('Diárias e Passagens'!K:K,'Diárias e Passagens'!A:A,A51),SUMIFS('Diárias e Passagens'!N:N,'Diárias e Passagens'!A:A,A51))</f>
        <v>5</v>
      </c>
      <c r="I51" s="328">
        <f>IF(D51="PASSAGENS",SUMIFS('Diárias e Passagens'!M:M,'Diárias e Passagens'!A:A,A51),SUMIFS('Diárias e Passagens'!P:P,'Diárias e Passagens'!A:A,A51))</f>
        <v>3000</v>
      </c>
      <c r="J51" s="328">
        <f ca="1">I51*(1+Dados!$C$17)</f>
        <v>4338</v>
      </c>
      <c r="K51" s="419" t="str">
        <f>Diárias!$I$6</f>
        <v>DECRETO Nº 11.872, DE 29 DE DEZEMBRO DE 2023</v>
      </c>
      <c r="L51" s="333" t="s">
        <v>564</v>
      </c>
    </row>
    <row r="52" spans="1:17" ht="15">
      <c r="A52" s="442" t="str">
        <f>B52</f>
        <v>2.3</v>
      </c>
      <c r="B52" s="342" t="str">
        <f>'Cronograma'!B14</f>
        <v>2.3</v>
      </c>
      <c r="C52" s="342" t="str">
        <f>'Cronograma'!C14</f>
        <v>Dimensão Operacional (EOP)</v>
      </c>
      <c r="D52" s="319"/>
      <c r="E52" s="320"/>
      <c r="F52" s="412"/>
      <c r="G52" s="321"/>
      <c r="H52" s="322"/>
      <c r="I52" s="323">
        <f>SUM(I53:I65)</f>
        <v>171472.65515916666</v>
      </c>
      <c r="J52" s="323">
        <f ca="1">SUM(J53:J65)</f>
        <v>247949.45936015499</v>
      </c>
      <c r="K52" s="420"/>
      <c r="L52" s="425"/>
    </row>
    <row r="53" spans="1:17">
      <c r="A53" s="442" t="str">
        <f t="shared" ref="A53:A61" si="21">A52</f>
        <v>2.3</v>
      </c>
      <c r="B53" s="336"/>
      <c r="C53" s="337" t="str">
        <f>'2.3.EOP'!B18</f>
        <v>P8060</v>
      </c>
      <c r="D53" s="324" t="s">
        <v>350</v>
      </c>
      <c r="E53" s="325" t="str">
        <f>IF(D53="PESSOAL",VLOOKUP($C53,'TC 10-2023'!$B:$Z,2,FALSE), IF(D53="EQUIPAMENTOS",VLOOKUP($C53,Equip.Info!A:I,2,FALSE),VLOOKUP($C53,Mat.Info!A:H,2,FALSE)))</f>
        <v>Engenheiro consultor especial</v>
      </c>
      <c r="F53" s="413" t="str">
        <f t="shared" ref="F53:F59" si="22">IF(D53="PESSOAL","mês", IF(OR(D53="EQUIPAMENTOS",D53="MATERIAL"),"h",""))</f>
        <v>mês</v>
      </c>
      <c r="G53" s="326">
        <f>IF($D53="PESSOAL",VLOOKUP($C53,'TC 10-2023'!$B:$Z,25,FALSE), IF($D53="EQUIPAMENTOS",VLOOKUP($C53,Equip.Info!$A:$I,8,FALSE),VLOOKUP($C53,Mat.Info!$A:$H,8,FALSE)))</f>
        <v>37906.68</v>
      </c>
      <c r="H53" s="326">
        <f>'2.3.EOP'!H18</f>
        <v>1</v>
      </c>
      <c r="I53" s="328">
        <f t="shared" ref="I53:I59" si="23">G53*H53</f>
        <v>37906.68</v>
      </c>
      <c r="J53" s="328">
        <f ca="1">I53*(1+Dados!$C$17)</f>
        <v>54813.059280000001</v>
      </c>
      <c r="K53" s="418" t="str">
        <f>"DNIT "&amp;TEXT(Dados!$C$16,"mmm/aa")</f>
        <v>DNIT out/23</v>
      </c>
      <c r="L53" s="333" t="str">
        <f>'2.3.EOP'!G18&amp;" "&amp;E53&amp;" por mês"</f>
        <v>1 Engenheiro consultor especial por mês</v>
      </c>
    </row>
    <row r="54" spans="1:17">
      <c r="A54" s="442" t="str">
        <f t="shared" si="21"/>
        <v>2.3</v>
      </c>
      <c r="B54" s="336"/>
      <c r="C54" s="337" t="str">
        <f>'2.3.EOP'!B19</f>
        <v>P8067</v>
      </c>
      <c r="D54" s="324" t="s">
        <v>350</v>
      </c>
      <c r="E54" s="325" t="str">
        <f>IF(D54="PESSOAL",VLOOKUP($C54,'TC 10-2023'!$B:$Z,2,FALSE), IF(D54="EQUIPAMENTOS",VLOOKUP($C54,Equip.Info!A:I,2,FALSE),VLOOKUP($C54,Mat.Info!A:H,2,FALSE)))</f>
        <v>Engenheiro de projetos sênior</v>
      </c>
      <c r="F54" s="413" t="str">
        <f t="shared" ref="F54:F56" si="24">IF(D54="PESSOAL","mês", IF(OR(D54="EQUIPAMENTOS",D54="MATERIAL"),"h",""))</f>
        <v>mês</v>
      </c>
      <c r="G54" s="326">
        <f>IF($D54="PESSOAL",VLOOKUP($C54,'TC 10-2023'!$B:$Z,25,FALSE), IF($D54="EQUIPAMENTOS",VLOOKUP($C54,Equip.Info!$A:$I,8,FALSE),VLOOKUP($C54,Mat.Info!$A:$H,8,FALSE)))</f>
        <v>27604.86</v>
      </c>
      <c r="H54" s="326">
        <f>'2.3.EOP'!H19</f>
        <v>2</v>
      </c>
      <c r="I54" s="328">
        <f t="shared" ref="I54:I56" si="25">G54*H54</f>
        <v>55209.72</v>
      </c>
      <c r="J54" s="328">
        <f ca="1">I54*(1+Dados!$C$17)</f>
        <v>79833.255120000002</v>
      </c>
      <c r="K54" s="418" t="str">
        <f>"DNIT "&amp;TEXT(Dados!$C$16,"mmm/aa")</f>
        <v>DNIT out/23</v>
      </c>
      <c r="L54" s="333" t="str">
        <f>'2.3.EOP'!G19&amp;" "&amp;E54&amp;" por mês"</f>
        <v>1 Engenheiro de projetos sênior por mês</v>
      </c>
    </row>
    <row r="55" spans="1:17">
      <c r="A55" s="442" t="str">
        <f t="shared" si="21"/>
        <v>2.3</v>
      </c>
      <c r="B55" s="336"/>
      <c r="C55" s="337" t="str">
        <f>'2.3.EOP'!B20</f>
        <v>P8066</v>
      </c>
      <c r="D55" s="324" t="s">
        <v>350</v>
      </c>
      <c r="E55" s="325" t="str">
        <f>IF(D55="PESSOAL",VLOOKUP($C55,'TC 10-2023'!$B:$Z,2,FALSE), IF(D55="EQUIPAMENTOS",VLOOKUP($C55,Equip.Info!A:I,2,FALSE),VLOOKUP($C55,Mat.Info!A:H,2,FALSE)))</f>
        <v>Engenheiro de projetos pleno</v>
      </c>
      <c r="F55" s="413" t="str">
        <f t="shared" si="24"/>
        <v>mês</v>
      </c>
      <c r="G55" s="326">
        <f>IF($D55="PESSOAL",VLOOKUP($C55,'TC 10-2023'!$B:$Z,25,FALSE), IF($D55="EQUIPAMENTOS",VLOOKUP($C55,Equip.Info!$A:$I,8,FALSE),VLOOKUP($C55,Mat.Info!$A:$H,8,FALSE)))</f>
        <v>21969.16</v>
      </c>
      <c r="H55" s="326">
        <f>'2.3.EOP'!H20</f>
        <v>2</v>
      </c>
      <c r="I55" s="328">
        <f t="shared" si="25"/>
        <v>43938.32</v>
      </c>
      <c r="J55" s="328">
        <f ca="1">I55*(1+Dados!$C$17)</f>
        <v>63534.810719999994</v>
      </c>
      <c r="K55" s="418" t="str">
        <f>"DNIT "&amp;TEXT(Dados!$C$16,"mmm/aa")</f>
        <v>DNIT out/23</v>
      </c>
      <c r="L55" s="333" t="str">
        <f>'2.3.EOP'!G20&amp;" "&amp;E55&amp;" por mês"</f>
        <v>1 Engenheiro de projetos pleno por mês</v>
      </c>
    </row>
    <row r="56" spans="1:17">
      <c r="A56" s="442" t="str">
        <f t="shared" si="21"/>
        <v>2.3</v>
      </c>
      <c r="B56" s="336"/>
      <c r="C56" s="337" t="str">
        <f>'2.3.EOP'!B21</f>
        <v>P8061</v>
      </c>
      <c r="D56" s="324" t="s">
        <v>350</v>
      </c>
      <c r="E56" s="325" t="str">
        <f>IF(D56="PESSOAL",VLOOKUP($C56,'TC 10-2023'!$B:$Z,2,FALSE), IF(D56="EQUIPAMENTOS",VLOOKUP($C56,Equip.Info!A:I,2,FALSE),VLOOKUP($C56,Mat.Info!A:H,2,FALSE)))</f>
        <v>Engenheiro coordenador</v>
      </c>
      <c r="F56" s="413" t="str">
        <f t="shared" si="24"/>
        <v>mês</v>
      </c>
      <c r="G56" s="326">
        <f>IF($D56="PESSOAL",VLOOKUP($C56,'TC 10-2023'!$B:$Z,25,FALSE), IF($D56="EQUIPAMENTOS",VLOOKUP($C56,Equip.Info!$A:$I,8,FALSE),VLOOKUP($C56,Mat.Info!$A:$H,8,FALSE)))</f>
        <v>31759.96</v>
      </c>
      <c r="H56" s="326">
        <f>'2.3.EOP'!H21</f>
        <v>0.5</v>
      </c>
      <c r="I56" s="328">
        <f t="shared" si="25"/>
        <v>15879.98</v>
      </c>
      <c r="J56" s="328">
        <f ca="1">I56*(1+Dados!$C$17)</f>
        <v>22962.451079999999</v>
      </c>
      <c r="K56" s="418" t="str">
        <f>"DNIT "&amp;TEXT(Dados!$C$16,"mmm/aa")</f>
        <v>DNIT out/23</v>
      </c>
      <c r="L56" s="333" t="str">
        <f>'2.3.EOP'!G21&amp;" "&amp;E56&amp;" por mês"</f>
        <v>1 Engenheiro coordenador por mês</v>
      </c>
    </row>
    <row r="57" spans="1:17">
      <c r="A57" s="442" t="str">
        <f t="shared" si="21"/>
        <v>2.3</v>
      </c>
      <c r="B57" s="338"/>
      <c r="C57" s="339" t="str">
        <f>'2.3.EOP'!$B$12</f>
        <v>EQSF001</v>
      </c>
      <c r="D57" s="324" t="s">
        <v>352</v>
      </c>
      <c r="E57" s="325" t="str">
        <f>IF(D57="PESSOAL",VLOOKUP($C57,'TC 10-2023'!$B:$Z,2,FALSE), IF(D57="EQUIPAMENTOS",VLOOKUP($C57,Equip.Info!A:I,2,FALSE),VLOOKUP($C57,Mat.Info!A:H,2,FALSE)))</f>
        <v>Desktop completo, processador Intel Core i5, 16GB memória, Resolução 3.840x2.160 (4K), PV GPU de 4GB e Sistema Operacional.</v>
      </c>
      <c r="F57" s="413" t="str">
        <f t="shared" si="22"/>
        <v>h</v>
      </c>
      <c r="G57" s="326">
        <f>IF($D57="PESSOAL",VLOOKUP($C57,'TC 10-2023'!$B:$Z,25,FALSE), IF($D57="EQUIPAMENTOS",VLOOKUP($C57,Equip.Info!$A:$I,8,FALSE),VLOOKUP($C57,Mat.Info!$A:$H,8,FALSE)))</f>
        <v>0.54349999999999998</v>
      </c>
      <c r="H57" s="329">
        <f>'2.3.EOP'!$F$12</f>
        <v>729.96</v>
      </c>
      <c r="I57" s="328">
        <f t="shared" si="23"/>
        <v>396.73326000000003</v>
      </c>
      <c r="J57" s="328">
        <f ca="1">I57*(1+Dados!$C$17)</f>
        <v>573.67629396000007</v>
      </c>
      <c r="K57" s="418" t="s">
        <v>667</v>
      </c>
      <c r="L57" s="333" t="s">
        <v>451</v>
      </c>
    </row>
    <row r="58" spans="1:17">
      <c r="A58" s="442" t="str">
        <f t="shared" si="21"/>
        <v>2.3</v>
      </c>
      <c r="B58" s="338"/>
      <c r="C58" s="339" t="str">
        <f>'2.3.EOP'!$B$13</f>
        <v>EQSF002</v>
      </c>
      <c r="D58" s="324" t="s">
        <v>352</v>
      </c>
      <c r="E58" s="325" t="str">
        <f>IF(D58="PESSOAL",VLOOKUP($C58,'TC 10-2023'!$B:$Z,2,FALSE), IF(D58="EQUIPAMENTOS",VLOOKUP($C58,Equip.Info!A:I,2,FALSE),VLOOKUP($C58,Mat.Info!A:H,2,FALSE)))</f>
        <v>Laptop completo, processador Intel Core i5, 16GB memória, Resolução 3.840x2.160 (4K), PV GPU de 4GB e Sistema Operacional.</v>
      </c>
      <c r="F58" s="413" t="str">
        <f t="shared" ref="F58" si="26">IF(D58="PESSOAL","mês", IF(OR(D58="EQUIPAMENTOS",D58="MATERIAL"),"h",""))</f>
        <v>h</v>
      </c>
      <c r="G58" s="326">
        <f>IF($D58="PESSOAL",VLOOKUP($C58,'TC 10-2023'!$B:$Z,25,FALSE), IF($D58="EQUIPAMENTOS",VLOOKUP($C58,Equip.Info!$A:$I,8,FALSE),VLOOKUP($C58,Mat.Info!$A:$H,8,FALSE)))</f>
        <v>0.217</v>
      </c>
      <c r="H58" s="329">
        <f>'2.3.EOP'!$F$13</f>
        <v>273.73500000000001</v>
      </c>
      <c r="I58" s="328">
        <f t="shared" ref="I58" si="27">G58*H58</f>
        <v>59.400494999999999</v>
      </c>
      <c r="J58" s="328">
        <f ca="1">I58*(1+Dados!$C$17)</f>
        <v>85.893115769999994</v>
      </c>
      <c r="K58" s="418" t="s">
        <v>667</v>
      </c>
      <c r="L58" s="333" t="s">
        <v>451</v>
      </c>
    </row>
    <row r="59" spans="1:17">
      <c r="A59" s="442" t="str">
        <f t="shared" si="21"/>
        <v>2.3</v>
      </c>
      <c r="B59" s="338"/>
      <c r="C59" s="339" t="str">
        <f>'2.3.EOP'!$B$31</f>
        <v>MTSF001</v>
      </c>
      <c r="D59" s="324" t="s">
        <v>448</v>
      </c>
      <c r="E59" s="325" t="str">
        <f>IF(D59="PESSOAL",VLOOKUP($C59,'TC 10-2023'!$B:$Z,2,FALSE), IF(D59="EQUIPAMENTOS",VLOOKUP($C59,Equip.Info!A:I,2,FALSE),VLOOKUP($C59,Mat.Info!A:H,2,FALSE)))</f>
        <v>Pacote Microsoft 365 Business Basic</v>
      </c>
      <c r="F59" s="413" t="str">
        <f t="shared" si="22"/>
        <v>h</v>
      </c>
      <c r="G59" s="326">
        <f>IF($D59="PESSOAL",VLOOKUP($C59,'TC 10-2023'!$B:$Z,25,FALSE), IF($D59="EQUIPAMENTOS",VLOOKUP($C59,Equip.Info!$A:$I,8,FALSE),VLOOKUP($C59,Mat.Info!$A:$H,8,FALSE)))</f>
        <v>0.16250000000000001</v>
      </c>
      <c r="H59" s="329">
        <f>'2.3.EOP'!$I$31</f>
        <v>1003.6950000000001</v>
      </c>
      <c r="I59" s="328">
        <f t="shared" si="23"/>
        <v>163.10043750000003</v>
      </c>
      <c r="J59" s="328">
        <f ca="1">I59*(1+Dados!$C$17)</f>
        <v>235.84323262500004</v>
      </c>
      <c r="K59" s="418" t="s">
        <v>667</v>
      </c>
      <c r="L59" s="333" t="s">
        <v>691</v>
      </c>
    </row>
    <row r="60" spans="1:17" ht="33.75">
      <c r="A60" s="442" t="str">
        <f t="shared" si="21"/>
        <v>2.3</v>
      </c>
      <c r="B60" s="340"/>
      <c r="C60" s="428" t="s">
        <v>550</v>
      </c>
      <c r="D60" s="324" t="s">
        <v>526</v>
      </c>
      <c r="E60" s="325" t="s">
        <v>547</v>
      </c>
      <c r="F60" s="413" t="s">
        <v>544</v>
      </c>
      <c r="G60" s="326">
        <f>I60/H60</f>
        <v>497.33333333333331</v>
      </c>
      <c r="H60" s="327">
        <f>IF(D60="PASSAGENS",SUMIFS('Diárias e Passagens'!K:K,'Diárias e Passagens'!A:A,A60),SUMIFS('Diárias e Passagens'!N:N,'Diárias e Passagens'!A:A,A60))</f>
        <v>2</v>
      </c>
      <c r="I60" s="328">
        <f>IF(D60="PASSAGENS",SUMIFS('Diárias e Passagens'!M:M,'Diárias e Passagens'!A:A,A60),SUMIFS('Diárias e Passagens'!P:P,'Diárias e Passagens'!A:A,A60))</f>
        <v>994.66666666666663</v>
      </c>
      <c r="J60" s="328">
        <f ca="1">I60*(1+Dados!$C$17)</f>
        <v>1438.288</v>
      </c>
      <c r="K60" s="419" t="s">
        <v>546</v>
      </c>
      <c r="L60" s="333" t="s">
        <v>563</v>
      </c>
    </row>
    <row r="61" spans="1:17" ht="33.75">
      <c r="A61" s="442" t="str">
        <f t="shared" si="21"/>
        <v>2.3</v>
      </c>
      <c r="B61" s="340"/>
      <c r="C61" s="428" t="s">
        <v>550</v>
      </c>
      <c r="D61" s="324" t="s">
        <v>351</v>
      </c>
      <c r="E61" s="325" t="s">
        <v>548</v>
      </c>
      <c r="F61" s="413" t="s">
        <v>543</v>
      </c>
      <c r="G61" s="326">
        <f>I61/H61</f>
        <v>600</v>
      </c>
      <c r="H61" s="327">
        <f>IF(D61="PASSAGENS",SUMIFS('Diárias e Passagens'!K:K,'Diárias e Passagens'!A:A,A61),SUMIFS('Diárias e Passagens'!N:N,'Diárias e Passagens'!A:A,A61))</f>
        <v>5</v>
      </c>
      <c r="I61" s="328">
        <f>IF(D61="PASSAGENS",SUMIFS('Diárias e Passagens'!M:M,'Diárias e Passagens'!A:A,A61),SUMIFS('Diárias e Passagens'!P:P,'Diárias e Passagens'!A:A,A61))</f>
        <v>3000</v>
      </c>
      <c r="J61" s="328">
        <f ca="1">I61*(1+Dados!$C$17)</f>
        <v>4338</v>
      </c>
      <c r="K61" s="419" t="str">
        <f>Diárias!$I$6</f>
        <v>DECRETO Nº 11.872, DE 29 DE DEZEMBRO DE 2023</v>
      </c>
      <c r="L61" s="333" t="s">
        <v>564</v>
      </c>
    </row>
    <row r="62" spans="1:17" s="331" customFormat="1" ht="15">
      <c r="A62" s="442" t="str">
        <f>A61&amp;".1"</f>
        <v>2.3.1</v>
      </c>
      <c r="B62" s="343" t="str">
        <f>A62</f>
        <v>2.3.1</v>
      </c>
      <c r="C62" s="344" t="str">
        <f>C52&amp;" - Inspeção de Campo"</f>
        <v>Dimensão Operacional (EOP) - Inspeção de Campo</v>
      </c>
      <c r="D62" s="319"/>
      <c r="E62" s="320"/>
      <c r="F62" s="412"/>
      <c r="G62" s="321"/>
      <c r="H62" s="322"/>
      <c r="I62" s="323"/>
      <c r="J62" s="323"/>
      <c r="K62" s="420"/>
      <c r="L62" s="424"/>
      <c r="Q62" s="332"/>
    </row>
    <row r="63" spans="1:17" ht="25.5">
      <c r="A63" s="442" t="str">
        <f>A62</f>
        <v>2.3.1</v>
      </c>
      <c r="B63" s="340"/>
      <c r="C63" s="428" t="s">
        <v>613</v>
      </c>
      <c r="D63" s="324" t="s">
        <v>526</v>
      </c>
      <c r="E63" s="325" t="s">
        <v>547</v>
      </c>
      <c r="F63" s="413" t="s">
        <v>544</v>
      </c>
      <c r="G63" s="326">
        <f>I63/H63</f>
        <v>626.52083333333326</v>
      </c>
      <c r="H63" s="327">
        <f>IF(D63="PASSAGENS",SUMIFS('Diárias e Passagens'!K:K,'Diárias e Passagens'!A:A,A63),SUMIFS('Diárias e Passagens'!N:N,'Diárias e Passagens'!A:A,A63))</f>
        <v>3</v>
      </c>
      <c r="I63" s="328">
        <f>IF(D63="PASSAGENS",SUMIFS('Diárias e Passagens'!M:M,'Diárias e Passagens'!A:A,A63),SUMIFS('Diárias e Passagens'!P:P,'Diárias e Passagens'!A:A,A63))</f>
        <v>1879.5624999999998</v>
      </c>
      <c r="J63" s="328">
        <f ca="1">I63*(1+Dados!$C$17)</f>
        <v>2717.8473749999994</v>
      </c>
      <c r="K63" s="419" t="s">
        <v>546</v>
      </c>
      <c r="L63" s="333" t="s">
        <v>563</v>
      </c>
    </row>
    <row r="64" spans="1:17" ht="25.5">
      <c r="A64" s="442" t="str">
        <f>A63</f>
        <v>2.3.1</v>
      </c>
      <c r="B64" s="340"/>
      <c r="C64" s="428" t="s">
        <v>613</v>
      </c>
      <c r="D64" s="324" t="s">
        <v>351</v>
      </c>
      <c r="E64" s="325" t="s">
        <v>548</v>
      </c>
      <c r="F64" s="413" t="s">
        <v>543</v>
      </c>
      <c r="G64" s="326">
        <f>I64/H64</f>
        <v>455</v>
      </c>
      <c r="H64" s="327">
        <f>IF(D64="PASSAGENS",SUMIFS('Diárias e Passagens'!K:K,'Diárias e Passagens'!A:A,A64),SUMIFS('Diárias e Passagens'!N:N,'Diárias e Passagens'!A:A,A64))</f>
        <v>19.5</v>
      </c>
      <c r="I64" s="328">
        <f>IF(D64="PASSAGENS",SUMIFS('Diárias e Passagens'!M:M,'Diárias e Passagens'!A:A,A64),SUMIFS('Diárias e Passagens'!P:P,'Diárias e Passagens'!A:A,A64))</f>
        <v>8872.5</v>
      </c>
      <c r="J64" s="328">
        <f ca="1">I64*(1+Dados!$C$17)</f>
        <v>12829.635</v>
      </c>
      <c r="K64" s="419" t="str">
        <f>Diárias!$I$6</f>
        <v>DECRETO Nº 11.872, DE 29 DE DEZEMBRO DE 2023</v>
      </c>
      <c r="L64" s="333" t="s">
        <v>564</v>
      </c>
    </row>
    <row r="65" spans="1:12">
      <c r="A65" s="442" t="str">
        <f>A64</f>
        <v>2.3.1</v>
      </c>
      <c r="B65" s="340"/>
      <c r="C65" s="440" t="str">
        <f>'Inspeção-Veículo'!B11</f>
        <v>E8889</v>
      </c>
      <c r="D65" s="324" t="s">
        <v>561</v>
      </c>
      <c r="E65" s="325" t="str">
        <f>VLOOKUP(A65,'Inspeção-Veículo'!$A$9:$O$17,4,0)</f>
        <v>Veículo leve picape 4 x 4 com capacidade de 1,10 t - 147 kW (sem motorista)</v>
      </c>
      <c r="F65" s="413" t="s">
        <v>299</v>
      </c>
      <c r="G65" s="326"/>
      <c r="H65" s="329"/>
      <c r="I65" s="328">
        <f>VLOOKUP(A65,'Inspeção-Veículo'!$A$9:$O$17,15,0)</f>
        <v>3171.9917999999998</v>
      </c>
      <c r="J65" s="328">
        <f ca="1">I65*(1+Dados!$C$17)</f>
        <v>4586.7001427999994</v>
      </c>
      <c r="K65" s="418" t="str">
        <f>"DNIT "&amp;TEXT(Dados!$C$16,"mmm/aa")</f>
        <v>DNIT out/23</v>
      </c>
      <c r="L65" s="333" t="str">
        <f>"Custo produtivo e improdutivo DNIT, considerando "&amp;'Inspeção-Veículo'!I11&amp;" de utilização produtiva."</f>
        <v>Custo produtivo e improdutivo DNIT, considerando 0,8 de utilização produtiva.</v>
      </c>
    </row>
    <row r="66" spans="1:12" ht="15">
      <c r="A66" s="442" t="str">
        <f>B66</f>
        <v>2.4</v>
      </c>
      <c r="B66" s="342" t="str">
        <f>'Cronograma'!B15</f>
        <v>2.4</v>
      </c>
      <c r="C66" s="342" t="str">
        <f>'Cronograma'!C15</f>
        <v>Dimensão Socioambiental (EMA)</v>
      </c>
      <c r="D66" s="319"/>
      <c r="E66" s="318"/>
      <c r="F66" s="414"/>
      <c r="G66" s="318"/>
      <c r="H66" s="318"/>
      <c r="I66" s="323">
        <f>SUM(I67:I75)</f>
        <v>118064.78193416669</v>
      </c>
      <c r="J66" s="323">
        <f ca="1">SUM(J67:J75)</f>
        <v>170721.67467680498</v>
      </c>
      <c r="K66" s="421"/>
      <c r="L66" s="426"/>
    </row>
    <row r="67" spans="1:12">
      <c r="A67" s="442" t="str">
        <f t="shared" ref="A67:A75" si="28">A66</f>
        <v>2.4</v>
      </c>
      <c r="B67" s="338"/>
      <c r="C67" s="339" t="str">
        <f>'2.4.EMA'!B18</f>
        <v>P8044</v>
      </c>
      <c r="D67" s="324" t="s">
        <v>350</v>
      </c>
      <c r="E67" s="325" t="str">
        <f>IF(D67="PESSOAL",VLOOKUP($C67,'TC 10-2023'!$B:$Z,2,FALSE), IF(D67="EQUIPAMENTOS",VLOOKUP($C67,Equip.Info!A:I,2,FALSE),VLOOKUP($C67,Mat.Info!A:H,2,FALSE)))</f>
        <v xml:space="preserve">Coordenador ambiental </v>
      </c>
      <c r="F67" s="413" t="str">
        <f t="shared" ref="F67:F69" si="29">IF(D67="PESSOAL","mês", IF(OR(D67="EQUIPAMENTOS",D67="MATERIAL"),"h",""))</f>
        <v>mês</v>
      </c>
      <c r="G67" s="326">
        <f>IF($D67="PESSOAL",VLOOKUP($C67,'TC 10-2023'!$B:$Z,25,FALSE), IF($D67="EQUIPAMENTOS",VLOOKUP($C67,Equip.Info!$A:$I,8,FALSE),VLOOKUP($C67,Mat.Info!$A:$H,8,FALSE)))</f>
        <v>31481.62</v>
      </c>
      <c r="H67" s="326">
        <f>'2.4.EMA'!H18</f>
        <v>1</v>
      </c>
      <c r="I67" s="328">
        <f>G67*H67</f>
        <v>31481.62</v>
      </c>
      <c r="J67" s="328">
        <f ca="1">I67*(1+Dados!$C$17)</f>
        <v>45522.42252</v>
      </c>
      <c r="K67" s="418" t="str">
        <f>"DNIT "&amp;TEXT(Dados!$C$16,"mmm/aa")</f>
        <v>DNIT out/23</v>
      </c>
      <c r="L67" s="333" t="str">
        <f>'2.4.EMA'!G18&amp;" "&amp;E67&amp;" por mês"</f>
        <v>1 Coordenador ambiental  por mês</v>
      </c>
    </row>
    <row r="68" spans="1:12">
      <c r="A68" s="442" t="str">
        <f t="shared" si="28"/>
        <v>2.4</v>
      </c>
      <c r="B68" s="338"/>
      <c r="C68" s="339" t="str">
        <f>'2.4.EMA'!B19</f>
        <v>P8059</v>
      </c>
      <c r="D68" s="324" t="s">
        <v>350</v>
      </c>
      <c r="E68" s="325" t="str">
        <f>IF(D68="PESSOAL",VLOOKUP($C68,'TC 10-2023'!$B:$Z,2,FALSE), IF(D68="EQUIPAMENTOS",VLOOKUP($C68,Equip.Info!A:I,2,FALSE),VLOOKUP($C68,Mat.Info!A:H,2,FALSE)))</f>
        <v>Engenheiro ambiental sênior</v>
      </c>
      <c r="F68" s="413" t="str">
        <f t="shared" si="29"/>
        <v>mês</v>
      </c>
      <c r="G68" s="326">
        <f>IF($D68="PESSOAL",VLOOKUP($C68,'TC 10-2023'!$B:$Z,25,FALSE), IF($D68="EQUIPAMENTOS",VLOOKUP($C68,Equip.Info!$A:$I,8,FALSE),VLOOKUP($C68,Mat.Info!$A:$H,8,FALSE)))</f>
        <v>25413.33</v>
      </c>
      <c r="H68" s="326">
        <f>'2.4.EMA'!H19</f>
        <v>1.5</v>
      </c>
      <c r="I68" s="328">
        <f t="shared" ref="I68:I69" si="30">G68*H68</f>
        <v>38119.995000000003</v>
      </c>
      <c r="J68" s="328">
        <f ca="1">I68*(1+Dados!$C$17)</f>
        <v>55121.512770000001</v>
      </c>
      <c r="K68" s="418" t="str">
        <f>"DNIT "&amp;TEXT(Dados!$C$16,"mmm/aa")</f>
        <v>DNIT out/23</v>
      </c>
      <c r="L68" s="333" t="str">
        <f>'2.4.EMA'!G19&amp;" "&amp;E68&amp;" por mês"</f>
        <v>1 Engenheiro ambiental sênior por mês</v>
      </c>
    </row>
    <row r="69" spans="1:12">
      <c r="A69" s="442" t="str">
        <f t="shared" si="28"/>
        <v>2.4</v>
      </c>
      <c r="B69" s="338"/>
      <c r="C69" s="339" t="str">
        <f>'2.4.EMA'!B20</f>
        <v>P8058</v>
      </c>
      <c r="D69" s="324" t="s">
        <v>350</v>
      </c>
      <c r="E69" s="325" t="str">
        <f>IF(D69="PESSOAL",VLOOKUP($C69,'TC 10-2023'!$B:$Z,2,FALSE), IF(D69="EQUIPAMENTOS",VLOOKUP($C69,Equip.Info!A:I,2,FALSE),VLOOKUP($C69,Mat.Info!A:H,2,FALSE)))</f>
        <v>Engenheiro ambiental pleno</v>
      </c>
      <c r="F69" s="413" t="str">
        <f t="shared" si="29"/>
        <v>mês</v>
      </c>
      <c r="G69" s="326">
        <f>IF($D69="PESSOAL",VLOOKUP($C69,'TC 10-2023'!$B:$Z,25,FALSE), IF($D69="EQUIPAMENTOS",VLOOKUP($C69,Equip.Info!$A:$I,8,FALSE),VLOOKUP($C69,Mat.Info!$A:$H,8,FALSE)))</f>
        <v>21261.51</v>
      </c>
      <c r="H69" s="326">
        <f>'2.4.EMA'!H20</f>
        <v>2</v>
      </c>
      <c r="I69" s="328">
        <f t="shared" si="30"/>
        <v>42523.02</v>
      </c>
      <c r="J69" s="328">
        <f ca="1">I69*(1+Dados!$C$17)</f>
        <v>61488.286919999991</v>
      </c>
      <c r="K69" s="418" t="str">
        <f>"DNIT "&amp;TEXT(Dados!$C$16,"mmm/aa")</f>
        <v>DNIT out/23</v>
      </c>
      <c r="L69" s="333" t="str">
        <f>'2.4.EMA'!G20&amp;" "&amp;E69&amp;" por mês"</f>
        <v>1 Engenheiro ambiental pleno por mês</v>
      </c>
    </row>
    <row r="70" spans="1:12" ht="25.5">
      <c r="A70" s="442" t="str">
        <f t="shared" si="28"/>
        <v>2.4</v>
      </c>
      <c r="B70" s="338"/>
      <c r="C70" s="339" t="str">
        <f>'2.4.EMA'!$B$12</f>
        <v>EQSF001</v>
      </c>
      <c r="D70" s="324" t="s">
        <v>352</v>
      </c>
      <c r="E70" s="325" t="str">
        <f>IF(D70="PESSOAL",VLOOKUP($C70,'TC 10-2023'!$B:$Z,2,FALSE), IF(D70="EQUIPAMENTOS",VLOOKUP($C70,Equip.Info!A:I,2,FALSE),VLOOKUP($C70,Mat.Info!A:H,2,FALSE)))</f>
        <v>Desktop completo, processador Intel Core i5, 16GB memória, Resolução 3.840x2.160 (4K), PV GPU de 4GB e Sistema Operacional.</v>
      </c>
      <c r="F70" s="413" t="str">
        <f t="shared" ref="F70:F73" si="31">IF(D70="PESSOAL","mês", IF(OR(D70="EQUIPAMENTOS",D70="MATERIAL"),"h",""))</f>
        <v>h</v>
      </c>
      <c r="G70" s="326">
        <f>IF($D70="PESSOAL",VLOOKUP($C70,'TC 10-2023'!$B:$Z,25,FALSE), IF($D70="EQUIPAMENTOS",VLOOKUP($C70,Equip.Info!$A:$I,8,FALSE),VLOOKUP($C70,Mat.Info!$A:$H,8,FALSE)))</f>
        <v>0.54349999999999998</v>
      </c>
      <c r="H70" s="329">
        <f>'2.4.EMA'!$F$12</f>
        <v>638.71500000000003</v>
      </c>
      <c r="I70" s="328">
        <f t="shared" ref="I70:I73" si="32">G70*H70</f>
        <v>347.14160250000003</v>
      </c>
      <c r="J70" s="328">
        <f ca="1">I70*(1+Dados!$C$17)</f>
        <v>501.96675721500003</v>
      </c>
      <c r="K70" s="418" t="s">
        <v>667</v>
      </c>
      <c r="L70" s="333" t="s">
        <v>566</v>
      </c>
    </row>
    <row r="71" spans="1:12" ht="25.5">
      <c r="A71" s="442" t="str">
        <f t="shared" si="28"/>
        <v>2.4</v>
      </c>
      <c r="B71" s="338"/>
      <c r="C71" s="339" t="str">
        <f>'2.4.EMA'!$B$13</f>
        <v>EQSF002</v>
      </c>
      <c r="D71" s="324" t="s">
        <v>352</v>
      </c>
      <c r="E71" s="325" t="str">
        <f>IF(D71="PESSOAL",VLOOKUP($C71,'TC 10-2023'!$B:$Z,2,FALSE), IF(D71="EQUIPAMENTOS",VLOOKUP($C71,Equip.Info!A:I,2,FALSE),VLOOKUP($C71,Mat.Info!A:H,2,FALSE)))</f>
        <v>Laptop completo, processador Intel Core i5, 16GB memória, Resolução 3.840x2.160 (4K), PV GPU de 4GB e Sistema Operacional.</v>
      </c>
      <c r="F71" s="413" t="str">
        <f t="shared" ref="F71" si="33">IF(D71="PESSOAL","mês", IF(OR(D71="EQUIPAMENTOS",D71="MATERIAL"),"h",""))</f>
        <v>h</v>
      </c>
      <c r="G71" s="326">
        <f>IF($D71="PESSOAL",VLOOKUP($C71,'TC 10-2023'!$B:$Z,25,FALSE), IF($D71="EQUIPAMENTOS",VLOOKUP($C71,Equip.Info!$A:$I,8,FALSE),VLOOKUP($C71,Mat.Info!$A:$H,8,FALSE)))</f>
        <v>0.217</v>
      </c>
      <c r="H71" s="329">
        <f>'2.4.EMA'!$F$13</f>
        <v>182.49</v>
      </c>
      <c r="I71" s="328">
        <f t="shared" ref="I71" si="34">G71*H71</f>
        <v>39.60033</v>
      </c>
      <c r="J71" s="328">
        <f ca="1">I71*(1+Dados!$C$17)</f>
        <v>57.262077179999999</v>
      </c>
      <c r="K71" s="418" t="s">
        <v>667</v>
      </c>
      <c r="L71" s="333" t="s">
        <v>566</v>
      </c>
    </row>
    <row r="72" spans="1:12">
      <c r="A72" s="442" t="str">
        <f t="shared" si="28"/>
        <v>2.4</v>
      </c>
      <c r="B72" s="338"/>
      <c r="C72" s="339" t="str">
        <f>'2.4.EMA'!$B$31</f>
        <v>MTSF001</v>
      </c>
      <c r="D72" s="324" t="s">
        <v>448</v>
      </c>
      <c r="E72" s="325" t="str">
        <f>IF(D72="PESSOAL",VLOOKUP($C72,'TC 10-2023'!$B:$Z,2,FALSE), IF(D72="EQUIPAMENTOS",VLOOKUP($C72,Equip.Info!A:I,2,FALSE),VLOOKUP($C72,Mat.Info!A:H,2,FALSE)))</f>
        <v>Pacote Microsoft 365 Business Basic</v>
      </c>
      <c r="F72" s="413" t="str">
        <f t="shared" si="31"/>
        <v>h</v>
      </c>
      <c r="G72" s="326">
        <f>IF($D72="PESSOAL",VLOOKUP($C72,'TC 10-2023'!$B:$Z,25,FALSE), IF($D72="EQUIPAMENTOS",VLOOKUP($C72,Equip.Info!$A:$I,8,FALSE),VLOOKUP($C72,Mat.Info!$A:$H,8,FALSE)))</f>
        <v>0.16250000000000001</v>
      </c>
      <c r="H72" s="329">
        <f>'2.4.EMA'!$I$31</f>
        <v>821.20500000000004</v>
      </c>
      <c r="I72" s="328">
        <f t="shared" si="32"/>
        <v>133.44581250000002</v>
      </c>
      <c r="J72" s="328">
        <f ca="1">I72*(1+Dados!$C$17)</f>
        <v>192.96264487500002</v>
      </c>
      <c r="K72" s="418" t="s">
        <v>667</v>
      </c>
      <c r="L72" s="333" t="s">
        <v>691</v>
      </c>
    </row>
    <row r="73" spans="1:12">
      <c r="A73" s="442" t="str">
        <f t="shared" si="28"/>
        <v>2.4</v>
      </c>
      <c r="B73" s="338"/>
      <c r="C73" s="339" t="str">
        <f>'2.4.EMA'!$B$32</f>
        <v>MTSF003</v>
      </c>
      <c r="D73" s="324" t="s">
        <v>448</v>
      </c>
      <c r="E73" s="325" t="str">
        <f>IF(D73="PESSOAL",VLOOKUP($C73,'TC 10-2023'!$B:$Z,2,FALSE), IF(D73="EQUIPAMENTOS",VLOOKUP($C73,Equip.Info!A:I,2,FALSE),VLOOKUP($C73,Mat.Info!A:H,2,FALSE)))</f>
        <v>Software SIG para MAC/Windows 64bits</v>
      </c>
      <c r="F73" s="413" t="str">
        <f t="shared" si="31"/>
        <v>h</v>
      </c>
      <c r="G73" s="326">
        <f>IF($D73="PESSOAL",VLOOKUP($C73,'TC 10-2023'!$B:$Z,25,FALSE), IF($D73="EQUIPAMENTOS",VLOOKUP($C73,Equip.Info!$A:$I,8,FALSE),VLOOKUP($C73,Mat.Info!$A:$H,8,FALSE)))</f>
        <v>4.4630000000000001</v>
      </c>
      <c r="H73" s="329">
        <f>'2.4.EMA'!$I$32</f>
        <v>319.35750000000002</v>
      </c>
      <c r="I73" s="328">
        <f t="shared" si="32"/>
        <v>1425.2925225000001</v>
      </c>
      <c r="J73" s="328">
        <f ca="1">I73*(1+Dados!$C$17)</f>
        <v>2060.9729875349999</v>
      </c>
      <c r="K73" s="418" t="s">
        <v>667</v>
      </c>
      <c r="L73" s="333" t="s">
        <v>568</v>
      </c>
    </row>
    <row r="74" spans="1:12" ht="33.75">
      <c r="A74" s="442" t="str">
        <f t="shared" si="28"/>
        <v>2.4</v>
      </c>
      <c r="B74" s="340"/>
      <c r="C74" s="428" t="s">
        <v>550</v>
      </c>
      <c r="D74" s="324" t="s">
        <v>526</v>
      </c>
      <c r="E74" s="325" t="s">
        <v>574</v>
      </c>
      <c r="F74" s="413" t="s">
        <v>544</v>
      </c>
      <c r="G74" s="326">
        <f>I74/H74</f>
        <v>497.33333333333331</v>
      </c>
      <c r="H74" s="327">
        <f>IF(D74="PASSAGENS",SUMIFS('Diárias e Passagens'!K:K,'Diárias e Passagens'!A:A,A74),SUMIFS('Diárias e Passagens'!N:N,'Diárias e Passagens'!A:A,A74))</f>
        <v>2</v>
      </c>
      <c r="I74" s="328">
        <f>IF(D74="PASSAGENS",SUMIFS('Diárias e Passagens'!M:M,'Diárias e Passagens'!A:A,A74),SUMIFS('Diárias e Passagens'!P:P,'Diárias e Passagens'!A:A,A74))</f>
        <v>994.66666666666663</v>
      </c>
      <c r="J74" s="328">
        <f ca="1">I74*(1+Dados!$C$17)</f>
        <v>1438.288</v>
      </c>
      <c r="K74" s="419" t="s">
        <v>546</v>
      </c>
      <c r="L74" s="333" t="s">
        <v>563</v>
      </c>
    </row>
    <row r="75" spans="1:12" ht="33.75">
      <c r="A75" s="442" t="str">
        <f t="shared" si="28"/>
        <v>2.4</v>
      </c>
      <c r="B75" s="340"/>
      <c r="C75" s="428" t="s">
        <v>550</v>
      </c>
      <c r="D75" s="324" t="s">
        <v>351</v>
      </c>
      <c r="E75" s="325" t="s">
        <v>548</v>
      </c>
      <c r="F75" s="413" t="s">
        <v>543</v>
      </c>
      <c r="G75" s="326">
        <f>I75/H75</f>
        <v>600</v>
      </c>
      <c r="H75" s="327">
        <f>IF(D75="PASSAGENS",SUMIFS('Diárias e Passagens'!K:K,'Diárias e Passagens'!A:A,A75),SUMIFS('Diárias e Passagens'!N:N,'Diárias e Passagens'!A:A,A75))</f>
        <v>5</v>
      </c>
      <c r="I75" s="328">
        <f>IF(D75="PASSAGENS",SUMIFS('Diárias e Passagens'!M:M,'Diárias e Passagens'!A:A,A75),SUMIFS('Diárias e Passagens'!P:P,'Diárias e Passagens'!A:A,A75))</f>
        <v>3000</v>
      </c>
      <c r="J75" s="328">
        <f ca="1">I75*(1+Dados!$C$17)</f>
        <v>4338</v>
      </c>
      <c r="K75" s="419" t="str">
        <f>Diárias!$I$6</f>
        <v>DECRETO Nº 11.872, DE 29 DE DEZEMBRO DE 2023</v>
      </c>
      <c r="L75" s="333" t="s">
        <v>564</v>
      </c>
    </row>
    <row r="76" spans="1:12" s="331" customFormat="1" ht="15">
      <c r="A76" s="442" t="str">
        <f>B76</f>
        <v>2.5</v>
      </c>
      <c r="B76" s="342" t="str">
        <f>'Cronograma'!B16</f>
        <v>2.5</v>
      </c>
      <c r="C76" s="342" t="str">
        <f>'Cronograma'!C16</f>
        <v>Dimensão Econômico-Financeira (MEF)</v>
      </c>
      <c r="D76" s="319"/>
      <c r="E76" s="320"/>
      <c r="F76" s="412"/>
      <c r="G76" s="321"/>
      <c r="H76" s="322"/>
      <c r="I76" s="323">
        <f>SUM(I77:I82)</f>
        <v>27107.123117166666</v>
      </c>
      <c r="J76" s="323">
        <f ca="1">SUM(J77:J82)</f>
        <v>39196.900027422998</v>
      </c>
      <c r="K76" s="420"/>
      <c r="L76" s="427"/>
    </row>
    <row r="77" spans="1:12" s="331" customFormat="1" ht="15">
      <c r="A77" s="442" t="str">
        <f t="shared" ref="A77:A82" si="35">A76</f>
        <v>2.5</v>
      </c>
      <c r="B77" s="338"/>
      <c r="C77" s="339" t="str">
        <f>'2.5.MEF'!B18</f>
        <v>P8047</v>
      </c>
      <c r="D77" s="324" t="s">
        <v>350</v>
      </c>
      <c r="E77" s="325" t="str">
        <f>IF(D77="PESSOAL",VLOOKUP($C77,'TC 10-2023'!$B:$Z,2,FALSE), IF(D77="EQUIPAMENTOS",VLOOKUP($C77,Equip.Info!A:I,2,FALSE),VLOOKUP($C77,Mat.Info!A:H,2,FALSE)))</f>
        <v>Economista sênior</v>
      </c>
      <c r="F77" s="413" t="str">
        <f t="shared" ref="F77:F80" si="36">IF(D77="PESSOAL","mês", IF(OR(D77="EQUIPAMENTOS",D77="MATERIAL"),"h",""))</f>
        <v>mês</v>
      </c>
      <c r="G77" s="326">
        <f>IF($D77="PESSOAL",VLOOKUP($C77,'TC 10-2023'!$B:$Z,25,FALSE), IF($D77="EQUIPAMENTOS",VLOOKUP($C77,Equip.Info!$A:$I,8,FALSE),VLOOKUP($C77,Mat.Info!$A:$H,8,FALSE)))</f>
        <v>19860.28</v>
      </c>
      <c r="H77" s="326">
        <f>'2.5.MEF'!H18</f>
        <v>1</v>
      </c>
      <c r="I77" s="328">
        <f t="shared" ref="I77:I80" si="37">G77*H77</f>
        <v>19860.28</v>
      </c>
      <c r="J77" s="328">
        <f ca="1">I77*(1+Dados!$C$17)</f>
        <v>28717.964879999996</v>
      </c>
      <c r="K77" s="418" t="str">
        <f>"DNIT "&amp;TEXT(Dados!$C$16,"mmm/aa")</f>
        <v>DNIT out/23</v>
      </c>
      <c r="L77" s="333" t="str">
        <f>'2.5.MEF'!G18&amp;" "&amp;E77&amp;" por mês"</f>
        <v>1 Economista sênior por mês</v>
      </c>
    </row>
    <row r="78" spans="1:12" s="331" customFormat="1" ht="15">
      <c r="A78" s="442" t="str">
        <f t="shared" si="35"/>
        <v>2.5</v>
      </c>
      <c r="B78" s="338"/>
      <c r="C78" s="339" t="str">
        <f>'2.5.MEF'!B19</f>
        <v>P8061</v>
      </c>
      <c r="D78" s="324" t="s">
        <v>350</v>
      </c>
      <c r="E78" s="325" t="str">
        <f>IF(D78="PESSOAL",VLOOKUP($C78,'TC 10-2023'!$B:$Z,2,FALSE), IF(D78="EQUIPAMENTOS",VLOOKUP($C78,Equip.Info!A:I,2,FALSE),VLOOKUP($C78,Mat.Info!A:H,2,FALSE)))</f>
        <v>Engenheiro coordenador</v>
      </c>
      <c r="F78" s="413" t="str">
        <f t="shared" ref="F78" si="38">IF(D78="PESSOAL","mês", IF(OR(D78="EQUIPAMENTOS",D78="MATERIAL"),"h",""))</f>
        <v>mês</v>
      </c>
      <c r="G78" s="326">
        <f>IF($D78="PESSOAL",VLOOKUP($C78,'TC 10-2023'!$B:$Z,25,FALSE), IF($D78="EQUIPAMENTOS",VLOOKUP($C78,Equip.Info!$A:$I,8,FALSE),VLOOKUP($C78,Mat.Info!$A:$H,8,FALSE)))</f>
        <v>31759.96</v>
      </c>
      <c r="H78" s="326">
        <f>'2.5.MEF'!H19</f>
        <v>0.1</v>
      </c>
      <c r="I78" s="328">
        <f t="shared" ref="I78" si="39">G78*H78</f>
        <v>3175.9960000000001</v>
      </c>
      <c r="J78" s="328">
        <f ca="1">I78*(1+Dados!$C$17)</f>
        <v>4592.4902160000001</v>
      </c>
      <c r="K78" s="418" t="str">
        <f>"DNIT "&amp;TEXT(Dados!$C$16,"mmm/aa")</f>
        <v>DNIT out/23</v>
      </c>
      <c r="L78" s="333" t="str">
        <f>'2.5.MEF'!G19&amp;" "&amp;E78&amp;" por mês"</f>
        <v>1 Engenheiro coordenador por mês</v>
      </c>
    </row>
    <row r="79" spans="1:12" s="331" customFormat="1" ht="25.5">
      <c r="A79" s="442" t="str">
        <f t="shared" si="35"/>
        <v>2.5</v>
      </c>
      <c r="B79" s="338"/>
      <c r="C79" s="339" t="str">
        <f>'2.5.MEF'!$B$12</f>
        <v>EQSF002</v>
      </c>
      <c r="D79" s="324" t="s">
        <v>352</v>
      </c>
      <c r="E79" s="325" t="str">
        <f>IF(D79="PESSOAL",VLOOKUP($C79,'TC 10-2023'!$B:$Z,2,FALSE), IF(D79="EQUIPAMENTOS",VLOOKUP($C79,Equip.Info!A:I,2,FALSE),VLOOKUP($C79,Mat.Info!A:H,2,FALSE)))</f>
        <v>Laptop completo, processador Intel Core i5, 16GB memória, Resolução 3.840x2.160 (4K), PV GPU de 4GB e Sistema Operacional.</v>
      </c>
      <c r="F79" s="413" t="str">
        <f t="shared" si="36"/>
        <v>h</v>
      </c>
      <c r="G79" s="326">
        <f>IF($D79="PESSOAL",VLOOKUP($C79,'TC 10-2023'!$B:$Z,25,FALSE), IF($D79="EQUIPAMENTOS",VLOOKUP($C79,Equip.Info!$A:$I,8,FALSE),VLOOKUP($C79,Mat.Info!$A:$H,8,FALSE)))</f>
        <v>0.217</v>
      </c>
      <c r="H79" s="329">
        <f>'2.5.MEF'!$F$12</f>
        <v>200.739</v>
      </c>
      <c r="I79" s="328">
        <f t="shared" si="37"/>
        <v>43.560363000000002</v>
      </c>
      <c r="J79" s="328">
        <f ca="1">I79*(1+Dados!$C$17)</f>
        <v>62.988284898000003</v>
      </c>
      <c r="K79" s="418" t="s">
        <v>667</v>
      </c>
      <c r="L79" s="333" t="s">
        <v>567</v>
      </c>
    </row>
    <row r="80" spans="1:12" s="331" customFormat="1" ht="15">
      <c r="A80" s="442" t="str">
        <f t="shared" si="35"/>
        <v>2.5</v>
      </c>
      <c r="B80" s="338"/>
      <c r="C80" s="339" t="str">
        <f>'2.5.MEF'!$B$31</f>
        <v>MTSF001</v>
      </c>
      <c r="D80" s="324" t="s">
        <v>448</v>
      </c>
      <c r="E80" s="325" t="str">
        <f>IF(D80="PESSOAL",VLOOKUP($C80,'TC 10-2023'!$B:$Z,2,FALSE), IF(D80="EQUIPAMENTOS",VLOOKUP($C80,Equip.Info!A:I,2,FALSE),VLOOKUP($C80,Mat.Info!A:H,2,FALSE)))</f>
        <v>Pacote Microsoft 365 Business Basic</v>
      </c>
      <c r="F80" s="413" t="str">
        <f t="shared" si="36"/>
        <v>h</v>
      </c>
      <c r="G80" s="326">
        <f>IF($D80="PESSOAL",VLOOKUP($C80,'TC 10-2023'!$B:$Z,25,FALSE), IF($D80="EQUIPAMENTOS",VLOOKUP($C80,Equip.Info!$A:$I,8,FALSE),VLOOKUP($C80,Mat.Info!$A:$H,8,FALSE)))</f>
        <v>0.16250000000000001</v>
      </c>
      <c r="H80" s="329">
        <f>'2.5.MEF'!$I$31</f>
        <v>200.739</v>
      </c>
      <c r="I80" s="328">
        <f t="shared" si="37"/>
        <v>32.620087500000004</v>
      </c>
      <c r="J80" s="328">
        <f ca="1">I80*(1+Dados!$C$17)</f>
        <v>47.168646525000007</v>
      </c>
      <c r="K80" s="418" t="s">
        <v>667</v>
      </c>
      <c r="L80" s="333" t="s">
        <v>691</v>
      </c>
    </row>
    <row r="81" spans="1:13" s="331" customFormat="1" ht="33.75">
      <c r="A81" s="442" t="str">
        <f t="shared" si="35"/>
        <v>2.5</v>
      </c>
      <c r="B81" s="340"/>
      <c r="C81" s="428" t="s">
        <v>550</v>
      </c>
      <c r="D81" s="324" t="s">
        <v>526</v>
      </c>
      <c r="E81" s="325" t="s">
        <v>547</v>
      </c>
      <c r="F81" s="413" t="s">
        <v>544</v>
      </c>
      <c r="G81" s="326">
        <f>I81/H81</f>
        <v>497.33333333333331</v>
      </c>
      <c r="H81" s="327">
        <f>IF(D81="PASSAGENS",SUMIFS('Diárias e Passagens'!K:K,'Diárias e Passagens'!A:A,A81),SUMIFS('Diárias e Passagens'!N:N,'Diárias e Passagens'!A:A,A81))</f>
        <v>2</v>
      </c>
      <c r="I81" s="328">
        <f>IF(D81="PASSAGENS",SUMIFS('Diárias e Passagens'!M:M,'Diárias e Passagens'!A:A,A81),SUMIFS('Diárias e Passagens'!P:P,'Diárias e Passagens'!A:A,A81))</f>
        <v>994.66666666666663</v>
      </c>
      <c r="J81" s="328">
        <f ca="1">I81*(1+Dados!$C$17)</f>
        <v>1438.288</v>
      </c>
      <c r="K81" s="419" t="s">
        <v>546</v>
      </c>
      <c r="L81" s="333" t="s">
        <v>563</v>
      </c>
    </row>
    <row r="82" spans="1:13" ht="33.75">
      <c r="A82" s="442" t="str">
        <f t="shared" si="35"/>
        <v>2.5</v>
      </c>
      <c r="B82" s="340"/>
      <c r="C82" s="428" t="s">
        <v>550</v>
      </c>
      <c r="D82" s="324" t="s">
        <v>351</v>
      </c>
      <c r="E82" s="325" t="s">
        <v>548</v>
      </c>
      <c r="F82" s="413" t="s">
        <v>543</v>
      </c>
      <c r="G82" s="326">
        <f>I82/H82</f>
        <v>600</v>
      </c>
      <c r="H82" s="327">
        <f>IF(D82="PASSAGENS",SUMIFS('Diárias e Passagens'!K:K,'Diárias e Passagens'!A:A,A82),SUMIFS('Diárias e Passagens'!N:N,'Diárias e Passagens'!A:A,A82))</f>
        <v>5</v>
      </c>
      <c r="I82" s="328">
        <f>IF(D82="PASSAGENS",SUMIFS('Diárias e Passagens'!M:M,'Diárias e Passagens'!A:A,A82),SUMIFS('Diárias e Passagens'!P:P,'Diárias e Passagens'!A:A,A82))</f>
        <v>3000</v>
      </c>
      <c r="J82" s="328">
        <f ca="1">I82*(1+Dados!$C$17)</f>
        <v>4338</v>
      </c>
      <c r="K82" s="419" t="str">
        <f>Diárias!$I$6</f>
        <v>DECRETO Nº 11.872, DE 29 DE DEZEMBRO DE 2023</v>
      </c>
      <c r="L82" s="333" t="s">
        <v>564</v>
      </c>
      <c r="M82" s="331"/>
    </row>
    <row r="83" spans="1:13" s="331" customFormat="1" ht="15">
      <c r="A83" s="442" t="str">
        <f>B83</f>
        <v>2.6</v>
      </c>
      <c r="B83" s="342" t="str">
        <f>'Cronograma'!B17</f>
        <v>2.6</v>
      </c>
      <c r="C83" s="342" t="str">
        <f>'Cronograma'!C17</f>
        <v>Apoio e revisão pós Audiência Pública</v>
      </c>
      <c r="D83" s="319"/>
      <c r="E83" s="320"/>
      <c r="F83" s="412"/>
      <c r="G83" s="321"/>
      <c r="H83" s="322"/>
      <c r="I83" s="323">
        <f>SUM(I84:I94)</f>
        <v>108933.21295333332</v>
      </c>
      <c r="J83" s="323">
        <f ca="1">SUM(J84:J94)</f>
        <v>157517.42593051997</v>
      </c>
      <c r="K83" s="420"/>
      <c r="L83" s="425"/>
    </row>
    <row r="84" spans="1:13" s="331" customFormat="1" ht="15">
      <c r="A84" s="442" t="str">
        <f t="shared" ref="A84:A93" si="40">A83</f>
        <v>2.6</v>
      </c>
      <c r="B84" s="338"/>
      <c r="C84" s="339" t="str">
        <f>'2.6.AP'!B18</f>
        <v>P8044</v>
      </c>
      <c r="D84" s="324" t="s">
        <v>350</v>
      </c>
      <c r="E84" s="325" t="str">
        <f>IF(D84="PESSOAL",VLOOKUP($C84,'TC 10-2023'!$B:$Z,2,FALSE), IF(D84="EQUIPAMENTOS",VLOOKUP($C84,Equip.Info!A:I,2,FALSE),VLOOKUP($C84,Mat.Info!A:H,2,FALSE)))</f>
        <v xml:space="preserve">Coordenador ambiental </v>
      </c>
      <c r="F84" s="413" t="str">
        <f t="shared" ref="F84:F91" si="41">IF(D84="PESSOAL","mês", IF(OR(D84="EQUIPAMENTOS",D84="MATERIAL"),"h",""))</f>
        <v>mês</v>
      </c>
      <c r="G84" s="326">
        <f>IF($D84="PESSOAL",VLOOKUP($C84,'TC 10-2023'!$B:$Z,25,FALSE), IF($D84="EQUIPAMENTOS",VLOOKUP($C84,Equip.Info!$A:$I,8,FALSE),VLOOKUP($C84,Mat.Info!$A:$H,8,FALSE)))</f>
        <v>31481.62</v>
      </c>
      <c r="H84" s="326">
        <f>'2.6.AP'!H18</f>
        <v>0.25</v>
      </c>
      <c r="I84" s="328">
        <f>G84*H84</f>
        <v>7870.4049999999997</v>
      </c>
      <c r="J84" s="328">
        <f ca="1">I84*(1+Dados!$C$17)</f>
        <v>11380.60563</v>
      </c>
      <c r="K84" s="418" t="str">
        <f>"DNIT "&amp;TEXT(Dados!$C$16,"mmm/aa")</f>
        <v>DNIT out/23</v>
      </c>
      <c r="L84" s="333" t="str">
        <f>'2.6.AP'!G18&amp;" "&amp;E84&amp;" por mês"</f>
        <v>1 Coordenador ambiental  por mês</v>
      </c>
    </row>
    <row r="85" spans="1:13" s="331" customFormat="1" ht="15">
      <c r="A85" s="442" t="str">
        <f t="shared" si="40"/>
        <v>2.6</v>
      </c>
      <c r="B85" s="338"/>
      <c r="C85" s="339" t="str">
        <f>'2.6.AP'!B19</f>
        <v>P8061</v>
      </c>
      <c r="D85" s="324" t="s">
        <v>350</v>
      </c>
      <c r="E85" s="325" t="str">
        <f>IF(D85="PESSOAL",VLOOKUP($C85,'TC 10-2023'!$B:$Z,2,FALSE), IF(D85="EQUIPAMENTOS",VLOOKUP($C85,Equip.Info!A:I,2,FALSE),VLOOKUP($C85,Mat.Info!A:H,2,FALSE)))</f>
        <v>Engenheiro coordenador</v>
      </c>
      <c r="F85" s="413" t="str">
        <f t="shared" ref="F85:F89" si="42">IF(D85="PESSOAL","mês", IF(OR(D85="EQUIPAMENTOS",D85="MATERIAL"),"h",""))</f>
        <v>mês</v>
      </c>
      <c r="G85" s="326">
        <f>IF($D85="PESSOAL",VLOOKUP($C85,'TC 10-2023'!$B:$Z,25,FALSE), IF($D85="EQUIPAMENTOS",VLOOKUP($C85,Equip.Info!$A:$I,8,FALSE),VLOOKUP($C85,Mat.Info!$A:$H,8,FALSE)))</f>
        <v>31759.96</v>
      </c>
      <c r="H85" s="326">
        <f>'2.6.AP'!H19</f>
        <v>0.25</v>
      </c>
      <c r="I85" s="328">
        <f t="shared" ref="I85:I91" si="43">G85*H85</f>
        <v>7939.99</v>
      </c>
      <c r="J85" s="328">
        <f ca="1">I85*(1+Dados!$C$17)</f>
        <v>11481.225539999999</v>
      </c>
      <c r="K85" s="418" t="str">
        <f>"DNIT "&amp;TEXT(Dados!$C$16,"mmm/aa")</f>
        <v>DNIT out/23</v>
      </c>
      <c r="L85" s="333" t="str">
        <f>'2.6.AP'!G19&amp;" "&amp;E85&amp;" por mês"</f>
        <v>1 Engenheiro coordenador por mês</v>
      </c>
    </row>
    <row r="86" spans="1:13" ht="15">
      <c r="A86" s="442" t="str">
        <f t="shared" si="40"/>
        <v>2.6</v>
      </c>
      <c r="B86" s="338"/>
      <c r="C86" s="339" t="str">
        <f>'2.6.AP'!B20</f>
        <v>P8003</v>
      </c>
      <c r="D86" s="324" t="s">
        <v>350</v>
      </c>
      <c r="E86" s="325" t="str">
        <f>IF(D86="PESSOAL",VLOOKUP($C86,'TC 10-2023'!$B:$Z,2,FALSE), IF(D86="EQUIPAMENTOS",VLOOKUP($C86,Equip.Info!A:I,2,FALSE),VLOOKUP($C86,Mat.Info!A:H,2,FALSE)))</f>
        <v>Advogado sênior</v>
      </c>
      <c r="F86" s="413" t="str">
        <f t="shared" si="42"/>
        <v>mês</v>
      </c>
      <c r="G86" s="326">
        <f>IF($D86="PESSOAL",VLOOKUP($C86,'TC 10-2023'!$B:$Z,25,FALSE), IF($D86="EQUIPAMENTOS",VLOOKUP($C86,Equip.Info!$A:$I,8,FALSE),VLOOKUP($C86,Mat.Info!$A:$H,8,FALSE)))</f>
        <v>19214.900000000001</v>
      </c>
      <c r="H86" s="326">
        <f>'2.6.AP'!H20</f>
        <v>1</v>
      </c>
      <c r="I86" s="328">
        <f t="shared" si="43"/>
        <v>19214.900000000001</v>
      </c>
      <c r="J86" s="328">
        <f ca="1">I86*(1+Dados!$C$17)</f>
        <v>27784.7454</v>
      </c>
      <c r="K86" s="418" t="str">
        <f>"DNIT "&amp;TEXT(Dados!$C$16,"mmm/aa")</f>
        <v>DNIT out/23</v>
      </c>
      <c r="L86" s="333" t="str">
        <f>'2.6.AP'!G20&amp;" "&amp;E86&amp;" por mês"</f>
        <v>1 Advogado sênior por mês</v>
      </c>
      <c r="M86" s="331"/>
    </row>
    <row r="87" spans="1:13" ht="15">
      <c r="A87" s="442" t="str">
        <f t="shared" si="40"/>
        <v>2.6</v>
      </c>
      <c r="B87" s="338"/>
      <c r="C87" s="339" t="str">
        <f>'2.6.AP'!B21</f>
        <v>P8047</v>
      </c>
      <c r="D87" s="324" t="s">
        <v>350</v>
      </c>
      <c r="E87" s="325" t="str">
        <f>IF(D87="PESSOAL",VLOOKUP($C87,'TC 10-2023'!$B:$Z,2,FALSE), IF(D87="EQUIPAMENTOS",VLOOKUP($C87,Equip.Info!A:I,2,FALSE),VLOOKUP($C87,Mat.Info!A:H,2,FALSE)))</f>
        <v>Economista sênior</v>
      </c>
      <c r="F87" s="413" t="str">
        <f t="shared" si="42"/>
        <v>mês</v>
      </c>
      <c r="G87" s="326">
        <f>IF($D87="PESSOAL",VLOOKUP($C87,'TC 10-2023'!$B:$Z,25,FALSE), IF($D87="EQUIPAMENTOS",VLOOKUP($C87,Equip.Info!$A:$I,8,FALSE),VLOOKUP($C87,Mat.Info!$A:$H,8,FALSE)))</f>
        <v>19860.28</v>
      </c>
      <c r="H87" s="326">
        <f>'2.6.AP'!H21</f>
        <v>1</v>
      </c>
      <c r="I87" s="328">
        <f t="shared" si="43"/>
        <v>19860.28</v>
      </c>
      <c r="J87" s="328">
        <f ca="1">I87*(1+Dados!$C$17)</f>
        <v>28717.964879999996</v>
      </c>
      <c r="K87" s="418" t="str">
        <f>"DNIT "&amp;TEXT(Dados!$C$16,"mmm/aa")</f>
        <v>DNIT out/23</v>
      </c>
      <c r="L87" s="333" t="str">
        <f>'2.6.AP'!G21&amp;" "&amp;E87&amp;" por mês"</f>
        <v>1 Economista sênior por mês</v>
      </c>
      <c r="M87" s="331"/>
    </row>
    <row r="88" spans="1:13" s="331" customFormat="1" ht="15">
      <c r="A88" s="442" t="str">
        <f t="shared" si="40"/>
        <v>2.6</v>
      </c>
      <c r="B88" s="338"/>
      <c r="C88" s="339" t="str">
        <f>'2.6.AP'!B22</f>
        <v>P8060</v>
      </c>
      <c r="D88" s="324" t="s">
        <v>350</v>
      </c>
      <c r="E88" s="325" t="str">
        <f>IF(D88="PESSOAL",VLOOKUP($C88,'TC 10-2023'!$B:$Z,2,FALSE), IF(D88="EQUIPAMENTOS",VLOOKUP($C88,Equip.Info!A:I,2,FALSE),VLOOKUP($C88,Mat.Info!A:H,2,FALSE)))</f>
        <v>Engenheiro consultor especial</v>
      </c>
      <c r="F88" s="413" t="str">
        <f t="shared" si="42"/>
        <v>mês</v>
      </c>
      <c r="G88" s="326">
        <f>IF($D88="PESSOAL",VLOOKUP($C88,'TC 10-2023'!$B:$Z,25,FALSE), IF($D88="EQUIPAMENTOS",VLOOKUP($C88,Equip.Info!$A:$I,8,FALSE),VLOOKUP($C88,Mat.Info!$A:$H,8,FALSE)))</f>
        <v>37906.68</v>
      </c>
      <c r="H88" s="326">
        <f>'2.6.AP'!H22</f>
        <v>0.5</v>
      </c>
      <c r="I88" s="328">
        <f t="shared" si="43"/>
        <v>18953.34</v>
      </c>
      <c r="J88" s="328">
        <f ca="1">I88*(1+Dados!$C$17)</f>
        <v>27406.529640000001</v>
      </c>
      <c r="K88" s="418" t="str">
        <f>"DNIT "&amp;TEXT(Dados!$C$16,"mmm/aa")</f>
        <v>DNIT out/23</v>
      </c>
      <c r="L88" s="333" t="str">
        <f>'2.6.AP'!G22&amp;" "&amp;E88&amp;" por mês"</f>
        <v>1 Engenheiro consultor especial por mês</v>
      </c>
    </row>
    <row r="89" spans="1:13" s="331" customFormat="1" ht="15">
      <c r="A89" s="442" t="str">
        <f t="shared" si="40"/>
        <v>2.6</v>
      </c>
      <c r="B89" s="338"/>
      <c r="C89" s="339" t="str">
        <f>'2.6.AP'!B23</f>
        <v>P8067</v>
      </c>
      <c r="D89" s="324" t="s">
        <v>350</v>
      </c>
      <c r="E89" s="325" t="str">
        <f>IF(D89="PESSOAL",VLOOKUP($C89,'TC 10-2023'!$B:$Z,2,FALSE), IF(D89="EQUIPAMENTOS",VLOOKUP($C89,Equip.Info!A:I,2,FALSE),VLOOKUP($C89,Mat.Info!A:H,2,FALSE)))</f>
        <v>Engenheiro de projetos sênior</v>
      </c>
      <c r="F89" s="413" t="str">
        <f t="shared" si="42"/>
        <v>mês</v>
      </c>
      <c r="G89" s="326">
        <f>IF($D89="PESSOAL",VLOOKUP($C89,'TC 10-2023'!$B:$Z,25,FALSE), IF($D89="EQUIPAMENTOS",VLOOKUP($C89,Equip.Info!$A:$I,8,FALSE),VLOOKUP($C89,Mat.Info!$A:$H,8,FALSE)))</f>
        <v>27604.86</v>
      </c>
      <c r="H89" s="326">
        <f>'2.6.AP'!H23</f>
        <v>1</v>
      </c>
      <c r="I89" s="328">
        <f t="shared" si="43"/>
        <v>27604.86</v>
      </c>
      <c r="J89" s="328">
        <f ca="1">I89*(1+Dados!$C$17)</f>
        <v>39916.627560000001</v>
      </c>
      <c r="K89" s="418" t="str">
        <f>"DNIT "&amp;TEXT(Dados!$C$16,"mmm/aa")</f>
        <v>DNIT out/23</v>
      </c>
      <c r="L89" s="333" t="str">
        <f>'2.6.AP'!G23&amp;" "&amp;E89&amp;" por mês"</f>
        <v>2 Engenheiro de projetos sênior por mês</v>
      </c>
    </row>
    <row r="90" spans="1:13" s="331" customFormat="1" ht="25.5">
      <c r="A90" s="442" t="str">
        <f t="shared" si="40"/>
        <v>2.6</v>
      </c>
      <c r="B90" s="340"/>
      <c r="C90" s="339" t="str">
        <f>'2.9.ADJR'!$B$12</f>
        <v>EQSF002</v>
      </c>
      <c r="D90" s="324" t="s">
        <v>352</v>
      </c>
      <c r="E90" s="325" t="str">
        <f>IF(D90="PESSOAL",VLOOKUP($C90,'TC 10-2023'!$B:$Z,2,FALSE), IF(D90="EQUIPAMENTOS",VLOOKUP($C90,Equip.Info!A:I,2,FALSE),VLOOKUP($C90,Mat.Info!A:H,2,FALSE)))</f>
        <v>Laptop completo, processador Intel Core i5, 16GB memória, Resolução 3.840x2.160 (4K), PV GPU de 4GB e Sistema Operacional.</v>
      </c>
      <c r="F90" s="413" t="str">
        <f t="shared" si="41"/>
        <v>h</v>
      </c>
      <c r="G90" s="326">
        <f>IF($D90="PESSOAL",VLOOKUP($C90,'TC 10-2023'!$B:$Z,25,FALSE), IF($D90="EQUIPAMENTOS",VLOOKUP($C90,Equip.Info!$A:$I,8,FALSE),VLOOKUP($C90,Mat.Info!$A:$H,8,FALSE)))</f>
        <v>0.217</v>
      </c>
      <c r="H90" s="329">
        <f>'2.6.AP'!$F$12</f>
        <v>729.96</v>
      </c>
      <c r="I90" s="328">
        <f t="shared" si="43"/>
        <v>158.40132</v>
      </c>
      <c r="J90" s="328">
        <f ca="1">I90*(1+Dados!$C$17)</f>
        <v>229.04830871999999</v>
      </c>
      <c r="K90" s="418" t="s">
        <v>667</v>
      </c>
      <c r="L90" s="333" t="s">
        <v>567</v>
      </c>
    </row>
    <row r="91" spans="1:13" s="331" customFormat="1" ht="15">
      <c r="A91" s="442" t="str">
        <f t="shared" si="40"/>
        <v>2.6</v>
      </c>
      <c r="B91" s="340"/>
      <c r="C91" s="339" t="str">
        <f>'2.9.ADJR'!$B$31</f>
        <v>MTSF001</v>
      </c>
      <c r="D91" s="324" t="s">
        <v>448</v>
      </c>
      <c r="E91" s="325" t="str">
        <f>IF(D91="PESSOAL",VLOOKUP($C91,'TC 10-2023'!$B:$Z,2,FALSE), IF(D91="EQUIPAMENTOS",VLOOKUP($C91,Equip.Info!A:I,2,FALSE),VLOOKUP($C91,Mat.Info!A:H,2,FALSE)))</f>
        <v>Pacote Microsoft 365 Business Basic</v>
      </c>
      <c r="F91" s="413" t="str">
        <f t="shared" si="41"/>
        <v>h</v>
      </c>
      <c r="G91" s="326">
        <f>IF($D91="PESSOAL",VLOOKUP($C91,'TC 10-2023'!$B:$Z,25,FALSE), IF($D91="EQUIPAMENTOS",VLOOKUP($C91,Equip.Info!$A:$I,8,FALSE),VLOOKUP($C91,Mat.Info!$A:$H,8,FALSE)))</f>
        <v>0.16250000000000001</v>
      </c>
      <c r="H91" s="329">
        <f>'2.6.AP'!$I$31</f>
        <v>729.96</v>
      </c>
      <c r="I91" s="328">
        <f t="shared" si="43"/>
        <v>118.61850000000001</v>
      </c>
      <c r="J91" s="328">
        <f ca="1">I91*(1+Dados!$C$17)</f>
        <v>171.52235100000001</v>
      </c>
      <c r="K91" s="418" t="s">
        <v>667</v>
      </c>
      <c r="L91" s="333" t="s">
        <v>691</v>
      </c>
    </row>
    <row r="92" spans="1:13" s="331" customFormat="1" ht="33.75">
      <c r="A92" s="442" t="str">
        <f t="shared" si="40"/>
        <v>2.6</v>
      </c>
      <c r="B92" s="340"/>
      <c r="C92" s="428" t="s">
        <v>550</v>
      </c>
      <c r="D92" s="324" t="s">
        <v>526</v>
      </c>
      <c r="E92" s="325" t="s">
        <v>547</v>
      </c>
      <c r="F92" s="413" t="s">
        <v>544</v>
      </c>
      <c r="G92" s="326">
        <f>I92/H92</f>
        <v>497.33333333333331</v>
      </c>
      <c r="H92" s="327">
        <f>IF(D92="PASSAGENS",SUMIFS('Diárias e Passagens'!K:K,'Diárias e Passagens'!A:A,A92),SUMIFS('Diárias e Passagens'!N:N,'Diárias e Passagens'!A:A,A92))</f>
        <v>4</v>
      </c>
      <c r="I92" s="328">
        <f>IF(D92="PASSAGENS",SUMIFS('Diárias e Passagens'!M:M,'Diárias e Passagens'!A:A,A92),SUMIFS('Diárias e Passagens'!P:P,'Diárias e Passagens'!A:A,A92))</f>
        <v>1989.3333333333333</v>
      </c>
      <c r="J92" s="328">
        <f ca="1">I92*(1+Dados!$C$17)</f>
        <v>2876.576</v>
      </c>
      <c r="K92" s="419" t="s">
        <v>546</v>
      </c>
      <c r="L92" s="333" t="s">
        <v>563</v>
      </c>
    </row>
    <row r="93" spans="1:13" ht="33.75">
      <c r="A93" s="442" t="str">
        <f t="shared" si="40"/>
        <v>2.6</v>
      </c>
      <c r="B93" s="340"/>
      <c r="C93" s="428" t="s">
        <v>550</v>
      </c>
      <c r="D93" s="324" t="s">
        <v>351</v>
      </c>
      <c r="E93" s="325" t="s">
        <v>548</v>
      </c>
      <c r="F93" s="413" t="s">
        <v>543</v>
      </c>
      <c r="G93" s="326">
        <f>I93/H93</f>
        <v>600</v>
      </c>
      <c r="H93" s="327">
        <f>IF(D93="PASSAGENS",SUMIFS('Diárias e Passagens'!K:K,'Diárias e Passagens'!A:A,A93),SUMIFS('Diárias e Passagens'!N:N,'Diárias e Passagens'!A:A,A93))</f>
        <v>8</v>
      </c>
      <c r="I93" s="328">
        <f>IF(D93="PASSAGENS",SUMIFS('Diárias e Passagens'!M:M,'Diárias e Passagens'!A:A,A93),SUMIFS('Diárias e Passagens'!P:P,'Diárias e Passagens'!A:A,A93))</f>
        <v>4800</v>
      </c>
      <c r="J93" s="328">
        <f ca="1">I93*(1+Dados!$C$17)</f>
        <v>6940.8</v>
      </c>
      <c r="K93" s="419" t="str">
        <f>Diárias!$I$6</f>
        <v>DECRETO Nº 11.872, DE 29 DE DEZEMBRO DE 2023</v>
      </c>
      <c r="L93" s="333" t="s">
        <v>564</v>
      </c>
      <c r="M93" s="331"/>
    </row>
    <row r="94" spans="1:13">
      <c r="A94" s="442" t="str">
        <f>A93</f>
        <v>2.6</v>
      </c>
      <c r="B94" s="340"/>
      <c r="C94" s="440" t="str">
        <f>'Inspeção-Veículo'!B11</f>
        <v>E8889</v>
      </c>
      <c r="D94" s="324" t="s">
        <v>561</v>
      </c>
      <c r="E94" s="325" t="str">
        <f>VLOOKUP(A94,'Inspeção-Veículo'!$A$9:$O$17,4,0)</f>
        <v>Veículo leve - 53 kW (sem motorista)</v>
      </c>
      <c r="F94" s="413" t="s">
        <v>299</v>
      </c>
      <c r="G94" s="326"/>
      <c r="H94" s="329"/>
      <c r="I94" s="328">
        <f>VLOOKUP(A94,'Inspeção-Veículo'!$A$9:$O$17,15,0)</f>
        <v>423.08479999999997</v>
      </c>
      <c r="J94" s="328">
        <f ca="1">I94*(1+Dados!$C$17)</f>
        <v>611.78062079999995</v>
      </c>
      <c r="K94" s="418" t="str">
        <f>"DNIT "&amp;TEXT(Dados!$C$16,"mmm/aa")</f>
        <v>DNIT out/23</v>
      </c>
      <c r="L94" s="333" t="str">
        <f>"Custo produtivo e improdutivo DNIT, considerando "&amp;'Inspeção-Veículo'!I44&amp;" de utilização produtiva."</f>
        <v>Custo produtivo e improdutivo DNIT, considerando  de utilização produtiva.</v>
      </c>
    </row>
    <row r="95" spans="1:13" s="331" customFormat="1" ht="15">
      <c r="A95" s="442" t="str">
        <f>B95</f>
        <v>2.7</v>
      </c>
      <c r="B95" s="342" t="str">
        <f>'Cronograma'!B18</f>
        <v>2.7</v>
      </c>
      <c r="C95" s="342" t="str">
        <f>'Cronograma'!C18</f>
        <v>Apoio a subsídios a questionamentos do órgão de controle externo</v>
      </c>
      <c r="D95" s="319"/>
      <c r="E95" s="320"/>
      <c r="F95" s="412"/>
      <c r="G95" s="321"/>
      <c r="H95" s="322"/>
      <c r="I95" s="323">
        <f>SUM(I96:I103)</f>
        <v>52444.899657749993</v>
      </c>
      <c r="J95" s="323">
        <f ca="1">SUM(J96:J103)</f>
        <v>75835.324905106492</v>
      </c>
      <c r="K95" s="420"/>
      <c r="L95" s="425"/>
    </row>
    <row r="96" spans="1:13" s="331" customFormat="1" ht="15">
      <c r="A96" s="442" t="str">
        <f t="shared" ref="A96:A103" si="44">A95</f>
        <v>2.7</v>
      </c>
      <c r="B96" s="338"/>
      <c r="C96" s="339" t="str">
        <f>'2.7.TCU'!B18</f>
        <v>P8044</v>
      </c>
      <c r="D96" s="324" t="s">
        <v>350</v>
      </c>
      <c r="E96" s="325" t="str">
        <f>IF(D96="PESSOAL",VLOOKUP($C96,'TC 10-2023'!$B:$Z,2,FALSE), IF(D96="EQUIPAMENTOS",VLOOKUP($C96,Equip.Info!A:I,2,FALSE),VLOOKUP($C96,Mat.Info!A:H,2,FALSE)))</f>
        <v xml:space="preserve">Coordenador ambiental </v>
      </c>
      <c r="F96" s="413" t="str">
        <f t="shared" ref="F96:F103" si="45">IF(D96="PESSOAL","mês", IF(OR(D96="EQUIPAMENTOS",D96="MATERIAL"),"h",""))</f>
        <v>mês</v>
      </c>
      <c r="G96" s="326">
        <f>IF($D96="PESSOAL",VLOOKUP($C96,'TC 10-2023'!$B:$Z,25,FALSE), IF($D96="EQUIPAMENTOS",VLOOKUP($C96,Equip.Info!$A:$I,8,FALSE),VLOOKUP($C96,Mat.Info!$A:$H,8,FALSE)))</f>
        <v>31481.62</v>
      </c>
      <c r="H96" s="326">
        <f>'2.7.TCU'!H18</f>
        <v>0.15</v>
      </c>
      <c r="I96" s="328">
        <f>G96*H96</f>
        <v>4722.2429999999995</v>
      </c>
      <c r="J96" s="328">
        <f ca="1">I96*(1+Dados!$C$17)</f>
        <v>6828.3633779999991</v>
      </c>
      <c r="K96" s="418" t="str">
        <f>"DNIT "&amp;TEXT(Dados!$C$16,"mmm/aa")</f>
        <v>DNIT out/23</v>
      </c>
      <c r="L96" s="333" t="str">
        <f>'2.7.TCU'!G18&amp;" "&amp;E96&amp;" por mês"</f>
        <v>1 Coordenador ambiental  por mês</v>
      </c>
    </row>
    <row r="97" spans="1:13" s="331" customFormat="1" ht="15">
      <c r="A97" s="442" t="str">
        <f t="shared" si="44"/>
        <v>2.7</v>
      </c>
      <c r="B97" s="338"/>
      <c r="C97" s="339" t="str">
        <f>'2.7.TCU'!B19</f>
        <v>P8061</v>
      </c>
      <c r="D97" s="324" t="s">
        <v>350</v>
      </c>
      <c r="E97" s="325" t="str">
        <f>IF(D97="PESSOAL",VLOOKUP($C97,'TC 10-2023'!$B:$Z,2,FALSE), IF(D97="EQUIPAMENTOS",VLOOKUP($C97,Equip.Info!A:I,2,FALSE),VLOOKUP($C97,Mat.Info!A:H,2,FALSE)))</f>
        <v>Engenheiro coordenador</v>
      </c>
      <c r="F97" s="413" t="str">
        <f t="shared" ref="F97:F101" si="46">IF(D97="PESSOAL","mês", IF(OR(D97="EQUIPAMENTOS",D97="MATERIAL"),"h",""))</f>
        <v>mês</v>
      </c>
      <c r="G97" s="326">
        <f>IF($D97="PESSOAL",VLOOKUP($C97,'TC 10-2023'!$B:$Z,25,FALSE), IF($D97="EQUIPAMENTOS",VLOOKUP($C97,Equip.Info!$A:$I,8,FALSE),VLOOKUP($C97,Mat.Info!$A:$H,8,FALSE)))</f>
        <v>31759.96</v>
      </c>
      <c r="H97" s="326">
        <f>'2.7.TCU'!H19</f>
        <v>0.15</v>
      </c>
      <c r="I97" s="328">
        <f t="shared" ref="I97:I101" si="47">G97*H97</f>
        <v>4763.9939999999997</v>
      </c>
      <c r="J97" s="328">
        <f ca="1">I97*(1+Dados!$C$17)</f>
        <v>6888.7353239999993</v>
      </c>
      <c r="K97" s="418" t="str">
        <f>"DNIT "&amp;TEXT(Dados!$C$16,"mmm/aa")</f>
        <v>DNIT out/23</v>
      </c>
      <c r="L97" s="333" t="str">
        <f>'2.7.TCU'!G19&amp;" "&amp;E97&amp;" por mês"</f>
        <v>1 Engenheiro coordenador por mês</v>
      </c>
    </row>
    <row r="98" spans="1:13" ht="15">
      <c r="A98" s="442" t="str">
        <f t="shared" si="44"/>
        <v>2.7</v>
      </c>
      <c r="B98" s="338"/>
      <c r="C98" s="339" t="str">
        <f>'2.7.TCU'!B20</f>
        <v>P8003</v>
      </c>
      <c r="D98" s="324" t="s">
        <v>350</v>
      </c>
      <c r="E98" s="325" t="str">
        <f>IF(D98="PESSOAL",VLOOKUP($C98,'TC 10-2023'!$B:$Z,2,FALSE), IF(D98="EQUIPAMENTOS",VLOOKUP($C98,Equip.Info!A:I,2,FALSE),VLOOKUP($C98,Mat.Info!A:H,2,FALSE)))</f>
        <v>Advogado sênior</v>
      </c>
      <c r="F98" s="413" t="str">
        <f t="shared" si="46"/>
        <v>mês</v>
      </c>
      <c r="G98" s="326">
        <f>IF($D98="PESSOAL",VLOOKUP($C98,'TC 10-2023'!$B:$Z,25,FALSE), IF($D98="EQUIPAMENTOS",VLOOKUP($C98,Equip.Info!$A:$I,8,FALSE),VLOOKUP($C98,Mat.Info!$A:$H,8,FALSE)))</f>
        <v>19214.900000000001</v>
      </c>
      <c r="H98" s="326">
        <f>'2.7.TCU'!H20</f>
        <v>0.5</v>
      </c>
      <c r="I98" s="328">
        <f t="shared" si="47"/>
        <v>9607.4500000000007</v>
      </c>
      <c r="J98" s="328">
        <f ca="1">I98*(1+Dados!$C$17)</f>
        <v>13892.3727</v>
      </c>
      <c r="K98" s="418" t="str">
        <f>"DNIT "&amp;TEXT(Dados!$C$16,"mmm/aa")</f>
        <v>DNIT out/23</v>
      </c>
      <c r="L98" s="333" t="str">
        <f>'2.7.TCU'!G20&amp;" "&amp;E98&amp;" por mês"</f>
        <v>1 Advogado sênior por mês</v>
      </c>
      <c r="M98" s="331"/>
    </row>
    <row r="99" spans="1:13" ht="15">
      <c r="A99" s="442" t="str">
        <f t="shared" si="44"/>
        <v>2.7</v>
      </c>
      <c r="B99" s="338"/>
      <c r="C99" s="339" t="str">
        <f>'2.7.TCU'!B21</f>
        <v>P8047</v>
      </c>
      <c r="D99" s="324" t="s">
        <v>350</v>
      </c>
      <c r="E99" s="325" t="str">
        <f>IF(D99="PESSOAL",VLOOKUP($C99,'TC 10-2023'!$B:$Z,2,FALSE), IF(D99="EQUIPAMENTOS",VLOOKUP($C99,Equip.Info!A:I,2,FALSE),VLOOKUP($C99,Mat.Info!A:H,2,FALSE)))</f>
        <v>Economista sênior</v>
      </c>
      <c r="F99" s="413" t="str">
        <f t="shared" si="46"/>
        <v>mês</v>
      </c>
      <c r="G99" s="326">
        <f>IF($D99="PESSOAL",VLOOKUP($C99,'TC 10-2023'!$B:$Z,25,FALSE), IF($D99="EQUIPAMENTOS",VLOOKUP($C99,Equip.Info!$A:$I,8,FALSE),VLOOKUP($C99,Mat.Info!$A:$H,8,FALSE)))</f>
        <v>19860.28</v>
      </c>
      <c r="H99" s="326">
        <f>'2.7.TCU'!H21</f>
        <v>0.5</v>
      </c>
      <c r="I99" s="328">
        <f t="shared" si="47"/>
        <v>9930.14</v>
      </c>
      <c r="J99" s="328">
        <f ca="1">I99*(1+Dados!$C$17)</f>
        <v>14358.982439999998</v>
      </c>
      <c r="K99" s="418" t="str">
        <f>"DNIT "&amp;TEXT(Dados!$C$16,"mmm/aa")</f>
        <v>DNIT out/23</v>
      </c>
      <c r="L99" s="333" t="str">
        <f>'2.7.TCU'!G21&amp;" "&amp;E99&amp;" por mês"</f>
        <v>1 Economista sênior por mês</v>
      </c>
      <c r="M99" s="331"/>
    </row>
    <row r="100" spans="1:13" s="331" customFormat="1" ht="15">
      <c r="A100" s="442" t="str">
        <f t="shared" si="44"/>
        <v>2.7</v>
      </c>
      <c r="B100" s="338"/>
      <c r="C100" s="339" t="str">
        <f>'2.7.TCU'!B22</f>
        <v>P8060</v>
      </c>
      <c r="D100" s="324" t="s">
        <v>350</v>
      </c>
      <c r="E100" s="325" t="str">
        <f>IF(D100="PESSOAL",VLOOKUP($C100,'TC 10-2023'!$B:$Z,2,FALSE), IF(D100="EQUIPAMENTOS",VLOOKUP($C100,Equip.Info!A:I,2,FALSE),VLOOKUP($C100,Mat.Info!A:H,2,FALSE)))</f>
        <v>Engenheiro consultor especial</v>
      </c>
      <c r="F100" s="413" t="str">
        <f t="shared" si="46"/>
        <v>mês</v>
      </c>
      <c r="G100" s="326">
        <f>IF($D100="PESSOAL",VLOOKUP($C100,'TC 10-2023'!$B:$Z,25,FALSE), IF($D100="EQUIPAMENTOS",VLOOKUP($C100,Equip.Info!$A:$I,8,FALSE),VLOOKUP($C100,Mat.Info!$A:$H,8,FALSE)))</f>
        <v>37906.68</v>
      </c>
      <c r="H100" s="326">
        <f>'2.7.TCU'!H22</f>
        <v>0.25</v>
      </c>
      <c r="I100" s="328">
        <f t="shared" si="47"/>
        <v>9476.67</v>
      </c>
      <c r="J100" s="328">
        <f ca="1">I100*(1+Dados!$C$17)</f>
        <v>13703.26482</v>
      </c>
      <c r="K100" s="418" t="str">
        <f>"DNIT "&amp;TEXT(Dados!$C$16,"mmm/aa")</f>
        <v>DNIT out/23</v>
      </c>
      <c r="L100" s="333" t="str">
        <f>'2.7.TCU'!G22&amp;" "&amp;E100&amp;" por mês"</f>
        <v>1 Engenheiro consultor especial por mês</v>
      </c>
    </row>
    <row r="101" spans="1:13" s="331" customFormat="1" ht="15">
      <c r="A101" s="442" t="str">
        <f t="shared" si="44"/>
        <v>2.7</v>
      </c>
      <c r="B101" s="338"/>
      <c r="C101" s="339" t="str">
        <f>'2.7.TCU'!B23</f>
        <v>P8067</v>
      </c>
      <c r="D101" s="324" t="s">
        <v>350</v>
      </c>
      <c r="E101" s="325" t="str">
        <f>IF(D101="PESSOAL",VLOOKUP($C101,'TC 10-2023'!$B:$Z,2,FALSE), IF(D101="EQUIPAMENTOS",VLOOKUP($C101,Equip.Info!A:I,2,FALSE),VLOOKUP($C101,Mat.Info!A:H,2,FALSE)))</f>
        <v>Engenheiro de projetos sênior</v>
      </c>
      <c r="F101" s="413" t="str">
        <f t="shared" si="46"/>
        <v>mês</v>
      </c>
      <c r="G101" s="326">
        <f>IF($D101="PESSOAL",VLOOKUP($C101,'TC 10-2023'!$B:$Z,25,FALSE), IF($D101="EQUIPAMENTOS",VLOOKUP($C101,Equip.Info!$A:$I,8,FALSE),VLOOKUP($C101,Mat.Info!$A:$H,8,FALSE)))</f>
        <v>27604.86</v>
      </c>
      <c r="H101" s="326">
        <f>'2.7.TCU'!H23</f>
        <v>0.5</v>
      </c>
      <c r="I101" s="328">
        <f t="shared" si="47"/>
        <v>13802.43</v>
      </c>
      <c r="J101" s="328">
        <f ca="1">I101*(1+Dados!$C$17)</f>
        <v>19958.31378</v>
      </c>
      <c r="K101" s="418" t="str">
        <f>"DNIT "&amp;TEXT(Dados!$C$16,"mmm/aa")</f>
        <v>DNIT out/23</v>
      </c>
      <c r="L101" s="333" t="str">
        <f>'2.7.TCU'!G23&amp;" "&amp;E101&amp;" por mês"</f>
        <v>2 Engenheiro de projetos sênior por mês</v>
      </c>
    </row>
    <row r="102" spans="1:13" s="331" customFormat="1" ht="25.5">
      <c r="A102" s="442" t="str">
        <f t="shared" si="44"/>
        <v>2.7</v>
      </c>
      <c r="B102" s="340"/>
      <c r="C102" s="339" t="str">
        <f>'2.9.ADJR'!$B$12</f>
        <v>EQSF002</v>
      </c>
      <c r="D102" s="324" t="s">
        <v>352</v>
      </c>
      <c r="E102" s="325" t="str">
        <f>IF(D102="PESSOAL",VLOOKUP($C102,'TC 10-2023'!$B:$Z,2,FALSE), IF(D102="EQUIPAMENTOS",VLOOKUP($C102,Equip.Info!A:I,2,FALSE),VLOOKUP($C102,Mat.Info!A:H,2,FALSE)))</f>
        <v>Laptop completo, processador Intel Core i5, 16GB memória, Resolução 3.840x2.160 (4K), PV GPU de 4GB e Sistema Operacional.</v>
      </c>
      <c r="F102" s="413" t="str">
        <f t="shared" si="45"/>
        <v>h</v>
      </c>
      <c r="G102" s="326">
        <f>IF($D102="PESSOAL",VLOOKUP($C102,'TC 10-2023'!$B:$Z,25,FALSE), IF($D102="EQUIPAMENTOS",VLOOKUP($C102,Equip.Info!$A:$I,8,FALSE),VLOOKUP($C102,Mat.Info!$A:$H,8,FALSE)))</f>
        <v>0.217</v>
      </c>
      <c r="H102" s="329">
        <f>'2.7.TCU'!$F$12</f>
        <v>374.10450000000003</v>
      </c>
      <c r="I102" s="328">
        <f t="shared" ref="I102:I103" si="48">G102*H102</f>
        <v>81.180676500000004</v>
      </c>
      <c r="J102" s="328">
        <f ca="1">I102*(1+Dados!$C$17)</f>
        <v>117.387258219</v>
      </c>
      <c r="K102" s="418" t="s">
        <v>667</v>
      </c>
      <c r="L102" s="333" t="s">
        <v>567</v>
      </c>
    </row>
    <row r="103" spans="1:13" s="331" customFormat="1" ht="15">
      <c r="A103" s="442" t="str">
        <f t="shared" si="44"/>
        <v>2.7</v>
      </c>
      <c r="B103" s="340"/>
      <c r="C103" s="339" t="str">
        <f>'2.9.ADJR'!$B$31</f>
        <v>MTSF001</v>
      </c>
      <c r="D103" s="324" t="s">
        <v>448</v>
      </c>
      <c r="E103" s="325" t="str">
        <f>IF(D103="PESSOAL",VLOOKUP($C103,'TC 10-2023'!$B:$Z,2,FALSE), IF(D103="EQUIPAMENTOS",VLOOKUP($C103,Equip.Info!A:I,2,FALSE),VLOOKUP($C103,Mat.Info!A:H,2,FALSE)))</f>
        <v>Pacote Microsoft 365 Business Basic</v>
      </c>
      <c r="F103" s="413" t="str">
        <f t="shared" si="45"/>
        <v>h</v>
      </c>
      <c r="G103" s="326">
        <f>IF($D103="PESSOAL",VLOOKUP($C103,'TC 10-2023'!$B:$Z,25,FALSE), IF($D103="EQUIPAMENTOS",VLOOKUP($C103,Equip.Info!$A:$I,8,FALSE),VLOOKUP($C103,Mat.Info!$A:$H,8,FALSE)))</f>
        <v>0.16250000000000001</v>
      </c>
      <c r="H103" s="329">
        <f>'2.7.TCU'!$I$31</f>
        <v>374.10450000000003</v>
      </c>
      <c r="I103" s="328">
        <f t="shared" si="48"/>
        <v>60.791981250000006</v>
      </c>
      <c r="J103" s="328">
        <f ca="1">I103*(1+Dados!$C$17)</f>
        <v>87.905204887500005</v>
      </c>
      <c r="K103" s="418" t="s">
        <v>667</v>
      </c>
      <c r="L103" s="333" t="s">
        <v>691</v>
      </c>
    </row>
    <row r="104" spans="1:13" s="331" customFormat="1" ht="15">
      <c r="A104" s="442" t="str">
        <f>B104</f>
        <v>2.8</v>
      </c>
      <c r="B104" s="342" t="str">
        <f>'Cronograma'!B19</f>
        <v>2.8</v>
      </c>
      <c r="C104" s="342" t="str">
        <f>'Cronograma'!C19</f>
        <v>Apoio a subsídios a questionamentos do processo licitatório</v>
      </c>
      <c r="D104" s="319"/>
      <c r="E104" s="320"/>
      <c r="F104" s="412"/>
      <c r="G104" s="321"/>
      <c r="H104" s="322"/>
      <c r="I104" s="323">
        <f>SUM(I105:I112)</f>
        <v>32553.943945999999</v>
      </c>
      <c r="J104" s="323">
        <f ca="1">SUM(J105:J112)</f>
        <v>47073.002945916</v>
      </c>
      <c r="K104" s="420"/>
      <c r="L104" s="425"/>
    </row>
    <row r="105" spans="1:13" s="331" customFormat="1" ht="15">
      <c r="A105" s="442" t="str">
        <f t="shared" ref="A105:A112" si="49">A104</f>
        <v>2.8</v>
      </c>
      <c r="B105" s="338"/>
      <c r="C105" s="339" t="str">
        <f>'2.8.Edital'!B18</f>
        <v>P8044</v>
      </c>
      <c r="D105" s="324" t="s">
        <v>350</v>
      </c>
      <c r="E105" s="325" t="str">
        <f>IF(D105="PESSOAL",VLOOKUP($C105,'TC 10-2023'!$B:$Z,2,FALSE), IF(D105="EQUIPAMENTOS",VLOOKUP($C105,Equip.Info!A:I,2,FALSE),VLOOKUP($C105,Mat.Info!A:H,2,FALSE)))</f>
        <v xml:space="preserve">Coordenador ambiental </v>
      </c>
      <c r="F105" s="413" t="str">
        <f t="shared" ref="F105:F112" si="50">IF(D105="PESSOAL","mês", IF(OR(D105="EQUIPAMENTOS",D105="MATERIAL"),"h",""))</f>
        <v>mês</v>
      </c>
      <c r="G105" s="326">
        <f>IF($D105="PESSOAL",VLOOKUP($C105,'TC 10-2023'!$B:$Z,25,FALSE), IF($D105="EQUIPAMENTOS",VLOOKUP($C105,Equip.Info!$A:$I,8,FALSE),VLOOKUP($C105,Mat.Info!$A:$H,8,FALSE)))</f>
        <v>31481.62</v>
      </c>
      <c r="H105" s="326">
        <f>'2.8.Edital'!H18</f>
        <v>0.1</v>
      </c>
      <c r="I105" s="328">
        <f>G105*H105</f>
        <v>3148.1620000000003</v>
      </c>
      <c r="J105" s="328">
        <f ca="1">I105*(1+Dados!$C$17)</f>
        <v>4552.242252</v>
      </c>
      <c r="K105" s="418" t="str">
        <f>"DNIT "&amp;TEXT(Dados!$C$16,"mmm/aa")</f>
        <v>DNIT out/23</v>
      </c>
      <c r="L105" s="333" t="str">
        <f>'2.8.Edital'!G18&amp;" "&amp;E105&amp;" por mês"</f>
        <v>1 Coordenador ambiental  por mês</v>
      </c>
    </row>
    <row r="106" spans="1:13" s="331" customFormat="1" ht="15">
      <c r="A106" s="442" t="str">
        <f t="shared" si="49"/>
        <v>2.8</v>
      </c>
      <c r="B106" s="338"/>
      <c r="C106" s="339" t="str">
        <f>'2.8.Edital'!B19</f>
        <v>P8061</v>
      </c>
      <c r="D106" s="324" t="s">
        <v>350</v>
      </c>
      <c r="E106" s="325" t="str">
        <f>IF(D106="PESSOAL",VLOOKUP($C106,'TC 10-2023'!$B:$Z,2,FALSE), IF(D106="EQUIPAMENTOS",VLOOKUP($C106,Equip.Info!A:I,2,FALSE),VLOOKUP($C106,Mat.Info!A:H,2,FALSE)))</f>
        <v>Engenheiro coordenador</v>
      </c>
      <c r="F106" s="413" t="str">
        <f t="shared" ref="F106:F110" si="51">IF(D106="PESSOAL","mês", IF(OR(D106="EQUIPAMENTOS",D106="MATERIAL"),"h",""))</f>
        <v>mês</v>
      </c>
      <c r="G106" s="326">
        <f>IF($D106="PESSOAL",VLOOKUP($C106,'TC 10-2023'!$B:$Z,25,FALSE), IF($D106="EQUIPAMENTOS",VLOOKUP($C106,Equip.Info!$A:$I,8,FALSE),VLOOKUP($C106,Mat.Info!$A:$H,8,FALSE)))</f>
        <v>31759.96</v>
      </c>
      <c r="H106" s="326">
        <f>'2.8.Edital'!H19</f>
        <v>0.1</v>
      </c>
      <c r="I106" s="328">
        <f t="shared" ref="I106:I110" si="52">G106*H106</f>
        <v>3175.9960000000001</v>
      </c>
      <c r="J106" s="328">
        <f ca="1">I106*(1+Dados!$C$17)</f>
        <v>4592.4902160000001</v>
      </c>
      <c r="K106" s="418" t="str">
        <f>"DNIT "&amp;TEXT(Dados!$C$16,"mmm/aa")</f>
        <v>DNIT out/23</v>
      </c>
      <c r="L106" s="333" t="str">
        <f>'2.8.Edital'!G19&amp;" "&amp;E106&amp;" por mês"</f>
        <v>1 Engenheiro coordenador por mês</v>
      </c>
    </row>
    <row r="107" spans="1:13" ht="15">
      <c r="A107" s="442" t="str">
        <f t="shared" si="49"/>
        <v>2.8</v>
      </c>
      <c r="B107" s="338"/>
      <c r="C107" s="339" t="str">
        <f>'2.8.Edital'!B20</f>
        <v>P8003</v>
      </c>
      <c r="D107" s="324" t="s">
        <v>350</v>
      </c>
      <c r="E107" s="325" t="str">
        <f>IF(D107="PESSOAL",VLOOKUP($C107,'TC 10-2023'!$B:$Z,2,FALSE), IF(D107="EQUIPAMENTOS",VLOOKUP($C107,Equip.Info!A:I,2,FALSE),VLOOKUP($C107,Mat.Info!A:H,2,FALSE)))</f>
        <v>Advogado sênior</v>
      </c>
      <c r="F107" s="413" t="str">
        <f t="shared" si="51"/>
        <v>mês</v>
      </c>
      <c r="G107" s="326">
        <f>IF($D107="PESSOAL",VLOOKUP($C107,'TC 10-2023'!$B:$Z,25,FALSE), IF($D107="EQUIPAMENTOS",VLOOKUP($C107,Equip.Info!$A:$I,8,FALSE),VLOOKUP($C107,Mat.Info!$A:$H,8,FALSE)))</f>
        <v>19214.900000000001</v>
      </c>
      <c r="H107" s="326">
        <f>'2.8.Edital'!H20</f>
        <v>0.25</v>
      </c>
      <c r="I107" s="328">
        <f t="shared" si="52"/>
        <v>4803.7250000000004</v>
      </c>
      <c r="J107" s="328">
        <f ca="1">I107*(1+Dados!$C$17)</f>
        <v>6946.1863499999999</v>
      </c>
      <c r="K107" s="418" t="str">
        <f>"DNIT "&amp;TEXT(Dados!$C$16,"mmm/aa")</f>
        <v>DNIT out/23</v>
      </c>
      <c r="L107" s="333" t="str">
        <f>'2.8.Edital'!G20&amp;" "&amp;E107&amp;" por mês"</f>
        <v>1 Advogado sênior por mês</v>
      </c>
      <c r="M107" s="331"/>
    </row>
    <row r="108" spans="1:13" ht="15">
      <c r="A108" s="442" t="str">
        <f t="shared" si="49"/>
        <v>2.8</v>
      </c>
      <c r="B108" s="338"/>
      <c r="C108" s="339" t="str">
        <f>'2.8.Edital'!B21</f>
        <v>P8047</v>
      </c>
      <c r="D108" s="324" t="s">
        <v>350</v>
      </c>
      <c r="E108" s="325" t="str">
        <f>IF(D108="PESSOAL",VLOOKUP($C108,'TC 10-2023'!$B:$Z,2,FALSE), IF(D108="EQUIPAMENTOS",VLOOKUP($C108,Equip.Info!A:I,2,FALSE),VLOOKUP($C108,Mat.Info!A:H,2,FALSE)))</f>
        <v>Economista sênior</v>
      </c>
      <c r="F108" s="413" t="str">
        <f t="shared" si="51"/>
        <v>mês</v>
      </c>
      <c r="G108" s="326">
        <f>IF($D108="PESSOAL",VLOOKUP($C108,'TC 10-2023'!$B:$Z,25,FALSE), IF($D108="EQUIPAMENTOS",VLOOKUP($C108,Equip.Info!$A:$I,8,FALSE),VLOOKUP($C108,Mat.Info!$A:$H,8,FALSE)))</f>
        <v>19860.28</v>
      </c>
      <c r="H108" s="326">
        <f>'2.8.Edital'!H21</f>
        <v>0.25</v>
      </c>
      <c r="I108" s="328">
        <f t="shared" si="52"/>
        <v>4965.07</v>
      </c>
      <c r="J108" s="328">
        <f ca="1">I108*(1+Dados!$C$17)</f>
        <v>7179.491219999999</v>
      </c>
      <c r="K108" s="418" t="str">
        <f>"DNIT "&amp;TEXT(Dados!$C$16,"mmm/aa")</f>
        <v>DNIT out/23</v>
      </c>
      <c r="L108" s="333" t="str">
        <f>'2.8.Edital'!G21&amp;" "&amp;E108&amp;" por mês"</f>
        <v>1 Economista sênior por mês</v>
      </c>
      <c r="M108" s="331"/>
    </row>
    <row r="109" spans="1:13" s="331" customFormat="1" ht="15">
      <c r="A109" s="442" t="str">
        <f t="shared" si="49"/>
        <v>2.8</v>
      </c>
      <c r="B109" s="338"/>
      <c r="C109" s="339" t="str">
        <f>'2.8.Edital'!B22</f>
        <v>P8060</v>
      </c>
      <c r="D109" s="324" t="s">
        <v>350</v>
      </c>
      <c r="E109" s="325" t="str">
        <f>IF(D109="PESSOAL",VLOOKUP($C109,'TC 10-2023'!$B:$Z,2,FALSE), IF(D109="EQUIPAMENTOS",VLOOKUP($C109,Equip.Info!A:I,2,FALSE),VLOOKUP($C109,Mat.Info!A:H,2,FALSE)))</f>
        <v>Engenheiro consultor especial</v>
      </c>
      <c r="F109" s="413" t="str">
        <f t="shared" si="51"/>
        <v>mês</v>
      </c>
      <c r="G109" s="326">
        <f>IF($D109="PESSOAL",VLOOKUP($C109,'TC 10-2023'!$B:$Z,25,FALSE), IF($D109="EQUIPAMENTOS",VLOOKUP($C109,Equip.Info!$A:$I,8,FALSE),VLOOKUP($C109,Mat.Info!$A:$H,8,FALSE)))</f>
        <v>37906.68</v>
      </c>
      <c r="H109" s="326">
        <f>'2.8.Edital'!H22</f>
        <v>0.25</v>
      </c>
      <c r="I109" s="328">
        <f t="shared" si="52"/>
        <v>9476.67</v>
      </c>
      <c r="J109" s="328">
        <f ca="1">I109*(1+Dados!$C$17)</f>
        <v>13703.26482</v>
      </c>
      <c r="K109" s="418" t="str">
        <f>"DNIT "&amp;TEXT(Dados!$C$16,"mmm/aa")</f>
        <v>DNIT out/23</v>
      </c>
      <c r="L109" s="333" t="str">
        <f>'2.8.Edital'!G22&amp;" "&amp;E109&amp;" por mês"</f>
        <v>1 Engenheiro consultor especial por mês</v>
      </c>
    </row>
    <row r="110" spans="1:13" s="331" customFormat="1" ht="15">
      <c r="A110" s="442" t="str">
        <f t="shared" si="49"/>
        <v>2.8</v>
      </c>
      <c r="B110" s="338"/>
      <c r="C110" s="339" t="str">
        <f>'2.8.Edital'!B23</f>
        <v>P8067</v>
      </c>
      <c r="D110" s="324" t="s">
        <v>350</v>
      </c>
      <c r="E110" s="325" t="str">
        <f>IF(D110="PESSOAL",VLOOKUP($C110,'TC 10-2023'!$B:$Z,2,FALSE), IF(D110="EQUIPAMENTOS",VLOOKUP($C110,Equip.Info!A:I,2,FALSE),VLOOKUP($C110,Mat.Info!A:H,2,FALSE)))</f>
        <v>Engenheiro de projetos sênior</v>
      </c>
      <c r="F110" s="413" t="str">
        <f t="shared" si="51"/>
        <v>mês</v>
      </c>
      <c r="G110" s="326">
        <f>IF($D110="PESSOAL",VLOOKUP($C110,'TC 10-2023'!$B:$Z,25,FALSE), IF($D110="EQUIPAMENTOS",VLOOKUP($C110,Equip.Info!$A:$I,8,FALSE),VLOOKUP($C110,Mat.Info!$A:$H,8,FALSE)))</f>
        <v>27604.86</v>
      </c>
      <c r="H110" s="326">
        <f>'2.8.Edital'!H23</f>
        <v>0.25</v>
      </c>
      <c r="I110" s="328">
        <f t="shared" si="52"/>
        <v>6901.2150000000001</v>
      </c>
      <c r="J110" s="328">
        <f ca="1">I110*(1+Dados!$C$17)</f>
        <v>9979.1568900000002</v>
      </c>
      <c r="K110" s="418" t="str">
        <f>"DNIT "&amp;TEXT(Dados!$C$16,"mmm/aa")</f>
        <v>DNIT out/23</v>
      </c>
      <c r="L110" s="333" t="str">
        <f>'2.8.Edital'!G23&amp;" "&amp;E110&amp;" por mês"</f>
        <v>1 Engenheiro de projetos sênior por mês</v>
      </c>
    </row>
    <row r="111" spans="1:13" s="331" customFormat="1" ht="25.5">
      <c r="A111" s="442" t="str">
        <f t="shared" si="49"/>
        <v>2.8</v>
      </c>
      <c r="B111" s="340"/>
      <c r="C111" s="339" t="str">
        <f>'2.9.ADJR'!$B$12</f>
        <v>EQSF002</v>
      </c>
      <c r="D111" s="324" t="s">
        <v>352</v>
      </c>
      <c r="E111" s="325" t="str">
        <f>IF(D111="PESSOAL",VLOOKUP($C111,'TC 10-2023'!$B:$Z,2,FALSE), IF(D111="EQUIPAMENTOS",VLOOKUP($C111,Equip.Info!A:I,2,FALSE),VLOOKUP($C111,Mat.Info!A:H,2,FALSE)))</f>
        <v>Laptop completo, processador Intel Core i5, 16GB memória, Resolução 3.840x2.160 (4K), PV GPU de 4GB e Sistema Operacional.</v>
      </c>
      <c r="F111" s="413" t="str">
        <f t="shared" si="50"/>
        <v>h</v>
      </c>
      <c r="G111" s="326">
        <f>IF($D111="PESSOAL",VLOOKUP($C111,'TC 10-2023'!$B:$Z,25,FALSE), IF($D111="EQUIPAMENTOS",VLOOKUP($C111,Equip.Info!$A:$I,8,FALSE),VLOOKUP($C111,Mat.Info!$A:$H,8,FALSE)))</f>
        <v>0.217</v>
      </c>
      <c r="H111" s="329">
        <f>'2.8.Edital'!$F$12</f>
        <v>218.988</v>
      </c>
      <c r="I111" s="328">
        <f t="shared" ref="I111:I112" si="53">G111*H111</f>
        <v>47.520395999999998</v>
      </c>
      <c r="J111" s="328">
        <f ca="1">I111*(1+Dados!$C$17)</f>
        <v>68.714492616000001</v>
      </c>
      <c r="K111" s="418" t="s">
        <v>667</v>
      </c>
      <c r="L111" s="333" t="s">
        <v>567</v>
      </c>
    </row>
    <row r="112" spans="1:13" s="331" customFormat="1" ht="15">
      <c r="A112" s="442" t="str">
        <f t="shared" si="49"/>
        <v>2.8</v>
      </c>
      <c r="B112" s="340"/>
      <c r="C112" s="339" t="str">
        <f>'2.9.ADJR'!$B$31</f>
        <v>MTSF001</v>
      </c>
      <c r="D112" s="324" t="s">
        <v>448</v>
      </c>
      <c r="E112" s="325" t="str">
        <f>IF(D112="PESSOAL",VLOOKUP($C112,'TC 10-2023'!$B:$Z,2,FALSE), IF(D112="EQUIPAMENTOS",VLOOKUP($C112,Equip.Info!A:I,2,FALSE),VLOOKUP($C112,Mat.Info!A:H,2,FALSE)))</f>
        <v>Pacote Microsoft 365 Business Basic</v>
      </c>
      <c r="F112" s="413" t="str">
        <f t="shared" si="50"/>
        <v>h</v>
      </c>
      <c r="G112" s="326">
        <f>IF($D112="PESSOAL",VLOOKUP($C112,'TC 10-2023'!$B:$Z,25,FALSE), IF($D112="EQUIPAMENTOS",VLOOKUP($C112,Equip.Info!$A:$I,8,FALSE),VLOOKUP($C112,Mat.Info!$A:$H,8,FALSE)))</f>
        <v>0.16250000000000001</v>
      </c>
      <c r="H112" s="329">
        <f>'2.8.Edital'!$I$31</f>
        <v>218.988</v>
      </c>
      <c r="I112" s="328">
        <f t="shared" si="53"/>
        <v>35.585549999999998</v>
      </c>
      <c r="J112" s="328">
        <f ca="1">I112*(1+Dados!$C$17)</f>
        <v>51.456705299999996</v>
      </c>
      <c r="K112" s="418" t="s">
        <v>667</v>
      </c>
      <c r="L112" s="333" t="s">
        <v>691</v>
      </c>
    </row>
    <row r="113" spans="1:17" s="331" customFormat="1" ht="15">
      <c r="A113" s="442" t="str">
        <f>B113</f>
        <v>2.9</v>
      </c>
      <c r="B113" s="342" t="str">
        <f>'Cronograma'!B20</f>
        <v>2.9</v>
      </c>
      <c r="C113" s="342" t="str">
        <f>'Cronograma'!C20</f>
        <v>Apoio Documental Jurídico-Regulatório (ADJR)</v>
      </c>
      <c r="D113" s="319"/>
      <c r="E113" s="320"/>
      <c r="F113" s="412"/>
      <c r="G113" s="321"/>
      <c r="H113" s="322"/>
      <c r="I113" s="323">
        <f>SUM(I114:I117)</f>
        <v>14528.9464505</v>
      </c>
      <c r="J113" s="323">
        <f ca="1">SUM(J114:J117)</f>
        <v>21008.856567422998</v>
      </c>
      <c r="K113" s="420"/>
      <c r="L113" s="425"/>
    </row>
    <row r="114" spans="1:17" s="331" customFormat="1" ht="15">
      <c r="A114" s="442" t="str">
        <f>A113</f>
        <v>2.9</v>
      </c>
      <c r="B114" s="338"/>
      <c r="C114" s="339" t="str">
        <f>'2.9.ADJR'!B18</f>
        <v>P8002</v>
      </c>
      <c r="D114" s="324" t="s">
        <v>350</v>
      </c>
      <c r="E114" s="325" t="str">
        <f>IF(D114="PESSOAL",VLOOKUP($C114,'TC 10-2023'!$B:$Z,2,FALSE), IF(D114="EQUIPAMENTOS",VLOOKUP($C114,Equip.Info!A:I,2,FALSE),VLOOKUP($C114,Mat.Info!A:H,2,FALSE)))</f>
        <v>Advogado pleno</v>
      </c>
      <c r="F114" s="413" t="str">
        <f t="shared" ref="F114:F117" si="54">IF(D114="PESSOAL","mês", IF(OR(D114="EQUIPAMENTOS",D114="MATERIAL"),"h",""))</f>
        <v>mês</v>
      </c>
      <c r="G114" s="326">
        <f>IF($D114="PESSOAL",VLOOKUP($C114,'TC 10-2023'!$B:$Z,25,FALSE), IF($D114="EQUIPAMENTOS",VLOOKUP($C114,Equip.Info!$A:$I,8,FALSE),VLOOKUP($C114,Mat.Info!$A:$H,8,FALSE)))</f>
        <v>11276.77</v>
      </c>
      <c r="H114" s="326">
        <f>'2.9.ADJR'!H18</f>
        <v>1</v>
      </c>
      <c r="I114" s="328">
        <f>G114*H114</f>
        <v>11276.77</v>
      </c>
      <c r="J114" s="328">
        <f ca="1">I114*(1+Dados!$C$17)</f>
        <v>16306.209419999999</v>
      </c>
      <c r="K114" s="418" t="str">
        <f>"DNIT "&amp;TEXT(Dados!$C$16,"mmm/aa")</f>
        <v>DNIT out/23</v>
      </c>
      <c r="L114" s="333" t="str">
        <f>'2.9.ADJR'!G18&amp;" "&amp;E114&amp;" por mês"</f>
        <v>1 Advogado pleno por mês</v>
      </c>
    </row>
    <row r="115" spans="1:17" s="331" customFormat="1" ht="15">
      <c r="A115" s="442" t="str">
        <f>A114</f>
        <v>2.9</v>
      </c>
      <c r="B115" s="338"/>
      <c r="C115" s="339" t="str">
        <f>'2.9.ADJR'!B19</f>
        <v>P8061</v>
      </c>
      <c r="D115" s="324" t="s">
        <v>350</v>
      </c>
      <c r="E115" s="325" t="str">
        <f>IF(D115="PESSOAL",VLOOKUP($C115,'TC 10-2023'!$B:$Z,2,FALSE), IF(D115="EQUIPAMENTOS",VLOOKUP($C115,Equip.Info!A:I,2,FALSE),VLOOKUP($C115,Mat.Info!A:H,2,FALSE)))</f>
        <v>Engenheiro coordenador</v>
      </c>
      <c r="F115" s="413" t="str">
        <f t="shared" ref="F115" si="55">IF(D115="PESSOAL","mês", IF(OR(D115="EQUIPAMENTOS",D115="MATERIAL"),"h",""))</f>
        <v>mês</v>
      </c>
      <c r="G115" s="326">
        <f>IF($D115="PESSOAL",VLOOKUP($C115,'TC 10-2023'!$B:$Z,25,FALSE), IF($D115="EQUIPAMENTOS",VLOOKUP($C115,Equip.Info!$A:$I,8,FALSE),VLOOKUP($C115,Mat.Info!$A:$H,8,FALSE)))</f>
        <v>31759.96</v>
      </c>
      <c r="H115" s="326">
        <f>'2.9.ADJR'!H19</f>
        <v>0.1</v>
      </c>
      <c r="I115" s="328">
        <f t="shared" ref="I115" si="56">G115*H115</f>
        <v>3175.9960000000001</v>
      </c>
      <c r="J115" s="328">
        <f ca="1">I115*(1+Dados!$C$17)</f>
        <v>4592.4902160000001</v>
      </c>
      <c r="K115" s="418" t="str">
        <f>"DNIT "&amp;TEXT(Dados!$C$16,"mmm/aa")</f>
        <v>DNIT out/23</v>
      </c>
      <c r="L115" s="333" t="str">
        <f>'2.9.ADJR'!G19&amp;" "&amp;E115&amp;" por mês"</f>
        <v>1 Engenheiro coordenador por mês</v>
      </c>
    </row>
    <row r="116" spans="1:17" ht="25.5">
      <c r="A116" s="442" t="str">
        <f>A115</f>
        <v>2.9</v>
      </c>
      <c r="B116" s="338"/>
      <c r="C116" s="339" t="str">
        <f>'2.9.ADJR'!$B$12</f>
        <v>EQSF002</v>
      </c>
      <c r="D116" s="324" t="s">
        <v>352</v>
      </c>
      <c r="E116" s="325" t="str">
        <f>IF(D116="PESSOAL",VLOOKUP($C116,'TC 10-2023'!$B:$Z,2,FALSE), IF(D116="EQUIPAMENTOS",VLOOKUP($C116,Equip.Info!A:I,2,FALSE),VLOOKUP($C116,Mat.Info!A:H,2,FALSE)))</f>
        <v>Laptop completo, processador Intel Core i5, 16GB memória, Resolução 3.840x2.160 (4K), PV GPU de 4GB e Sistema Operacional.</v>
      </c>
      <c r="F116" s="413" t="str">
        <f t="shared" si="54"/>
        <v>h</v>
      </c>
      <c r="G116" s="326">
        <f>IF($D116="PESSOAL",VLOOKUP($C116,'TC 10-2023'!$B:$Z,25,FALSE), IF($D116="EQUIPAMENTOS",VLOOKUP($C116,Equip.Info!$A:$I,8,FALSE),VLOOKUP($C116,Mat.Info!$A:$H,8,FALSE)))</f>
        <v>0.217</v>
      </c>
      <c r="H116" s="329">
        <f>'2.9.ADJR'!$F$12</f>
        <v>200.739</v>
      </c>
      <c r="I116" s="328">
        <f t="shared" ref="I116:I117" si="57">G116*H116</f>
        <v>43.560363000000002</v>
      </c>
      <c r="J116" s="328">
        <f ca="1">I116*(1+Dados!$C$17)</f>
        <v>62.988284898000003</v>
      </c>
      <c r="K116" s="418" t="s">
        <v>667</v>
      </c>
      <c r="L116" s="333" t="s">
        <v>567</v>
      </c>
      <c r="M116" s="331"/>
    </row>
    <row r="117" spans="1:17" ht="15">
      <c r="A117" s="442" t="str">
        <f>A116</f>
        <v>2.9</v>
      </c>
      <c r="B117" s="338"/>
      <c r="C117" s="339" t="str">
        <f>'2.9.ADJR'!$B$31</f>
        <v>MTSF001</v>
      </c>
      <c r="D117" s="324" t="s">
        <v>448</v>
      </c>
      <c r="E117" s="325" t="str">
        <f>IF(D117="PESSOAL",VLOOKUP($C117,'TC 10-2023'!$B:$Z,2,FALSE), IF(D117="EQUIPAMENTOS",VLOOKUP($C117,Equip.Info!A:I,2,FALSE),VLOOKUP($C117,Mat.Info!A:H,2,FALSE)))</f>
        <v>Pacote Microsoft 365 Business Basic</v>
      </c>
      <c r="F117" s="413" t="str">
        <f t="shared" si="54"/>
        <v>h</v>
      </c>
      <c r="G117" s="326">
        <f>IF($D117="PESSOAL",VLOOKUP($C117,'TC 10-2023'!$B:$Z,25,FALSE), IF($D117="EQUIPAMENTOS",VLOOKUP($C117,Equip.Info!$A:$I,8,FALSE),VLOOKUP($C117,Mat.Info!$A:$H,8,FALSE)))</f>
        <v>0.16250000000000001</v>
      </c>
      <c r="H117" s="329">
        <f>'2.9.ADJR'!$I$31</f>
        <v>200.739</v>
      </c>
      <c r="I117" s="328">
        <f t="shared" si="57"/>
        <v>32.620087500000004</v>
      </c>
      <c r="J117" s="328">
        <f ca="1">I117*(1+Dados!$C$17)</f>
        <v>47.168646525000007</v>
      </c>
      <c r="K117" s="418" t="s">
        <v>667</v>
      </c>
      <c r="L117" s="333" t="s">
        <v>691</v>
      </c>
      <c r="M117" s="331"/>
    </row>
    <row r="118" spans="1:17" ht="15">
      <c r="A118" s="442">
        <v>3</v>
      </c>
      <c r="B118" s="335">
        <f>'Cronograma'!B6</f>
        <v>3</v>
      </c>
      <c r="C118" s="335" t="str">
        <f>'Cronograma'!C6</f>
        <v>EVTEA - Segmento 2 - Rio Grande (RS) - Pelotas (RS)</v>
      </c>
      <c r="D118" s="319"/>
      <c r="E118" s="320"/>
      <c r="F118" s="412"/>
      <c r="G118" s="321"/>
      <c r="H118" s="322"/>
      <c r="I118" s="323">
        <f>I119+I219+I316</f>
        <v>649634.28657541669</v>
      </c>
      <c r="J118" s="323">
        <f ca="1">J119+J140+J151+J165+J175+J182+J194+J203+J212</f>
        <v>1929933.2088380761</v>
      </c>
      <c r="K118" s="417"/>
      <c r="L118" s="423"/>
    </row>
    <row r="119" spans="1:17" ht="15">
      <c r="A119" s="442" t="str">
        <f>A118&amp;".1"</f>
        <v>3.1</v>
      </c>
      <c r="B119" s="512" t="str">
        <f>A119</f>
        <v>3.1</v>
      </c>
      <c r="C119" s="344" t="str">
        <f>'Cronograma'!C25</f>
        <v>Dimensão de Mercado e Demanda (EMD)</v>
      </c>
      <c r="D119" s="319"/>
      <c r="E119" s="320"/>
      <c r="F119" s="412"/>
      <c r="G119" s="321"/>
      <c r="H119" s="322"/>
      <c r="I119" s="323">
        <f>SUM(I120:I139)</f>
        <v>649634.28657541669</v>
      </c>
      <c r="J119" s="323">
        <f ca="1">SUM(J120:J139)</f>
        <v>939371.17838805239</v>
      </c>
      <c r="K119" s="417"/>
      <c r="L119" s="423"/>
    </row>
    <row r="120" spans="1:17" ht="15">
      <c r="A120" s="442" t="str">
        <f>$A$119&amp;".1"</f>
        <v>3.1.1</v>
      </c>
      <c r="B120" s="343" t="str">
        <f>A120</f>
        <v>3.1.1</v>
      </c>
      <c r="C120" s="344" t="str">
        <f>C119&amp;" - Pesquisa de Campo"</f>
        <v>Dimensão de Mercado e Demanda (EMD) - Pesquisa de Campo</v>
      </c>
      <c r="D120" s="319"/>
      <c r="E120" s="320"/>
      <c r="F120" s="412"/>
      <c r="G120" s="321"/>
      <c r="H120" s="322"/>
      <c r="I120" s="323"/>
      <c r="J120" s="323"/>
      <c r="K120" s="417"/>
      <c r="L120" s="423"/>
    </row>
    <row r="121" spans="1:17">
      <c r="A121" s="442" t="str">
        <f>A120</f>
        <v>3.1.1</v>
      </c>
      <c r="B121" s="336"/>
      <c r="C121" s="337" t="str">
        <f>'3.1.1.EMD.Campo'!B18</f>
        <v>P8025</v>
      </c>
      <c r="D121" s="324" t="s">
        <v>350</v>
      </c>
      <c r="E121" s="325" t="str">
        <f>IF($D121="PESSOAL",VLOOKUP($C121,'TC 10-2023'!$B:$Z,2,FALSE), IF($D121="EQUIPAMENTOS",VLOOKUP($C121,Equip.Info!$A:$I,2,FALSE),VLOOKUP($C121,Mat.Info!$A:$H,2,FALSE)))</f>
        <v>Auxiliar</v>
      </c>
      <c r="F121" s="413" t="str">
        <f t="shared" ref="F121" si="58">IF(D121="PESSOAL","mês", IF(OR(D121="EQUIPAMENTOS",D121="MATERIAL"),"h",""))</f>
        <v>mês</v>
      </c>
      <c r="G121" s="326">
        <f>IF($D121="PESSOAL",VLOOKUP($C121,'TC 10-2023'!$B:$Z,25,FALSE), IF($D121="EQUIPAMENTOS",VLOOKUP($C121,Equip.Info!$A:$I,8,FALSE),VLOOKUP($C121,Mat.Info!$A:$H,8,FALSE)))</f>
        <v>3818.09</v>
      </c>
      <c r="H121" s="326">
        <f>'3.1.1.EMD.Campo'!H18</f>
        <v>50</v>
      </c>
      <c r="I121" s="328">
        <f t="shared" ref="I121" si="59">G121*H121</f>
        <v>190904.5</v>
      </c>
      <c r="J121" s="328">
        <f ca="1">I121*(1+Dados!$C$17)</f>
        <v>276047.90700000001</v>
      </c>
      <c r="K121" s="418" t="str">
        <f>"DNIT "&amp;TEXT(Dados!$C$16,"mmm/aa")</f>
        <v>DNIT out/23</v>
      </c>
      <c r="L121" s="333" t="str">
        <f>'3.1.1.EMD.Campo'!G18&amp;" "&amp;'3.1.1.EMD.Campo'!C18&amp;" por mês"</f>
        <v>25 Auxiliar por mês</v>
      </c>
    </row>
    <row r="122" spans="1:17">
      <c r="A122" s="442" t="str">
        <f>A121</f>
        <v>3.1.1</v>
      </c>
      <c r="B122" s="336"/>
      <c r="C122" s="337" t="str">
        <f>'3.1.1.EMD.Campo'!B19</f>
        <v>P8155</v>
      </c>
      <c r="D122" s="324" t="s">
        <v>350</v>
      </c>
      <c r="E122" s="325" t="str">
        <f>IF($D122="PESSOAL",VLOOKUP($C122,'TC 10-2023'!$B:$Z,2,FALSE), IF($D122="EQUIPAMENTOS",VLOOKUP($C122,Equip.Info!$A:$I,2,FALSE),VLOOKUP($C122,Mat.Info!$A:$H,2,FALSE)))</f>
        <v>Técnico em geoprocessamento</v>
      </c>
      <c r="F122" s="413" t="str">
        <f t="shared" ref="F122:F123" si="60">IF(D122="PESSOAL","mês", IF(OR(D122="EQUIPAMENTOS",D122="MATERIAL"),"h",""))</f>
        <v>mês</v>
      </c>
      <c r="G122" s="326">
        <f>IF($D122="PESSOAL",VLOOKUP($C122,'TC 10-2023'!$B:$Z,25,FALSE), IF($D122="EQUIPAMENTOS",VLOOKUP($C122,Equip.Info!$A:$I,8,FALSE),VLOOKUP($C122,Mat.Info!$A:$H,8,FALSE)))</f>
        <v>5747.99</v>
      </c>
      <c r="H122" s="326">
        <f>'3.1.1.EMD.Campo'!H19</f>
        <v>8</v>
      </c>
      <c r="I122" s="328">
        <f t="shared" ref="I122:I123" si="61">G122*H122</f>
        <v>45983.92</v>
      </c>
      <c r="J122" s="328">
        <f ca="1">I122*(1+Dados!$C$17)</f>
        <v>66492.748319999999</v>
      </c>
      <c r="K122" s="418" t="str">
        <f>"DNIT "&amp;TEXT(Dados!$C$16,"mmm/aa")</f>
        <v>DNIT out/23</v>
      </c>
      <c r="L122" s="333" t="str">
        <f>'3.1.1.EMD.Campo'!G19&amp;" "&amp;'3.1.1.EMD.Campo'!C19&amp;" por mês"</f>
        <v>4 Técnico em geoprocessamento por mês</v>
      </c>
    </row>
    <row r="123" spans="1:17">
      <c r="A123" s="442" t="str">
        <f t="shared" ref="A123:A124" si="62">A121</f>
        <v>3.1.1</v>
      </c>
      <c r="B123" s="336"/>
      <c r="C123" s="337" t="str">
        <f>'3.1.1.EMD.Campo'!B20</f>
        <v>P8061</v>
      </c>
      <c r="D123" s="324" t="s">
        <v>350</v>
      </c>
      <c r="E123" s="325" t="str">
        <f>IF($D123="PESSOAL",VLOOKUP($C123,'TC 10-2023'!$B:$Z,2,FALSE), IF($D123="EQUIPAMENTOS",VLOOKUP($C123,Equip.Info!$A:$I,2,FALSE),VLOOKUP($C123,Mat.Info!$A:$H,2,FALSE)))</f>
        <v>Engenheiro coordenador</v>
      </c>
      <c r="F123" s="413" t="str">
        <f t="shared" si="60"/>
        <v>mês</v>
      </c>
      <c r="G123" s="326">
        <f>IF($D123="PESSOAL",VLOOKUP($C123,'TC 10-2023'!$B:$Z,25,FALSE), IF($D123="EQUIPAMENTOS",VLOOKUP($C123,Equip.Info!$A:$I,8,FALSE),VLOOKUP($C123,Mat.Info!$A:$H,8,FALSE)))</f>
        <v>31759.96</v>
      </c>
      <c r="H123" s="326">
        <f>'3.1.1.EMD.Campo'!H20</f>
        <v>2</v>
      </c>
      <c r="I123" s="328">
        <f t="shared" si="61"/>
        <v>63519.92</v>
      </c>
      <c r="J123" s="328">
        <f ca="1">I123*(1+Dados!$C$17)</f>
        <v>91849.804319999996</v>
      </c>
      <c r="K123" s="418" t="str">
        <f>"DNIT "&amp;TEXT(Dados!$C$16,"mmm/aa")</f>
        <v>DNIT out/23</v>
      </c>
      <c r="L123" s="333" t="str">
        <f>'3.1.1.EMD.Campo'!G20&amp;" "&amp;'3.1.1.EMD.Campo'!C20&amp;" por mês"</f>
        <v>1 Engenheiro coordenador por mês</v>
      </c>
    </row>
    <row r="124" spans="1:17">
      <c r="A124" s="442" t="str">
        <f t="shared" si="62"/>
        <v>3.1.1</v>
      </c>
      <c r="B124" s="338"/>
      <c r="C124" s="339" t="str">
        <f>'3.1.1.EMD.Campo'!$B$12</f>
        <v>EQSF002</v>
      </c>
      <c r="D124" s="324" t="s">
        <v>352</v>
      </c>
      <c r="E124" s="325" t="str">
        <f>IF(D124="PESSOAL",VLOOKUP($C124,'TC 10-2023'!$B:$Z,2,FALSE), IF(D124="EQUIPAMENTOS",VLOOKUP($C124,Equip.Info!A:I,2,FALSE),VLOOKUP($C124,Mat.Info!A:H,2,FALSE)))</f>
        <v>Laptop completo, processador Intel Core i5, 16GB memória, Resolução 3.840x2.160 (4K), PV GPU de 4GB e Sistema Operacional.</v>
      </c>
      <c r="F124" s="413" t="str">
        <f t="shared" ref="F124:F125" si="63">IF(D124="PESSOAL","mês", IF(OR(D124="EQUIPAMENTOS",D124="MATERIAL"),"h",""))</f>
        <v>h</v>
      </c>
      <c r="G124" s="326">
        <f>IF($D124="PESSOAL",VLOOKUP($C124,'TC 10-2023'!$B:$Z,25,FALSE), IF($D124="EQUIPAMENTOS",VLOOKUP($C124,Equip.Info!$A:$I,8,FALSE),VLOOKUP($C124,Mat.Info!$A:$H,8,FALSE)))</f>
        <v>0.217</v>
      </c>
      <c r="H124" s="329">
        <f>'3.1.1.EMD.Campo'!F12</f>
        <v>10949.4</v>
      </c>
      <c r="I124" s="328">
        <f t="shared" ref="I124:I125" si="64">G124*H124</f>
        <v>2376.0198</v>
      </c>
      <c r="J124" s="328">
        <f ca="1">I124*(1+Dados!$C$17)</f>
        <v>3435.7246307999999</v>
      </c>
      <c r="K124" s="418" t="s">
        <v>667</v>
      </c>
      <c r="L124" s="333" t="s">
        <v>451</v>
      </c>
    </row>
    <row r="125" spans="1:17">
      <c r="A125" s="442" t="str">
        <f>A124</f>
        <v>3.1.1</v>
      </c>
      <c r="B125" s="338"/>
      <c r="C125" s="339" t="str">
        <f>'3.1.1.EMD.Campo'!$B$31</f>
        <v>MTSF001</v>
      </c>
      <c r="D125" s="324" t="s">
        <v>448</v>
      </c>
      <c r="E125" s="325" t="str">
        <f>IF(D125="PESSOAL",VLOOKUP($C125,'TC 10-2023'!$B:$Z,2,FALSE), IF(D125="EQUIPAMENTOS",VLOOKUP($C125,Equip.Info!A:I,2,FALSE),VLOOKUP($C125,Mat.Info!A:H,2,FALSE)))</f>
        <v>Pacote Microsoft 365 Business Basic</v>
      </c>
      <c r="F125" s="413" t="str">
        <f t="shared" si="63"/>
        <v>h</v>
      </c>
      <c r="G125" s="326">
        <f>IF($D125="PESSOAL",VLOOKUP($C125,'TC 10-2023'!$B:$Z,25,FALSE), IF($D125="EQUIPAMENTOS",VLOOKUP($C125,Equip.Info!$A:$I,8,FALSE),VLOOKUP($C125,Mat.Info!$A:$H,8,FALSE)))</f>
        <v>0.16250000000000001</v>
      </c>
      <c r="H125" s="329">
        <f>'3.1.1.EMD.Campo'!I31</f>
        <v>10949.4</v>
      </c>
      <c r="I125" s="328">
        <f t="shared" si="64"/>
        <v>1779.2774999999999</v>
      </c>
      <c r="J125" s="328">
        <f ca="1">I125*(1+Dados!$C$17)</f>
        <v>2572.8352649999997</v>
      </c>
      <c r="K125" s="418" t="s">
        <v>667</v>
      </c>
      <c r="L125" s="333" t="s">
        <v>691</v>
      </c>
    </row>
    <row r="126" spans="1:17">
      <c r="A126" s="442" t="str">
        <f>A125</f>
        <v>3.1.1</v>
      </c>
      <c r="B126" s="439"/>
      <c r="C126" s="440" t="str">
        <f>'Inspeção-Veículo'!B12</f>
        <v>E8887</v>
      </c>
      <c r="D126" s="324" t="s">
        <v>561</v>
      </c>
      <c r="E126" s="325" t="str">
        <f>VLOOKUP(A126,'Inspeção-Veículo'!$A$9:$O$17,4,0)</f>
        <v>Veículo tipo van furgão com capacidade de 1,38 t - 100 kW (com motorista)</v>
      </c>
      <c r="F126" s="413" t="s">
        <v>299</v>
      </c>
      <c r="G126" s="326"/>
      <c r="H126" s="329"/>
      <c r="I126" s="328">
        <f>VLOOKUP(A126,'Inspeção-Veículo'!$A$9:$O$17,15,0)</f>
        <v>27993.727500000001</v>
      </c>
      <c r="J126" s="328">
        <f ca="1">I126*(1+Dados!$C$17)</f>
        <v>40478.929965000003</v>
      </c>
      <c r="K126" s="418" t="str">
        <f>"DNIT "&amp;TEXT(Dados!$C$16,"mmm/aa")</f>
        <v>DNIT out/23</v>
      </c>
      <c r="L126" s="333" t="str">
        <f>"Custo produtivo e improdutivo DNIT, considerando "&amp;'Inspeção-Veículo'!I12&amp;" de utilização produtiva."</f>
        <v>Custo produtivo e improdutivo DNIT, considerando 0,5 de utilização produtiva.</v>
      </c>
    </row>
    <row r="127" spans="1:17" ht="25.5">
      <c r="A127" s="442" t="str">
        <f>A126</f>
        <v>3.1.1</v>
      </c>
      <c r="B127" s="340"/>
      <c r="C127" s="428" t="s">
        <v>734</v>
      </c>
      <c r="D127" s="324" t="s">
        <v>526</v>
      </c>
      <c r="E127" s="325" t="s">
        <v>547</v>
      </c>
      <c r="F127" s="413" t="s">
        <v>544</v>
      </c>
      <c r="G127" s="326">
        <f>I127/H127</f>
        <v>497.33333333333331</v>
      </c>
      <c r="H127" s="327">
        <f>IF(D127="PASSAGENS",SUMIFS('Diárias e Passagens'!K:K,'Diárias e Passagens'!A:A,A127),SUMIFS('Diárias e Passagens'!N:N,'Diárias e Passagens'!A:A,A127))</f>
        <v>6</v>
      </c>
      <c r="I127" s="328">
        <f>IF(D127="PASSAGENS",SUMIFS('Diárias e Passagens'!M:M,'Diárias e Passagens'!A:A,A127),SUMIFS('Diárias e Passagens'!P:P,'Diárias e Passagens'!A:A,A127))</f>
        <v>2984</v>
      </c>
      <c r="J127" s="328">
        <f ca="1">I127*(1+Dados!$C$17)</f>
        <v>4314.8639999999996</v>
      </c>
      <c r="K127" s="419" t="s">
        <v>546</v>
      </c>
      <c r="L127" s="333" t="s">
        <v>563</v>
      </c>
    </row>
    <row r="128" spans="1:17" ht="25.5">
      <c r="A128" s="442" t="str">
        <f>A127</f>
        <v>3.1.1</v>
      </c>
      <c r="B128" s="340"/>
      <c r="C128" s="428" t="s">
        <v>734</v>
      </c>
      <c r="D128" s="324" t="s">
        <v>351</v>
      </c>
      <c r="E128" s="325" t="s">
        <v>548</v>
      </c>
      <c r="F128" s="413" t="s">
        <v>549</v>
      </c>
      <c r="G128" s="326">
        <f>I128/H128</f>
        <v>600</v>
      </c>
      <c r="H128" s="327">
        <f>IF(D128="PASSAGENS",SUMIFS('Diárias e Passagens'!K:K,'Diárias e Passagens'!A:A,A128),SUMIFS('Diárias e Passagens'!N:N,'Diárias e Passagens'!A:A,A128))</f>
        <v>33</v>
      </c>
      <c r="I128" s="328">
        <f>IF(D128="PASSAGENS",SUMIFS('Diárias e Passagens'!M:M,'Diárias e Passagens'!A:A,A128),SUMIFS('Diárias e Passagens'!P:P,'Diárias e Passagens'!A:A,A128))</f>
        <v>19800</v>
      </c>
      <c r="J128" s="328">
        <f ca="1">I128*(1+Dados!$C$17)</f>
        <v>28630.799999999999</v>
      </c>
      <c r="K128" s="419" t="str">
        <f>Diárias!$I$6</f>
        <v>DECRETO Nº 11.872, DE 29 DE DEZEMBRO DE 2023</v>
      </c>
      <c r="L128" s="333" t="s">
        <v>564</v>
      </c>
      <c r="Q128" s="330"/>
    </row>
    <row r="129" spans="1:17" ht="15">
      <c r="A129" s="442" t="str">
        <f>$A$119&amp;".2"</f>
        <v>3.1.2</v>
      </c>
      <c r="B129" s="343" t="str">
        <f>A129</f>
        <v>3.1.2</v>
      </c>
      <c r="C129" s="344" t="str">
        <f>C119&amp;" - Consolidação do Estudo"</f>
        <v>Dimensão de Mercado e Demanda (EMD) - Consolidação do Estudo</v>
      </c>
      <c r="D129" s="319"/>
      <c r="E129" s="320"/>
      <c r="F129" s="412"/>
      <c r="G129" s="321"/>
      <c r="H129" s="322"/>
      <c r="I129" s="323"/>
      <c r="J129" s="323"/>
      <c r="K129" s="417"/>
      <c r="L129" s="423"/>
    </row>
    <row r="130" spans="1:17">
      <c r="A130" s="442" t="str">
        <f t="shared" ref="A130:A139" si="65">A129</f>
        <v>3.1.2</v>
      </c>
      <c r="B130" s="336"/>
      <c r="C130" s="337" t="str">
        <f>'3.1.2.EMD'!B18</f>
        <v>P8060</v>
      </c>
      <c r="D130" s="324" t="s">
        <v>350</v>
      </c>
      <c r="E130" s="325" t="str">
        <f>IF($D130="PESSOAL",VLOOKUP($C130,'TC 10-2023'!$B:$Z,2,FALSE), IF($D130="EQUIPAMENTOS",VLOOKUP($C130,Equip.Info!$A:$I,2,FALSE),VLOOKUP($C130,Mat.Info!$A:$H,2,FALSE)))</f>
        <v>Engenheiro consultor especial</v>
      </c>
      <c r="F130" s="413" t="str">
        <f>IF(D130="PESSOAL","mês", IF(OR(D130="EQUIPAMENTOS",D130="MATERIAL"),"h",""))</f>
        <v>mês</v>
      </c>
      <c r="G130" s="326">
        <f>IF($D130="PESSOAL",VLOOKUP($C130,'TC 10-2023'!$B:$Z,25,FALSE), IF($D130="EQUIPAMENTOS",VLOOKUP($C130,Equip.Info!$A:$I,8,FALSE),VLOOKUP($C130,Mat.Info!$A:$H,8,FALSE)))</f>
        <v>37906.68</v>
      </c>
      <c r="H130" s="326">
        <f>'3.1.2.EMD'!H18</f>
        <v>1.5</v>
      </c>
      <c r="I130" s="328">
        <f t="shared" ref="I130" si="66">G130*H130</f>
        <v>56860.020000000004</v>
      </c>
      <c r="J130" s="328">
        <f ca="1">I130*(1+Dados!$C$17)</f>
        <v>82219.588920000009</v>
      </c>
      <c r="K130" s="418" t="str">
        <f>"DNIT "&amp;TEXT(Dados!$C$16,"mmm/aa")</f>
        <v>DNIT out/23</v>
      </c>
      <c r="L130" s="333" t="str">
        <f>'3.1.2.EMD'!G18&amp;" "&amp;'3.1.2.EMD'!C18&amp;" por mês"</f>
        <v>1 Engenheiro consultor especial por mês</v>
      </c>
    </row>
    <row r="131" spans="1:17">
      <c r="A131" s="442" t="str">
        <f t="shared" si="65"/>
        <v>3.1.2</v>
      </c>
      <c r="B131" s="336"/>
      <c r="C131" s="337" t="str">
        <f>'3.1.2.EMD'!B19</f>
        <v>P8067</v>
      </c>
      <c r="D131" s="324" t="s">
        <v>350</v>
      </c>
      <c r="E131" s="325" t="str">
        <f>IF($D131="PESSOAL",VLOOKUP($C131,'TC 10-2023'!$B:$Z,2,FALSE), IF($D131="EQUIPAMENTOS",VLOOKUP($C131,Equip.Info!$A:$I,2,FALSE),VLOOKUP($C131,Mat.Info!$A:$H,2,FALSE)))</f>
        <v>Engenheiro de projetos sênior</v>
      </c>
      <c r="F131" s="413" t="str">
        <f t="shared" ref="F131:F134" si="67">IF(D131="PESSOAL","mês", IF(OR(D131="EQUIPAMENTOS",D131="MATERIAL"),"h",""))</f>
        <v>mês</v>
      </c>
      <c r="G131" s="326">
        <f>IF($D131="PESSOAL",VLOOKUP($C131,'TC 10-2023'!$B:$Z,25,FALSE), IF($D131="EQUIPAMENTOS",VLOOKUP($C131,Equip.Info!$A:$I,8,FALSE),VLOOKUP($C131,Mat.Info!$A:$H,8,FALSE)))</f>
        <v>27604.86</v>
      </c>
      <c r="H131" s="326">
        <f>'3.1.2.EMD'!H19</f>
        <v>3</v>
      </c>
      <c r="I131" s="328">
        <f t="shared" ref="I131:I134" si="68">G131*H131</f>
        <v>82814.58</v>
      </c>
      <c r="J131" s="328">
        <f ca="1">I131*(1+Dados!$C$17)</f>
        <v>119749.88268</v>
      </c>
      <c r="K131" s="418" t="str">
        <f>"DNIT "&amp;TEXT(Dados!$C$16,"mmm/aa")</f>
        <v>DNIT out/23</v>
      </c>
      <c r="L131" s="333" t="str">
        <f>'3.1.2.EMD'!G19&amp;" "&amp;'3.1.2.EMD'!C19&amp;" por mês"</f>
        <v>1 Engenheiro de projetos sênior por mês</v>
      </c>
    </row>
    <row r="132" spans="1:17">
      <c r="A132" s="442" t="str">
        <f t="shared" si="65"/>
        <v>3.1.2</v>
      </c>
      <c r="B132" s="336"/>
      <c r="C132" s="337" t="str">
        <f>'3.1.2.EMD'!B20</f>
        <v>P8066</v>
      </c>
      <c r="D132" s="324" t="s">
        <v>350</v>
      </c>
      <c r="E132" s="325" t="str">
        <f>IF($D132="PESSOAL",VLOOKUP($C132,'TC 10-2023'!$B:$Z,2,FALSE), IF($D132="EQUIPAMENTOS",VLOOKUP($C132,Equip.Info!$A:$I,2,FALSE),VLOOKUP($C132,Mat.Info!$A:$H,2,FALSE)))</f>
        <v>Engenheiro de projetos pleno</v>
      </c>
      <c r="F132" s="413" t="str">
        <f t="shared" si="67"/>
        <v>mês</v>
      </c>
      <c r="G132" s="326">
        <f>IF($D132="PESSOAL",VLOOKUP($C132,'TC 10-2023'!$B:$Z,25,FALSE), IF($D132="EQUIPAMENTOS",VLOOKUP($C132,Equip.Info!$A:$I,8,FALSE),VLOOKUP($C132,Mat.Info!$A:$H,8,FALSE)))</f>
        <v>21969.16</v>
      </c>
      <c r="H132" s="326">
        <f>'3.1.2.EMD'!H20</f>
        <v>3</v>
      </c>
      <c r="I132" s="328">
        <f t="shared" si="68"/>
        <v>65907.48</v>
      </c>
      <c r="J132" s="328">
        <f ca="1">I132*(1+Dados!$C$17)</f>
        <v>95302.216079999984</v>
      </c>
      <c r="K132" s="418" t="str">
        <f>"DNIT "&amp;TEXT(Dados!$C$16,"mmm/aa")</f>
        <v>DNIT out/23</v>
      </c>
      <c r="L132" s="333" t="str">
        <f>'3.1.2.EMD'!G20&amp;" "&amp;'3.1.2.EMD'!C20&amp;" por mês"</f>
        <v>1 Engenheiro de projetos pleno por mês</v>
      </c>
    </row>
    <row r="133" spans="1:17">
      <c r="A133" s="442" t="str">
        <f t="shared" si="65"/>
        <v>3.1.2</v>
      </c>
      <c r="B133" s="336"/>
      <c r="C133" s="337" t="str">
        <f>'3.1.2.EMD'!B21</f>
        <v>P8047</v>
      </c>
      <c r="D133" s="324" t="s">
        <v>350</v>
      </c>
      <c r="E133" s="325" t="str">
        <f>IF($D133="PESSOAL",VLOOKUP($C133,'TC 10-2023'!$B:$Z,2,FALSE), IF($D133="EQUIPAMENTOS",VLOOKUP($C133,Equip.Info!$A:$I,2,FALSE),VLOOKUP($C133,Mat.Info!$A:$H,2,FALSE)))</f>
        <v>Economista sênior</v>
      </c>
      <c r="F133" s="413" t="str">
        <f t="shared" si="67"/>
        <v>mês</v>
      </c>
      <c r="G133" s="326">
        <f>IF($D133="PESSOAL",VLOOKUP($C133,'TC 10-2023'!$B:$Z,25,FALSE), IF($D133="EQUIPAMENTOS",VLOOKUP($C133,Equip.Info!$A:$I,8,FALSE),VLOOKUP($C133,Mat.Info!$A:$H,8,FALSE)))</f>
        <v>19860.28</v>
      </c>
      <c r="H133" s="326">
        <f>'3.1.2.EMD'!H21</f>
        <v>3</v>
      </c>
      <c r="I133" s="328">
        <f t="shared" si="68"/>
        <v>59580.84</v>
      </c>
      <c r="J133" s="328">
        <f ca="1">I133*(1+Dados!$C$17)</f>
        <v>86153.894639999999</v>
      </c>
      <c r="K133" s="418" t="str">
        <f>"DNIT "&amp;TEXT(Dados!$C$16,"mmm/aa")</f>
        <v>DNIT out/23</v>
      </c>
      <c r="L133" s="333" t="str">
        <f>'3.1.2.EMD'!G21&amp;" "&amp;'3.1.2.EMD'!C21&amp;" por mês"</f>
        <v>1 Economista sênior por mês</v>
      </c>
    </row>
    <row r="134" spans="1:17">
      <c r="A134" s="442" t="str">
        <f t="shared" si="65"/>
        <v>3.1.2</v>
      </c>
      <c r="B134" s="336"/>
      <c r="C134" s="337" t="str">
        <f>'3.1.2.EMD'!B22</f>
        <v>P8061</v>
      </c>
      <c r="D134" s="324" t="s">
        <v>350</v>
      </c>
      <c r="E134" s="325" t="str">
        <f>IF($D134="PESSOAL",VLOOKUP($C134,'TC 10-2023'!$B:$Z,2,FALSE), IF($D134="EQUIPAMENTOS",VLOOKUP($C134,Equip.Info!$A:$I,2,FALSE),VLOOKUP($C134,Mat.Info!$A:$H,2,FALSE)))</f>
        <v>Engenheiro coordenador</v>
      </c>
      <c r="F134" s="413" t="str">
        <f t="shared" si="67"/>
        <v>mês</v>
      </c>
      <c r="G134" s="326">
        <f>IF($D134="PESSOAL",VLOOKUP($C134,'TC 10-2023'!$B:$Z,25,FALSE), IF($D134="EQUIPAMENTOS",VLOOKUP($C134,Equip.Info!$A:$I,8,FALSE),VLOOKUP($C134,Mat.Info!$A:$H,8,FALSE)))</f>
        <v>31759.96</v>
      </c>
      <c r="H134" s="326">
        <f>'3.1.2.EMD'!H22</f>
        <v>0.75</v>
      </c>
      <c r="I134" s="328">
        <f t="shared" si="68"/>
        <v>23819.97</v>
      </c>
      <c r="J134" s="328">
        <f ca="1">I134*(1+Dados!$C$17)</f>
        <v>34443.676619999998</v>
      </c>
      <c r="K134" s="418" t="str">
        <f>"DNIT "&amp;TEXT(Dados!$C$16,"mmm/aa")</f>
        <v>DNIT out/23</v>
      </c>
      <c r="L134" s="333" t="str">
        <f>'3.1.2.EMD'!G22&amp;" "&amp;'3.1.2.EMD'!C22&amp;" por mês"</f>
        <v>1 Engenheiro coordenador por mês</v>
      </c>
    </row>
    <row r="135" spans="1:17">
      <c r="A135" s="442" t="str">
        <f t="shared" si="65"/>
        <v>3.1.2</v>
      </c>
      <c r="B135" s="338"/>
      <c r="C135" s="339" t="str">
        <f>'3.1.2.EMD'!B12</f>
        <v>EQSF001</v>
      </c>
      <c r="D135" s="324" t="s">
        <v>352</v>
      </c>
      <c r="E135" s="325" t="str">
        <f>IF(D135="PESSOAL",VLOOKUP($C135,'TC 10-2023'!$B:$Z,2,FALSE), IF(D135="EQUIPAMENTOS",VLOOKUP($C135,Equip.Info!A:I,2,FALSE),VLOOKUP($C135,Mat.Info!A:H,2,FALSE)))</f>
        <v>Desktop completo, processador Intel Core i5, 16GB memória, Resolução 3.840x2.160 (4K), PV GPU de 4GB e Sistema Operacional.</v>
      </c>
      <c r="F135" s="413" t="str">
        <f t="shared" ref="F135:F137" si="69">IF(D135="PESSOAL","mês", IF(OR(D135="EQUIPAMENTOS",D135="MATERIAL"),"h",""))</f>
        <v>h</v>
      </c>
      <c r="G135" s="326">
        <f>IF($D135="PESSOAL",VLOOKUP($C135,'TC 10-2023'!$B:$Z,25,FALSE), IF($D135="EQUIPAMENTOS",VLOOKUP($C135,Equip.Info!$A:$I,8,FALSE),VLOOKUP($C135,Mat.Info!$A:$H,8,FALSE)))</f>
        <v>0.54349999999999998</v>
      </c>
      <c r="H135" s="329">
        <f>'3.1.2.EMD'!F12</f>
        <v>1642.41</v>
      </c>
      <c r="I135" s="328">
        <f t="shared" ref="I135:I137" si="70">G135*H135</f>
        <v>892.64983500000005</v>
      </c>
      <c r="J135" s="328">
        <f ca="1">I135*(1+Dados!$C$17)</f>
        <v>1290.77166141</v>
      </c>
      <c r="K135" s="418" t="s">
        <v>667</v>
      </c>
      <c r="L135" s="333" t="s">
        <v>451</v>
      </c>
    </row>
    <row r="136" spans="1:17">
      <c r="A136" s="442" t="str">
        <f t="shared" si="65"/>
        <v>3.1.2</v>
      </c>
      <c r="B136" s="338"/>
      <c r="C136" s="339" t="str">
        <f>'3.1.2.EMD'!B13</f>
        <v>EQSF002</v>
      </c>
      <c r="D136" s="324" t="s">
        <v>352</v>
      </c>
      <c r="E136" s="325" t="str">
        <f>IF(D136="PESSOAL",VLOOKUP($C136,'TC 10-2023'!$B:$Z,2,FALSE), IF(D136="EQUIPAMENTOS",VLOOKUP($C136,Equip.Info!A:I,2,FALSE),VLOOKUP($C136,Mat.Info!A:H,2,FALSE)))</f>
        <v>Laptop completo, processador Intel Core i5, 16GB memória, Resolução 3.840x2.160 (4K), PV GPU de 4GB e Sistema Operacional.</v>
      </c>
      <c r="F136" s="413" t="str">
        <f t="shared" si="69"/>
        <v>h</v>
      </c>
      <c r="G136" s="326">
        <f>IF($D136="PESSOAL",VLOOKUP($C136,'TC 10-2023'!$B:$Z,25,FALSE), IF($D136="EQUIPAMENTOS",VLOOKUP($C136,Equip.Info!$A:$I,8,FALSE),VLOOKUP($C136,Mat.Info!$A:$H,8,FALSE)))</f>
        <v>0.217</v>
      </c>
      <c r="H136" s="329">
        <f>'3.1.2.EMD'!F13</f>
        <v>410.60250000000002</v>
      </c>
      <c r="I136" s="328">
        <f t="shared" si="70"/>
        <v>89.10074250000001</v>
      </c>
      <c r="J136" s="328">
        <f ca="1">I136*(1+Dados!$C$17)</f>
        <v>128.83967365500001</v>
      </c>
      <c r="K136" s="418" t="s">
        <v>667</v>
      </c>
      <c r="L136" s="333" t="s">
        <v>451</v>
      </c>
    </row>
    <row r="137" spans="1:17">
      <c r="A137" s="442" t="str">
        <f t="shared" si="65"/>
        <v>3.1.2</v>
      </c>
      <c r="B137" s="338"/>
      <c r="C137" s="339" t="str">
        <f>'3.1.2.EMD'!B31</f>
        <v>MTSF001</v>
      </c>
      <c r="D137" s="324" t="s">
        <v>448</v>
      </c>
      <c r="E137" s="325" t="str">
        <f>IF(D137="PESSOAL",VLOOKUP($C137,'TC 10-2023'!$B:$Z,2,FALSE), IF(D137="EQUIPAMENTOS",VLOOKUP($C137,Equip.Info!A:I,2,FALSE),VLOOKUP($C137,Mat.Info!A:H,2,FALSE)))</f>
        <v>Pacote Microsoft 365 Business Basic</v>
      </c>
      <c r="F137" s="413" t="str">
        <f t="shared" si="69"/>
        <v>h</v>
      </c>
      <c r="G137" s="326">
        <f>IF($D137="PESSOAL",VLOOKUP($C137,'TC 10-2023'!$B:$Z,25,FALSE), IF($D137="EQUIPAMENTOS",VLOOKUP($C137,Equip.Info!$A:$I,8,FALSE),VLOOKUP($C137,Mat.Info!$A:$H,8,FALSE)))</f>
        <v>0.16250000000000001</v>
      </c>
      <c r="H137" s="329">
        <f>'3.1.2.EMD'!I31</f>
        <v>2053.0125000000003</v>
      </c>
      <c r="I137" s="328">
        <f t="shared" si="70"/>
        <v>333.61453125000008</v>
      </c>
      <c r="J137" s="328">
        <f ca="1">I137*(1+Dados!$C$17)</f>
        <v>482.40661218750012</v>
      </c>
      <c r="K137" s="418" t="s">
        <v>667</v>
      </c>
      <c r="L137" s="333" t="s">
        <v>691</v>
      </c>
    </row>
    <row r="138" spans="1:17" ht="33.75">
      <c r="A138" s="442" t="str">
        <f t="shared" si="65"/>
        <v>3.1.2</v>
      </c>
      <c r="B138" s="340"/>
      <c r="C138" s="428" t="s">
        <v>550</v>
      </c>
      <c r="D138" s="324" t="s">
        <v>526</v>
      </c>
      <c r="E138" s="325" t="s">
        <v>547</v>
      </c>
      <c r="F138" s="413" t="s">
        <v>544</v>
      </c>
      <c r="G138" s="326">
        <f>I138/H138</f>
        <v>497.33333333333331</v>
      </c>
      <c r="H138" s="327">
        <f>IF(D138="PASSAGENS",SUMIFS('Diárias e Passagens'!K:K,'Diárias e Passagens'!A:A,A138),SUMIFS('Diárias e Passagens'!N:N,'Diárias e Passagens'!A:A,A138))</f>
        <v>2</v>
      </c>
      <c r="I138" s="328">
        <f>IF(D138="PASSAGENS",SUMIFS('Diárias e Passagens'!M:M,'Diárias e Passagens'!A:A,A138),SUMIFS('Diárias e Passagens'!P:P,'Diárias e Passagens'!A:A,A138))</f>
        <v>994.66666666666663</v>
      </c>
      <c r="J138" s="328">
        <f ca="1">I138*(1+Dados!$C$17)</f>
        <v>1438.288</v>
      </c>
      <c r="K138" s="419" t="s">
        <v>546</v>
      </c>
      <c r="L138" s="333" t="s">
        <v>563</v>
      </c>
    </row>
    <row r="139" spans="1:17" ht="25.5">
      <c r="A139" s="442" t="str">
        <f t="shared" si="65"/>
        <v>3.1.2</v>
      </c>
      <c r="B139" s="340"/>
      <c r="C139" s="341"/>
      <c r="D139" s="324" t="s">
        <v>351</v>
      </c>
      <c r="E139" s="325" t="s">
        <v>548</v>
      </c>
      <c r="F139" s="413" t="s">
        <v>549</v>
      </c>
      <c r="G139" s="326">
        <f>I139/H139</f>
        <v>600</v>
      </c>
      <c r="H139" s="327">
        <f>IF(D139="PASSAGENS",SUMIFS('Diárias e Passagens'!K:K,'Diárias e Passagens'!A:A,A139),SUMIFS('Diárias e Passagens'!N:N,'Diárias e Passagens'!A:A,A139))</f>
        <v>5</v>
      </c>
      <c r="I139" s="328">
        <f>IF(D139="PASSAGENS",SUMIFS('Diárias e Passagens'!M:M,'Diárias e Passagens'!A:A,A139),SUMIFS('Diárias e Passagens'!P:P,'Diárias e Passagens'!A:A,A139))</f>
        <v>3000</v>
      </c>
      <c r="J139" s="328">
        <f ca="1">I139*(1+Dados!$C$17)</f>
        <v>4338</v>
      </c>
      <c r="K139" s="419" t="str">
        <f>Diárias!$I$6</f>
        <v>DECRETO Nº 11.872, DE 29 DE DEZEMBRO DE 2023</v>
      </c>
      <c r="L139" s="333" t="s">
        <v>564</v>
      </c>
      <c r="Q139" s="330"/>
    </row>
    <row r="140" spans="1:17" s="331" customFormat="1" ht="15">
      <c r="A140" s="442" t="str">
        <f>B140</f>
        <v>3.2</v>
      </c>
      <c r="B140" s="342" t="str">
        <f>'Cronograma'!B26</f>
        <v>3.2</v>
      </c>
      <c r="C140" s="342" t="str">
        <f>'Cronograma'!C26</f>
        <v>Dimensão de Engenharia (EEN)</v>
      </c>
      <c r="D140" s="319"/>
      <c r="E140" s="320"/>
      <c r="F140" s="412"/>
      <c r="G140" s="321"/>
      <c r="H140" s="322"/>
      <c r="I140" s="323">
        <f>SUM(I141:I150)</f>
        <v>158780.04337916669</v>
      </c>
      <c r="J140" s="323">
        <f ca="1">SUM(J141:J150)</f>
        <v>229595.94272627498</v>
      </c>
      <c r="K140" s="420"/>
      <c r="L140" s="424"/>
      <c r="Q140" s="332"/>
    </row>
    <row r="141" spans="1:17">
      <c r="A141" s="442" t="str">
        <f>A140</f>
        <v>3.2</v>
      </c>
      <c r="B141" s="336"/>
      <c r="C141" s="337" t="str">
        <f>'3.2.EEN'!B18</f>
        <v>P8060</v>
      </c>
      <c r="D141" s="324" t="s">
        <v>350</v>
      </c>
      <c r="E141" s="325" t="str">
        <f>IF(D141="PESSOAL",VLOOKUP($C141,'TC 10-2023'!$B:$Z,2,FALSE), IF(D141="EQUIPAMENTOS",VLOOKUP($C141,Equip.Info!A:I,2,FALSE),VLOOKUP($C141,Mat.Info!A:H,2,FALSE)))</f>
        <v>Engenheiro consultor especial</v>
      </c>
      <c r="F141" s="413" t="str">
        <f t="shared" ref="F141:F148" si="71">IF(D141="PESSOAL","mês", IF(OR(D141="EQUIPAMENTOS",D141="MATERIAL"),"h",""))</f>
        <v>mês</v>
      </c>
      <c r="G141" s="326">
        <f>IF($D141="PESSOAL",VLOOKUP($C141,'TC 10-2023'!$B:$Z,25,FALSE), IF($D141="EQUIPAMENTOS",VLOOKUP($C141,Equip.Info!$A:$I,8,FALSE),VLOOKUP($C141,Mat.Info!$A:$H,8,FALSE)))</f>
        <v>37906.68</v>
      </c>
      <c r="H141" s="326">
        <f>'3.2.EEN'!H18</f>
        <v>1</v>
      </c>
      <c r="I141" s="328">
        <f t="shared" ref="I141:I148" si="72">G141*H141</f>
        <v>37906.68</v>
      </c>
      <c r="J141" s="328">
        <f ca="1">I141*(1+Dados!$C$17)</f>
        <v>54813.059280000001</v>
      </c>
      <c r="K141" s="418" t="str">
        <f>"DNIT "&amp;TEXT(Dados!$C$16,"mmm/aa")</f>
        <v>DNIT out/23</v>
      </c>
      <c r="L141" s="333" t="str">
        <f>'3.2.EEN'!G18&amp;" "&amp;E141&amp;" por mês"</f>
        <v>1 Engenheiro consultor especial por mês</v>
      </c>
    </row>
    <row r="142" spans="1:17">
      <c r="A142" s="442" t="str">
        <f t="shared" ref="A142:A150" si="73">A141</f>
        <v>3.2</v>
      </c>
      <c r="B142" s="336"/>
      <c r="C142" s="337" t="str">
        <f>'3.2.EEN'!B19</f>
        <v>P8067</v>
      </c>
      <c r="D142" s="324" t="s">
        <v>350</v>
      </c>
      <c r="E142" s="325" t="str">
        <f>IF(D142="PESSOAL",VLOOKUP($C142,'TC 10-2023'!$B:$Z,2,FALSE), IF(D142="EQUIPAMENTOS",VLOOKUP($C142,Equip.Info!A:I,2,FALSE),VLOOKUP($C142,Mat.Info!A:H,2,FALSE)))</f>
        <v>Engenheiro de projetos sênior</v>
      </c>
      <c r="F142" s="413" t="str">
        <f t="shared" ref="F142:F144" si="74">IF(D142="PESSOAL","mês", IF(OR(D142="EQUIPAMENTOS",D142="MATERIAL"),"h",""))</f>
        <v>mês</v>
      </c>
      <c r="G142" s="326">
        <f>IF($D142="PESSOAL",VLOOKUP($C142,'TC 10-2023'!$B:$Z,25,FALSE), IF($D142="EQUIPAMENTOS",VLOOKUP($C142,Equip.Info!$A:$I,8,FALSE),VLOOKUP($C142,Mat.Info!$A:$H,8,FALSE)))</f>
        <v>27604.86</v>
      </c>
      <c r="H142" s="326">
        <f>'3.2.EEN'!H19</f>
        <v>2</v>
      </c>
      <c r="I142" s="328">
        <f t="shared" ref="I142:I144" si="75">G142*H142</f>
        <v>55209.72</v>
      </c>
      <c r="J142" s="328">
        <f ca="1">I142*(1+Dados!$C$17)</f>
        <v>79833.255120000002</v>
      </c>
      <c r="K142" s="418" t="str">
        <f>"DNIT "&amp;TEXT(Dados!$C$16,"mmm/aa")</f>
        <v>DNIT out/23</v>
      </c>
      <c r="L142" s="333" t="str">
        <f>'3.2.EEN'!G19&amp;" "&amp;E142&amp;" por mês"</f>
        <v>1 Engenheiro de projetos sênior por mês</v>
      </c>
    </row>
    <row r="143" spans="1:17">
      <c r="A143" s="442" t="str">
        <f t="shared" si="73"/>
        <v>3.2</v>
      </c>
      <c r="B143" s="336"/>
      <c r="C143" s="337" t="str">
        <f>'3.2.EEN'!B20</f>
        <v>P8066</v>
      </c>
      <c r="D143" s="324" t="s">
        <v>350</v>
      </c>
      <c r="E143" s="325" t="str">
        <f>IF(D143="PESSOAL",VLOOKUP($C143,'TC 10-2023'!$B:$Z,2,FALSE), IF(D143="EQUIPAMENTOS",VLOOKUP($C143,Equip.Info!A:I,2,FALSE),VLOOKUP($C143,Mat.Info!A:H,2,FALSE)))</f>
        <v>Engenheiro de projetos pleno</v>
      </c>
      <c r="F143" s="413" t="str">
        <f t="shared" si="74"/>
        <v>mês</v>
      </c>
      <c r="G143" s="326">
        <f>IF($D143="PESSOAL",VLOOKUP($C143,'TC 10-2023'!$B:$Z,25,FALSE), IF($D143="EQUIPAMENTOS",VLOOKUP($C143,Equip.Info!$A:$I,8,FALSE),VLOOKUP($C143,Mat.Info!$A:$H,8,FALSE)))</f>
        <v>21969.16</v>
      </c>
      <c r="H143" s="326">
        <f>'3.2.EEN'!H20</f>
        <v>2</v>
      </c>
      <c r="I143" s="328">
        <f t="shared" si="75"/>
        <v>43938.32</v>
      </c>
      <c r="J143" s="328">
        <f ca="1">I143*(1+Dados!$C$17)</f>
        <v>63534.810719999994</v>
      </c>
      <c r="K143" s="418" t="str">
        <f>"DNIT "&amp;TEXT(Dados!$C$16,"mmm/aa")</f>
        <v>DNIT out/23</v>
      </c>
      <c r="L143" s="333" t="str">
        <f>'3.2.EEN'!G20&amp;" "&amp;E143&amp;" por mês"</f>
        <v>1 Engenheiro de projetos pleno por mês</v>
      </c>
    </row>
    <row r="144" spans="1:17">
      <c r="A144" s="442" t="str">
        <f>A143</f>
        <v>3.2</v>
      </c>
      <c r="B144" s="336"/>
      <c r="C144" s="337" t="str">
        <f>'3.2.EEN'!B21</f>
        <v>P8061</v>
      </c>
      <c r="D144" s="324" t="s">
        <v>350</v>
      </c>
      <c r="E144" s="325" t="str">
        <f>IF(D144="PESSOAL",VLOOKUP($C144,'TC 10-2023'!$B:$Z,2,FALSE), IF(D144="EQUIPAMENTOS",VLOOKUP($C144,Equip.Info!A:I,2,FALSE),VLOOKUP($C144,Mat.Info!A:H,2,FALSE)))</f>
        <v>Engenheiro coordenador</v>
      </c>
      <c r="F144" s="413" t="str">
        <f t="shared" si="74"/>
        <v>mês</v>
      </c>
      <c r="G144" s="326">
        <f>IF($D144="PESSOAL",VLOOKUP($C144,'TC 10-2023'!$B:$Z,25,FALSE), IF($D144="EQUIPAMENTOS",VLOOKUP($C144,Equip.Info!$A:$I,8,FALSE),VLOOKUP($C144,Mat.Info!$A:$H,8,FALSE)))</f>
        <v>31759.96</v>
      </c>
      <c r="H144" s="326">
        <f>'3.2.EEN'!H21</f>
        <v>0.5</v>
      </c>
      <c r="I144" s="328">
        <f t="shared" si="75"/>
        <v>15879.98</v>
      </c>
      <c r="J144" s="328">
        <f ca="1">I144*(1+Dados!$C$17)</f>
        <v>22962.451079999999</v>
      </c>
      <c r="K144" s="418" t="str">
        <f>"DNIT "&amp;TEXT(Dados!$C$16,"mmm/aa")</f>
        <v>DNIT out/23</v>
      </c>
      <c r="L144" s="333" t="str">
        <f>'3.2.EEN'!G21&amp;" "&amp;E144&amp;" por mês"</f>
        <v>1 Engenheiro coordenador por mês</v>
      </c>
    </row>
    <row r="145" spans="1:12">
      <c r="A145" s="442" t="str">
        <f t="shared" si="73"/>
        <v>3.2</v>
      </c>
      <c r="B145" s="338"/>
      <c r="C145" s="339" t="str">
        <f>'3.2.EEN'!$B$12</f>
        <v>EQSF001</v>
      </c>
      <c r="D145" s="324" t="s">
        <v>352</v>
      </c>
      <c r="E145" s="325" t="str">
        <f>IF(D145="PESSOAL",VLOOKUP($C145,'TC 10-2023'!$B:$Z,2,FALSE), IF(D145="EQUIPAMENTOS",VLOOKUP($C145,Equip.Info!A:I,2,FALSE),VLOOKUP($C145,Mat.Info!A:H,2,FALSE)))</f>
        <v>Desktop completo, processador Intel Core i5, 16GB memória, Resolução 3.840x2.160 (4K), PV GPU de 4GB e Sistema Operacional.</v>
      </c>
      <c r="F145" s="413" t="str">
        <f t="shared" si="71"/>
        <v>h</v>
      </c>
      <c r="G145" s="326">
        <f>IF($D145="PESSOAL",VLOOKUP($C145,'TC 10-2023'!$B:$Z,25,FALSE), IF($D145="EQUIPAMENTOS",VLOOKUP($C145,Equip.Info!$A:$I,8,FALSE),VLOOKUP($C145,Mat.Info!$A:$H,8,FALSE)))</f>
        <v>0.54349999999999998</v>
      </c>
      <c r="H145" s="329">
        <f>'3.2.EEN'!$F$12</f>
        <v>729.96</v>
      </c>
      <c r="I145" s="328">
        <f t="shared" si="72"/>
        <v>396.73326000000003</v>
      </c>
      <c r="J145" s="328">
        <f ca="1">I145*(1+Dados!$C$17)</f>
        <v>573.67629396000007</v>
      </c>
      <c r="K145" s="418" t="s">
        <v>667</v>
      </c>
      <c r="L145" s="333" t="s">
        <v>451</v>
      </c>
    </row>
    <row r="146" spans="1:12">
      <c r="A146" s="442" t="str">
        <f t="shared" si="73"/>
        <v>3.2</v>
      </c>
      <c r="B146" s="338"/>
      <c r="C146" s="339" t="str">
        <f>'3.2.EEN'!$B$13</f>
        <v>EQSF002</v>
      </c>
      <c r="D146" s="324" t="s">
        <v>352</v>
      </c>
      <c r="E146" s="325" t="str">
        <f>IF(D146="PESSOAL",VLOOKUP($C146,'TC 10-2023'!$B:$Z,2,FALSE), IF(D146="EQUIPAMENTOS",VLOOKUP($C146,Equip.Info!A:I,2,FALSE),VLOOKUP($C146,Mat.Info!A:H,2,FALSE)))</f>
        <v>Laptop completo, processador Intel Core i5, 16GB memória, Resolução 3.840x2.160 (4K), PV GPU de 4GB e Sistema Operacional.</v>
      </c>
      <c r="F146" s="413" t="str">
        <f t="shared" si="71"/>
        <v>h</v>
      </c>
      <c r="G146" s="326">
        <f>IF($D146="PESSOAL",VLOOKUP($C146,'TC 10-2023'!$B:$Z,25,FALSE), IF($D146="EQUIPAMENTOS",VLOOKUP($C146,Equip.Info!$A:$I,8,FALSE),VLOOKUP($C146,Mat.Info!$A:$H,8,FALSE)))</f>
        <v>0.217</v>
      </c>
      <c r="H146" s="329">
        <f>'3.2.EEN'!$F$13</f>
        <v>273.73500000000001</v>
      </c>
      <c r="I146" s="328">
        <f t="shared" si="72"/>
        <v>59.400494999999999</v>
      </c>
      <c r="J146" s="328">
        <f ca="1">I146*(1+Dados!$C$17)</f>
        <v>85.893115769999994</v>
      </c>
      <c r="K146" s="418" t="s">
        <v>667</v>
      </c>
      <c r="L146" s="333" t="s">
        <v>451</v>
      </c>
    </row>
    <row r="147" spans="1:12">
      <c r="A147" s="442" t="str">
        <f t="shared" si="73"/>
        <v>3.2</v>
      </c>
      <c r="B147" s="338"/>
      <c r="C147" s="339" t="str">
        <f>'3.2.EEN'!$B$31</f>
        <v>MTSF001</v>
      </c>
      <c r="D147" s="324" t="s">
        <v>448</v>
      </c>
      <c r="E147" s="325" t="str">
        <f>IF(D147="PESSOAL",VLOOKUP($C147,'TC 10-2023'!$B:$Z,2,FALSE), IF(D147="EQUIPAMENTOS",VLOOKUP($C147,Equip.Info!A:I,2,FALSE),VLOOKUP($C147,Mat.Info!A:H,2,FALSE)))</f>
        <v>Pacote Microsoft 365 Business Basic</v>
      </c>
      <c r="F147" s="413" t="str">
        <f t="shared" si="71"/>
        <v>h</v>
      </c>
      <c r="G147" s="326">
        <f>IF($D147="PESSOAL",VLOOKUP($C147,'TC 10-2023'!$B:$Z,25,FALSE), IF($D147="EQUIPAMENTOS",VLOOKUP($C147,Equip.Info!$A:$I,8,FALSE),VLOOKUP($C147,Mat.Info!$A:$H,8,FALSE)))</f>
        <v>0.16250000000000001</v>
      </c>
      <c r="H147" s="329">
        <f>'3.2.EEN'!$I$31</f>
        <v>1003.6950000000001</v>
      </c>
      <c r="I147" s="328">
        <f t="shared" si="72"/>
        <v>163.10043750000003</v>
      </c>
      <c r="J147" s="328">
        <f ca="1">I147*(1+Dados!$C$17)</f>
        <v>235.84323262500004</v>
      </c>
      <c r="K147" s="418" t="s">
        <v>667</v>
      </c>
      <c r="L147" s="333" t="s">
        <v>691</v>
      </c>
    </row>
    <row r="148" spans="1:12">
      <c r="A148" s="442" t="str">
        <f t="shared" si="73"/>
        <v>3.2</v>
      </c>
      <c r="B148" s="338"/>
      <c r="C148" s="339" t="str">
        <f>'3.2.EEN'!$B$32</f>
        <v>MTSF002</v>
      </c>
      <c r="D148" s="324" t="s">
        <v>448</v>
      </c>
      <c r="E148" s="325" t="str">
        <f>IF(D148="PESSOAL",VLOOKUP($C148,'TC 10-2023'!$B:$Z,2,FALSE), IF(D148="EQUIPAMENTOS",VLOOKUP($C148,Equip.Info!A:I,2,FALSE),VLOOKUP($C148,Mat.Info!A:H,2,FALSE)))</f>
        <v>Software CAD para MAC/Windows 64bits</v>
      </c>
      <c r="F148" s="413" t="str">
        <f t="shared" si="71"/>
        <v>h</v>
      </c>
      <c r="G148" s="326">
        <f>IF($D148="PESSOAL",VLOOKUP($C148,'TC 10-2023'!$B:$Z,25,FALSE), IF($D148="EQUIPAMENTOS",VLOOKUP($C148,Equip.Info!$A:$I,8,FALSE),VLOOKUP($C148,Mat.Info!$A:$H,8,FALSE)))</f>
        <v>3.3740000000000001</v>
      </c>
      <c r="H148" s="329">
        <f>'3.2.EEN'!$I$32</f>
        <v>364.98</v>
      </c>
      <c r="I148" s="328">
        <f t="shared" si="72"/>
        <v>1231.4425200000001</v>
      </c>
      <c r="J148" s="328">
        <f ca="1">I148*(1+Dados!$C$17)</f>
        <v>1780.6658839199999</v>
      </c>
      <c r="K148" s="418" t="s">
        <v>667</v>
      </c>
      <c r="L148" s="333" t="s">
        <v>565</v>
      </c>
    </row>
    <row r="149" spans="1:12" ht="33.75">
      <c r="A149" s="442" t="str">
        <f t="shared" si="73"/>
        <v>3.2</v>
      </c>
      <c r="B149" s="340"/>
      <c r="C149" s="428" t="s">
        <v>550</v>
      </c>
      <c r="D149" s="324" t="s">
        <v>526</v>
      </c>
      <c r="E149" s="325" t="s">
        <v>547</v>
      </c>
      <c r="F149" s="413" t="s">
        <v>544</v>
      </c>
      <c r="G149" s="326">
        <f>I149/H149</f>
        <v>497.33333333333331</v>
      </c>
      <c r="H149" s="327">
        <f>IF(D149="PASSAGENS",SUMIFS('Diárias e Passagens'!K:K,'Diárias e Passagens'!A:A,A149),SUMIFS('Diárias e Passagens'!N:N,'Diárias e Passagens'!A:A,A149))</f>
        <v>2</v>
      </c>
      <c r="I149" s="328">
        <f>IF(D149="PASSAGENS",SUMIFS('Diárias e Passagens'!M:M,'Diárias e Passagens'!A:A,A149),SUMIFS('Diárias e Passagens'!P:P,'Diárias e Passagens'!A:A,A149))</f>
        <v>994.66666666666663</v>
      </c>
      <c r="J149" s="328">
        <f ca="1">I149*(1+Dados!$C$17)</f>
        <v>1438.288</v>
      </c>
      <c r="K149" s="419" t="s">
        <v>546</v>
      </c>
      <c r="L149" s="333" t="s">
        <v>563</v>
      </c>
    </row>
    <row r="150" spans="1:12" ht="33.75">
      <c r="A150" s="442" t="str">
        <f t="shared" si="73"/>
        <v>3.2</v>
      </c>
      <c r="B150" s="340"/>
      <c r="C150" s="428" t="s">
        <v>550</v>
      </c>
      <c r="D150" s="324" t="s">
        <v>351</v>
      </c>
      <c r="E150" s="325" t="s">
        <v>548</v>
      </c>
      <c r="F150" s="413" t="s">
        <v>543</v>
      </c>
      <c r="G150" s="326">
        <f>I150/H150</f>
        <v>600</v>
      </c>
      <c r="H150" s="327">
        <f>IF(D150="PASSAGENS",SUMIFS('Diárias e Passagens'!K:K,'Diárias e Passagens'!A:A,A150),SUMIFS('Diárias e Passagens'!N:N,'Diárias e Passagens'!A:A,A150))</f>
        <v>5</v>
      </c>
      <c r="I150" s="328">
        <f>IF(D150="PASSAGENS",SUMIFS('Diárias e Passagens'!M:M,'Diárias e Passagens'!A:A,A150),SUMIFS('Diárias e Passagens'!P:P,'Diárias e Passagens'!A:A,A150))</f>
        <v>3000</v>
      </c>
      <c r="J150" s="328">
        <f ca="1">I150*(1+Dados!$C$17)</f>
        <v>4338</v>
      </c>
      <c r="K150" s="419" t="str">
        <f>Diárias!$I$6</f>
        <v>DECRETO Nº 11.872, DE 29 DE DEZEMBRO DE 2023</v>
      </c>
      <c r="L150" s="333" t="s">
        <v>564</v>
      </c>
    </row>
    <row r="151" spans="1:12" ht="15">
      <c r="A151" s="442" t="str">
        <f>B151</f>
        <v>3.3</v>
      </c>
      <c r="B151" s="342" t="str">
        <f>'Cronograma'!B27</f>
        <v>3.3</v>
      </c>
      <c r="C151" s="342" t="str">
        <f>'Cronograma'!C27</f>
        <v>Dimensão Operacional (EOP)</v>
      </c>
      <c r="D151" s="319"/>
      <c r="E151" s="320"/>
      <c r="F151" s="412"/>
      <c r="G151" s="321"/>
      <c r="H151" s="322"/>
      <c r="I151" s="323">
        <f>SUM(I152:I164)</f>
        <v>171472.65515916666</v>
      </c>
      <c r="J151" s="323">
        <f ca="1">SUM(J152:J164)</f>
        <v>247949.45936015499</v>
      </c>
      <c r="K151" s="420"/>
      <c r="L151" s="425"/>
    </row>
    <row r="152" spans="1:12">
      <c r="A152" s="442" t="str">
        <f t="shared" ref="A152:A160" si="76">A151</f>
        <v>3.3</v>
      </c>
      <c r="B152" s="336"/>
      <c r="C152" s="337" t="str">
        <f>'3.3.EOP'!B18</f>
        <v>P8060</v>
      </c>
      <c r="D152" s="324" t="s">
        <v>350</v>
      </c>
      <c r="E152" s="325" t="str">
        <f>IF(D152="PESSOAL",VLOOKUP($C152,'TC 10-2023'!$B:$Z,2,FALSE), IF(D152="EQUIPAMENTOS",VLOOKUP($C152,Equip.Info!A:I,2,FALSE),VLOOKUP($C152,Mat.Info!A:H,2,FALSE)))</f>
        <v>Engenheiro consultor especial</v>
      </c>
      <c r="F152" s="413" t="str">
        <f t="shared" ref="F152:F158" si="77">IF(D152="PESSOAL","mês", IF(OR(D152="EQUIPAMENTOS",D152="MATERIAL"),"h",""))</f>
        <v>mês</v>
      </c>
      <c r="G152" s="326">
        <f>IF($D152="PESSOAL",VLOOKUP($C152,'TC 10-2023'!$B:$Z,25,FALSE), IF($D152="EQUIPAMENTOS",VLOOKUP($C152,Equip.Info!$A:$I,8,FALSE),VLOOKUP($C152,Mat.Info!$A:$H,8,FALSE)))</f>
        <v>37906.68</v>
      </c>
      <c r="H152" s="326">
        <f>'3.3.EOP'!H18</f>
        <v>1</v>
      </c>
      <c r="I152" s="328">
        <f t="shared" ref="I152:I158" si="78">G152*H152</f>
        <v>37906.68</v>
      </c>
      <c r="J152" s="328">
        <f ca="1">I152*(1+Dados!$C$17)</f>
        <v>54813.059280000001</v>
      </c>
      <c r="K152" s="418" t="str">
        <f>"DNIT "&amp;TEXT(Dados!$C$16,"mmm/aa")</f>
        <v>DNIT out/23</v>
      </c>
      <c r="L152" s="333" t="str">
        <f>'3.3.EOP'!G18&amp;" "&amp;E152&amp;" por mês"</f>
        <v>1 Engenheiro consultor especial por mês</v>
      </c>
    </row>
    <row r="153" spans="1:12">
      <c r="A153" s="442" t="str">
        <f t="shared" si="76"/>
        <v>3.3</v>
      </c>
      <c r="B153" s="336"/>
      <c r="C153" s="337" t="str">
        <f>'3.3.EOP'!B19</f>
        <v>P8067</v>
      </c>
      <c r="D153" s="324" t="s">
        <v>350</v>
      </c>
      <c r="E153" s="325" t="str">
        <f>IF(D153="PESSOAL",VLOOKUP($C153,'TC 10-2023'!$B:$Z,2,FALSE), IF(D153="EQUIPAMENTOS",VLOOKUP($C153,Equip.Info!A:I,2,FALSE),VLOOKUP($C153,Mat.Info!A:H,2,FALSE)))</f>
        <v>Engenheiro de projetos sênior</v>
      </c>
      <c r="F153" s="413" t="str">
        <f t="shared" ref="F153:F155" si="79">IF(D153="PESSOAL","mês", IF(OR(D153="EQUIPAMENTOS",D153="MATERIAL"),"h",""))</f>
        <v>mês</v>
      </c>
      <c r="G153" s="326">
        <f>IF($D153="PESSOAL",VLOOKUP($C153,'TC 10-2023'!$B:$Z,25,FALSE), IF($D153="EQUIPAMENTOS",VLOOKUP($C153,Equip.Info!$A:$I,8,FALSE),VLOOKUP($C153,Mat.Info!$A:$H,8,FALSE)))</f>
        <v>27604.86</v>
      </c>
      <c r="H153" s="326">
        <f>'3.3.EOP'!H19</f>
        <v>2</v>
      </c>
      <c r="I153" s="328">
        <f t="shared" ref="I153:I155" si="80">G153*H153</f>
        <v>55209.72</v>
      </c>
      <c r="J153" s="328">
        <f ca="1">I153*(1+Dados!$C$17)</f>
        <v>79833.255120000002</v>
      </c>
      <c r="K153" s="418" t="str">
        <f>"DNIT "&amp;TEXT(Dados!$C$16,"mmm/aa")</f>
        <v>DNIT out/23</v>
      </c>
      <c r="L153" s="333" t="str">
        <f>'3.3.EOP'!G19&amp;" "&amp;E153&amp;" por mês"</f>
        <v>1 Engenheiro de projetos sênior por mês</v>
      </c>
    </row>
    <row r="154" spans="1:12">
      <c r="A154" s="442" t="str">
        <f t="shared" si="76"/>
        <v>3.3</v>
      </c>
      <c r="B154" s="336"/>
      <c r="C154" s="337" t="str">
        <f>'3.3.EOP'!B20</f>
        <v>P8066</v>
      </c>
      <c r="D154" s="324" t="s">
        <v>350</v>
      </c>
      <c r="E154" s="325" t="str">
        <f>IF(D154="PESSOAL",VLOOKUP($C154,'TC 10-2023'!$B:$Z,2,FALSE), IF(D154="EQUIPAMENTOS",VLOOKUP($C154,Equip.Info!A:I,2,FALSE),VLOOKUP($C154,Mat.Info!A:H,2,FALSE)))</f>
        <v>Engenheiro de projetos pleno</v>
      </c>
      <c r="F154" s="413" t="str">
        <f t="shared" si="79"/>
        <v>mês</v>
      </c>
      <c r="G154" s="326">
        <f>IF($D154="PESSOAL",VLOOKUP($C154,'TC 10-2023'!$B:$Z,25,FALSE), IF($D154="EQUIPAMENTOS",VLOOKUP($C154,Equip.Info!$A:$I,8,FALSE),VLOOKUP($C154,Mat.Info!$A:$H,8,FALSE)))</f>
        <v>21969.16</v>
      </c>
      <c r="H154" s="326">
        <f>'3.3.EOP'!H20</f>
        <v>2</v>
      </c>
      <c r="I154" s="328">
        <f t="shared" si="80"/>
        <v>43938.32</v>
      </c>
      <c r="J154" s="328">
        <f ca="1">I154*(1+Dados!$C$17)</f>
        <v>63534.810719999994</v>
      </c>
      <c r="K154" s="418" t="str">
        <f>"DNIT "&amp;TEXT(Dados!$C$16,"mmm/aa")</f>
        <v>DNIT out/23</v>
      </c>
      <c r="L154" s="333" t="str">
        <f>'3.3.EOP'!G20&amp;" "&amp;E154&amp;" por mês"</f>
        <v>1 Engenheiro de projetos pleno por mês</v>
      </c>
    </row>
    <row r="155" spans="1:12">
      <c r="A155" s="442" t="str">
        <f t="shared" si="76"/>
        <v>3.3</v>
      </c>
      <c r="B155" s="336"/>
      <c r="C155" s="337" t="str">
        <f>'3.3.EOP'!B21</f>
        <v>P8061</v>
      </c>
      <c r="D155" s="324" t="s">
        <v>350</v>
      </c>
      <c r="E155" s="325" t="str">
        <f>IF(D155="PESSOAL",VLOOKUP($C155,'TC 10-2023'!$B:$Z,2,FALSE), IF(D155="EQUIPAMENTOS",VLOOKUP($C155,Equip.Info!A:I,2,FALSE),VLOOKUP($C155,Mat.Info!A:H,2,FALSE)))</f>
        <v>Engenheiro coordenador</v>
      </c>
      <c r="F155" s="413" t="str">
        <f t="shared" si="79"/>
        <v>mês</v>
      </c>
      <c r="G155" s="326">
        <f>IF($D155="PESSOAL",VLOOKUP($C155,'TC 10-2023'!$B:$Z,25,FALSE), IF($D155="EQUIPAMENTOS",VLOOKUP($C155,Equip.Info!$A:$I,8,FALSE),VLOOKUP($C155,Mat.Info!$A:$H,8,FALSE)))</f>
        <v>31759.96</v>
      </c>
      <c r="H155" s="326">
        <f>'3.3.EOP'!H21</f>
        <v>0.5</v>
      </c>
      <c r="I155" s="328">
        <f t="shared" si="80"/>
        <v>15879.98</v>
      </c>
      <c r="J155" s="328">
        <f ca="1">I155*(1+Dados!$C$17)</f>
        <v>22962.451079999999</v>
      </c>
      <c r="K155" s="418" t="str">
        <f>"DNIT "&amp;TEXT(Dados!$C$16,"mmm/aa")</f>
        <v>DNIT out/23</v>
      </c>
      <c r="L155" s="333" t="str">
        <f>'3.3.EOP'!G21&amp;" "&amp;E155&amp;" por mês"</f>
        <v>1 Engenheiro coordenador por mês</v>
      </c>
    </row>
    <row r="156" spans="1:12">
      <c r="A156" s="442" t="str">
        <f t="shared" si="76"/>
        <v>3.3</v>
      </c>
      <c r="B156" s="338"/>
      <c r="C156" s="339" t="str">
        <f>'3.3.EOP'!$B$12</f>
        <v>EQSF001</v>
      </c>
      <c r="D156" s="324" t="s">
        <v>352</v>
      </c>
      <c r="E156" s="325" t="str">
        <f>IF(D156="PESSOAL",VLOOKUP($C156,'TC 10-2023'!$B:$Z,2,FALSE), IF(D156="EQUIPAMENTOS",VLOOKUP($C156,Equip.Info!A:I,2,FALSE),VLOOKUP($C156,Mat.Info!A:H,2,FALSE)))</f>
        <v>Desktop completo, processador Intel Core i5, 16GB memória, Resolução 3.840x2.160 (4K), PV GPU de 4GB e Sistema Operacional.</v>
      </c>
      <c r="F156" s="413" t="str">
        <f t="shared" si="77"/>
        <v>h</v>
      </c>
      <c r="G156" s="326">
        <f>IF($D156="PESSOAL",VLOOKUP($C156,'TC 10-2023'!$B:$Z,25,FALSE), IF($D156="EQUIPAMENTOS",VLOOKUP($C156,Equip.Info!$A:$I,8,FALSE),VLOOKUP($C156,Mat.Info!$A:$H,8,FALSE)))</f>
        <v>0.54349999999999998</v>
      </c>
      <c r="H156" s="329">
        <f>'3.3.EOP'!$F$12</f>
        <v>729.96</v>
      </c>
      <c r="I156" s="328">
        <f t="shared" si="78"/>
        <v>396.73326000000003</v>
      </c>
      <c r="J156" s="328">
        <f ca="1">I156*(1+Dados!$C$17)</f>
        <v>573.67629396000007</v>
      </c>
      <c r="K156" s="418" t="s">
        <v>667</v>
      </c>
      <c r="L156" s="333" t="s">
        <v>451</v>
      </c>
    </row>
    <row r="157" spans="1:12">
      <c r="A157" s="442" t="str">
        <f t="shared" si="76"/>
        <v>3.3</v>
      </c>
      <c r="B157" s="338"/>
      <c r="C157" s="339" t="str">
        <f>'3.3.EOP'!$B$13</f>
        <v>EQSF002</v>
      </c>
      <c r="D157" s="324" t="s">
        <v>352</v>
      </c>
      <c r="E157" s="325" t="str">
        <f>IF(D157="PESSOAL",VLOOKUP($C157,'TC 10-2023'!$B:$Z,2,FALSE), IF(D157="EQUIPAMENTOS",VLOOKUP($C157,Equip.Info!A:I,2,FALSE),VLOOKUP($C157,Mat.Info!A:H,2,FALSE)))</f>
        <v>Laptop completo, processador Intel Core i5, 16GB memória, Resolução 3.840x2.160 (4K), PV GPU de 4GB e Sistema Operacional.</v>
      </c>
      <c r="F157" s="413" t="str">
        <f t="shared" si="77"/>
        <v>h</v>
      </c>
      <c r="G157" s="326">
        <f>IF($D157="PESSOAL",VLOOKUP($C157,'TC 10-2023'!$B:$Z,25,FALSE), IF($D157="EQUIPAMENTOS",VLOOKUP($C157,Equip.Info!$A:$I,8,FALSE),VLOOKUP($C157,Mat.Info!$A:$H,8,FALSE)))</f>
        <v>0.217</v>
      </c>
      <c r="H157" s="329">
        <f>'3.3.EOP'!$F$13</f>
        <v>273.73500000000001</v>
      </c>
      <c r="I157" s="328">
        <f t="shared" si="78"/>
        <v>59.400494999999999</v>
      </c>
      <c r="J157" s="328">
        <f ca="1">I157*(1+Dados!$C$17)</f>
        <v>85.893115769999994</v>
      </c>
      <c r="K157" s="418" t="s">
        <v>667</v>
      </c>
      <c r="L157" s="333" t="s">
        <v>451</v>
      </c>
    </row>
    <row r="158" spans="1:12">
      <c r="A158" s="442" t="str">
        <f t="shared" si="76"/>
        <v>3.3</v>
      </c>
      <c r="B158" s="338"/>
      <c r="C158" s="339" t="str">
        <f>'3.3.EOP'!$B$31</f>
        <v>MTSF001</v>
      </c>
      <c r="D158" s="324" t="s">
        <v>448</v>
      </c>
      <c r="E158" s="325" t="str">
        <f>IF(D158="PESSOAL",VLOOKUP($C158,'TC 10-2023'!$B:$Z,2,FALSE), IF(D158="EQUIPAMENTOS",VLOOKUP($C158,Equip.Info!A:I,2,FALSE),VLOOKUP($C158,Mat.Info!A:H,2,FALSE)))</f>
        <v>Pacote Microsoft 365 Business Basic</v>
      </c>
      <c r="F158" s="413" t="str">
        <f t="shared" si="77"/>
        <v>h</v>
      </c>
      <c r="G158" s="326">
        <f>IF($D158="PESSOAL",VLOOKUP($C158,'TC 10-2023'!$B:$Z,25,FALSE), IF($D158="EQUIPAMENTOS",VLOOKUP($C158,Equip.Info!$A:$I,8,FALSE),VLOOKUP($C158,Mat.Info!$A:$H,8,FALSE)))</f>
        <v>0.16250000000000001</v>
      </c>
      <c r="H158" s="329">
        <f>'3.3.EOP'!$I$31</f>
        <v>1003.6950000000001</v>
      </c>
      <c r="I158" s="328">
        <f t="shared" si="78"/>
        <v>163.10043750000003</v>
      </c>
      <c r="J158" s="328">
        <f ca="1">I158*(1+Dados!$C$17)</f>
        <v>235.84323262500004</v>
      </c>
      <c r="K158" s="418" t="s">
        <v>667</v>
      </c>
      <c r="L158" s="333" t="s">
        <v>691</v>
      </c>
    </row>
    <row r="159" spans="1:12" ht="33.75">
      <c r="A159" s="442" t="str">
        <f t="shared" si="76"/>
        <v>3.3</v>
      </c>
      <c r="B159" s="340"/>
      <c r="C159" s="428" t="s">
        <v>550</v>
      </c>
      <c r="D159" s="324" t="s">
        <v>526</v>
      </c>
      <c r="E159" s="325" t="s">
        <v>547</v>
      </c>
      <c r="F159" s="413" t="s">
        <v>544</v>
      </c>
      <c r="G159" s="326">
        <f>I159/H159</f>
        <v>497.33333333333331</v>
      </c>
      <c r="H159" s="327">
        <f>IF(D159="PASSAGENS",SUMIFS('Diárias e Passagens'!K:K,'Diárias e Passagens'!A:A,A159),SUMIFS('Diárias e Passagens'!N:N,'Diárias e Passagens'!A:A,A159))</f>
        <v>2</v>
      </c>
      <c r="I159" s="328">
        <f>IF(D159="PASSAGENS",SUMIFS('Diárias e Passagens'!M:M,'Diárias e Passagens'!A:A,A159),SUMIFS('Diárias e Passagens'!P:P,'Diárias e Passagens'!A:A,A159))</f>
        <v>994.66666666666663</v>
      </c>
      <c r="J159" s="328">
        <f ca="1">I159*(1+Dados!$C$17)</f>
        <v>1438.288</v>
      </c>
      <c r="K159" s="419" t="s">
        <v>546</v>
      </c>
      <c r="L159" s="333" t="s">
        <v>563</v>
      </c>
    </row>
    <row r="160" spans="1:12" ht="33.75">
      <c r="A160" s="442" t="str">
        <f t="shared" si="76"/>
        <v>3.3</v>
      </c>
      <c r="B160" s="340"/>
      <c r="C160" s="428" t="s">
        <v>550</v>
      </c>
      <c r="D160" s="324" t="s">
        <v>351</v>
      </c>
      <c r="E160" s="325" t="s">
        <v>548</v>
      </c>
      <c r="F160" s="413" t="s">
        <v>543</v>
      </c>
      <c r="G160" s="326">
        <f>I160/H160</f>
        <v>600</v>
      </c>
      <c r="H160" s="327">
        <f>IF(D160="PASSAGENS",SUMIFS('Diárias e Passagens'!K:K,'Diárias e Passagens'!A:A,A160),SUMIFS('Diárias e Passagens'!N:N,'Diárias e Passagens'!A:A,A160))</f>
        <v>5</v>
      </c>
      <c r="I160" s="328">
        <f>IF(D160="PASSAGENS",SUMIFS('Diárias e Passagens'!M:M,'Diárias e Passagens'!A:A,A160),SUMIFS('Diárias e Passagens'!P:P,'Diárias e Passagens'!A:A,A160))</f>
        <v>3000</v>
      </c>
      <c r="J160" s="328">
        <f ca="1">I160*(1+Dados!$C$17)</f>
        <v>4338</v>
      </c>
      <c r="K160" s="419" t="str">
        <f>Diárias!$I$6</f>
        <v>DECRETO Nº 11.872, DE 29 DE DEZEMBRO DE 2023</v>
      </c>
      <c r="L160" s="333" t="s">
        <v>564</v>
      </c>
    </row>
    <row r="161" spans="1:17" s="331" customFormat="1" ht="15">
      <c r="A161" s="442" t="str">
        <f>A160&amp;".1"</f>
        <v>3.3.1</v>
      </c>
      <c r="B161" s="343" t="str">
        <f>A161</f>
        <v>3.3.1</v>
      </c>
      <c r="C161" s="344" t="str">
        <f>C151&amp;" - Inspeção de Campo"</f>
        <v>Dimensão Operacional (EOP) - Inspeção de Campo</v>
      </c>
      <c r="D161" s="319"/>
      <c r="E161" s="320"/>
      <c r="F161" s="412"/>
      <c r="G161" s="321"/>
      <c r="H161" s="322"/>
      <c r="I161" s="323"/>
      <c r="J161" s="323"/>
      <c r="K161" s="420"/>
      <c r="L161" s="424"/>
      <c r="Q161" s="332"/>
    </row>
    <row r="162" spans="1:17" ht="25.5">
      <c r="A162" s="442" t="str">
        <f>A161</f>
        <v>3.3.1</v>
      </c>
      <c r="B162" s="340"/>
      <c r="C162" s="428" t="s">
        <v>613</v>
      </c>
      <c r="D162" s="324" t="s">
        <v>526</v>
      </c>
      <c r="E162" s="325" t="s">
        <v>547</v>
      </c>
      <c r="F162" s="413" t="s">
        <v>544</v>
      </c>
      <c r="G162" s="326">
        <f>I162/H162</f>
        <v>626.52083333333326</v>
      </c>
      <c r="H162" s="327">
        <f>IF(D162="PASSAGENS",SUMIFS('Diárias e Passagens'!K:K,'Diárias e Passagens'!A:A,A162),SUMIFS('Diárias e Passagens'!N:N,'Diárias e Passagens'!A:A,A162))</f>
        <v>3</v>
      </c>
      <c r="I162" s="328">
        <f>IF(D162="PASSAGENS",SUMIFS('Diárias e Passagens'!M:M,'Diárias e Passagens'!A:A,A162),SUMIFS('Diárias e Passagens'!P:P,'Diárias e Passagens'!A:A,A162))</f>
        <v>1879.5624999999998</v>
      </c>
      <c r="J162" s="328">
        <f ca="1">I162*(1+Dados!$C$17)</f>
        <v>2717.8473749999994</v>
      </c>
      <c r="K162" s="419" t="s">
        <v>546</v>
      </c>
      <c r="L162" s="333" t="s">
        <v>563</v>
      </c>
    </row>
    <row r="163" spans="1:17" ht="25.5">
      <c r="A163" s="442" t="str">
        <f>A162</f>
        <v>3.3.1</v>
      </c>
      <c r="B163" s="340"/>
      <c r="C163" s="428" t="s">
        <v>613</v>
      </c>
      <c r="D163" s="324" t="s">
        <v>351</v>
      </c>
      <c r="E163" s="325" t="s">
        <v>548</v>
      </c>
      <c r="F163" s="413" t="s">
        <v>543</v>
      </c>
      <c r="G163" s="326">
        <f>I163/H163</f>
        <v>455</v>
      </c>
      <c r="H163" s="327">
        <f>IF(D163="PASSAGENS",SUMIFS('Diárias e Passagens'!K:K,'Diárias e Passagens'!A:A,A163),SUMIFS('Diárias e Passagens'!N:N,'Diárias e Passagens'!A:A,A163))</f>
        <v>19.5</v>
      </c>
      <c r="I163" s="328">
        <f>IF(D163="PASSAGENS",SUMIFS('Diárias e Passagens'!M:M,'Diárias e Passagens'!A:A,A163),SUMIFS('Diárias e Passagens'!P:P,'Diárias e Passagens'!A:A,A163))</f>
        <v>8872.5</v>
      </c>
      <c r="J163" s="328">
        <f ca="1">I163*(1+Dados!$C$17)</f>
        <v>12829.635</v>
      </c>
      <c r="K163" s="419" t="str">
        <f>Diárias!$I$6</f>
        <v>DECRETO Nº 11.872, DE 29 DE DEZEMBRO DE 2023</v>
      </c>
      <c r="L163" s="333" t="s">
        <v>564</v>
      </c>
    </row>
    <row r="164" spans="1:17">
      <c r="A164" s="442" t="str">
        <f>A163</f>
        <v>3.3.1</v>
      </c>
      <c r="B164" s="340"/>
      <c r="C164" s="440" t="str">
        <f>'Inspeção-Veículo'!B14</f>
        <v>E8889</v>
      </c>
      <c r="D164" s="324" t="s">
        <v>561</v>
      </c>
      <c r="E164" s="325" t="str">
        <f>VLOOKUP(A164,'Inspeção-Veículo'!$A$9:$O$17,4,0)</f>
        <v>Veículo leve picape 4 x 4 com capacidade de 1,10 t - 147 kW (sem motorista)</v>
      </c>
      <c r="F164" s="413" t="s">
        <v>299</v>
      </c>
      <c r="G164" s="326"/>
      <c r="H164" s="329"/>
      <c r="I164" s="328">
        <f>VLOOKUP(A164,'Inspeção-Veículo'!$A$9:$O$17,15,0)</f>
        <v>3171.9917999999998</v>
      </c>
      <c r="J164" s="328">
        <f ca="1">I164*(1+Dados!$C$17)</f>
        <v>4586.7001427999994</v>
      </c>
      <c r="K164" s="418" t="str">
        <f>"DNIT "&amp;TEXT(Dados!$C$16,"mmm/aa")</f>
        <v>DNIT out/23</v>
      </c>
      <c r="L164" s="333" t="str">
        <f>"Custo produtivo e improdutivo DNIT, considerando "&amp;'Inspeção-Veículo'!I14&amp;" de utilização produtiva."</f>
        <v>Custo produtivo e improdutivo DNIT, considerando 0,8 de utilização produtiva.</v>
      </c>
    </row>
    <row r="165" spans="1:17" ht="15">
      <c r="A165" s="442" t="str">
        <f>B165</f>
        <v>3.4</v>
      </c>
      <c r="B165" s="342" t="str">
        <f>'Cronograma'!B28</f>
        <v>3.4</v>
      </c>
      <c r="C165" s="342" t="str">
        <f>'Cronograma'!C28</f>
        <v>Dimensão Socioambiental (EMA)</v>
      </c>
      <c r="D165" s="319"/>
      <c r="E165" s="318"/>
      <c r="F165" s="414"/>
      <c r="G165" s="318"/>
      <c r="H165" s="318"/>
      <c r="I165" s="323">
        <f>SUM(I166:I174)</f>
        <v>118064.78193416669</v>
      </c>
      <c r="J165" s="323">
        <f ca="1">SUM(J166:J174)</f>
        <v>170721.67467680498</v>
      </c>
      <c r="K165" s="421"/>
      <c r="L165" s="426"/>
    </row>
    <row r="166" spans="1:17">
      <c r="A166" s="442" t="str">
        <f t="shared" ref="A166:A174" si="81">A165</f>
        <v>3.4</v>
      </c>
      <c r="B166" s="338"/>
      <c r="C166" s="339" t="str">
        <f>'3.4.EMA'!B18</f>
        <v>P8044</v>
      </c>
      <c r="D166" s="324" t="s">
        <v>350</v>
      </c>
      <c r="E166" s="325" t="str">
        <f>IF(D166="PESSOAL",VLOOKUP($C166,'TC 10-2023'!$B:$Z,2,FALSE), IF(D166="EQUIPAMENTOS",VLOOKUP($C166,Equip.Info!A:I,2,FALSE),VLOOKUP($C166,Mat.Info!A:H,2,FALSE)))</f>
        <v xml:space="preserve">Coordenador ambiental </v>
      </c>
      <c r="F166" s="413" t="str">
        <f t="shared" ref="F166:F172" si="82">IF(D166="PESSOAL","mês", IF(OR(D166="EQUIPAMENTOS",D166="MATERIAL"),"h",""))</f>
        <v>mês</v>
      </c>
      <c r="G166" s="326">
        <f>IF($D166="PESSOAL",VLOOKUP($C166,'TC 10-2023'!$B:$Z,25,FALSE), IF($D166="EQUIPAMENTOS",VLOOKUP($C166,Equip.Info!$A:$I,8,FALSE),VLOOKUP($C166,Mat.Info!$A:$H,8,FALSE)))</f>
        <v>31481.62</v>
      </c>
      <c r="H166" s="326">
        <f>'3.4.EMA'!H18</f>
        <v>1</v>
      </c>
      <c r="I166" s="328">
        <f>G166*H166</f>
        <v>31481.62</v>
      </c>
      <c r="J166" s="328">
        <f ca="1">I166*(1+Dados!$C$17)</f>
        <v>45522.42252</v>
      </c>
      <c r="K166" s="418" t="str">
        <f>"DNIT "&amp;TEXT(Dados!$C$16,"mmm/aa")</f>
        <v>DNIT out/23</v>
      </c>
      <c r="L166" s="333" t="str">
        <f>'3.4.EMA'!G18&amp;" "&amp;E166&amp;" por mês"</f>
        <v>1 Coordenador ambiental  por mês</v>
      </c>
    </row>
    <row r="167" spans="1:17">
      <c r="A167" s="442" t="str">
        <f t="shared" si="81"/>
        <v>3.4</v>
      </c>
      <c r="B167" s="338"/>
      <c r="C167" s="339" t="str">
        <f>'3.4.EMA'!B19</f>
        <v>P8059</v>
      </c>
      <c r="D167" s="324" t="s">
        <v>350</v>
      </c>
      <c r="E167" s="325" t="str">
        <f>IF(D167="PESSOAL",VLOOKUP($C167,'TC 10-2023'!$B:$Z,2,FALSE), IF(D167="EQUIPAMENTOS",VLOOKUP($C167,Equip.Info!A:I,2,FALSE),VLOOKUP($C167,Mat.Info!A:H,2,FALSE)))</f>
        <v>Engenheiro ambiental sênior</v>
      </c>
      <c r="F167" s="413" t="str">
        <f t="shared" ref="F167:F168" si="83">IF(D167="PESSOAL","mês", IF(OR(D167="EQUIPAMENTOS",D167="MATERIAL"),"h",""))</f>
        <v>mês</v>
      </c>
      <c r="G167" s="326">
        <f>IF($D167="PESSOAL",VLOOKUP($C167,'TC 10-2023'!$B:$Z,25,FALSE), IF($D167="EQUIPAMENTOS",VLOOKUP($C167,Equip.Info!$A:$I,8,FALSE),VLOOKUP($C167,Mat.Info!$A:$H,8,FALSE)))</f>
        <v>25413.33</v>
      </c>
      <c r="H167" s="326">
        <f>'3.4.EMA'!H19</f>
        <v>1.5</v>
      </c>
      <c r="I167" s="328">
        <f t="shared" ref="I167:I168" si="84">G167*H167</f>
        <v>38119.995000000003</v>
      </c>
      <c r="J167" s="328">
        <f ca="1">I167*(1+Dados!$C$17)</f>
        <v>55121.512770000001</v>
      </c>
      <c r="K167" s="418" t="str">
        <f>"DNIT "&amp;TEXT(Dados!$C$16,"mmm/aa")</f>
        <v>DNIT out/23</v>
      </c>
      <c r="L167" s="333" t="str">
        <f>'3.4.EMA'!G19&amp;" "&amp;E167&amp;" por mês"</f>
        <v>1 Engenheiro ambiental sênior por mês</v>
      </c>
    </row>
    <row r="168" spans="1:17">
      <c r="A168" s="442" t="str">
        <f t="shared" si="81"/>
        <v>3.4</v>
      </c>
      <c r="B168" s="338"/>
      <c r="C168" s="339" t="str">
        <f>'3.4.EMA'!B20</f>
        <v>P8058</v>
      </c>
      <c r="D168" s="324" t="s">
        <v>350</v>
      </c>
      <c r="E168" s="325" t="str">
        <f>IF(D168="PESSOAL",VLOOKUP($C168,'TC 10-2023'!$B:$Z,2,FALSE), IF(D168="EQUIPAMENTOS",VLOOKUP($C168,Equip.Info!A:I,2,FALSE),VLOOKUP($C168,Mat.Info!A:H,2,FALSE)))</f>
        <v>Engenheiro ambiental pleno</v>
      </c>
      <c r="F168" s="413" t="str">
        <f t="shared" si="83"/>
        <v>mês</v>
      </c>
      <c r="G168" s="326">
        <f>IF($D168="PESSOAL",VLOOKUP($C168,'TC 10-2023'!$B:$Z,25,FALSE), IF($D168="EQUIPAMENTOS",VLOOKUP($C168,Equip.Info!$A:$I,8,FALSE),VLOOKUP($C168,Mat.Info!$A:$H,8,FALSE)))</f>
        <v>21261.51</v>
      </c>
      <c r="H168" s="326">
        <f>'3.4.EMA'!H20</f>
        <v>2</v>
      </c>
      <c r="I168" s="328">
        <f t="shared" si="84"/>
        <v>42523.02</v>
      </c>
      <c r="J168" s="328">
        <f ca="1">I168*(1+Dados!$C$17)</f>
        <v>61488.286919999991</v>
      </c>
      <c r="K168" s="418" t="str">
        <f>"DNIT "&amp;TEXT(Dados!$C$16,"mmm/aa")</f>
        <v>DNIT out/23</v>
      </c>
      <c r="L168" s="333" t="str">
        <f>'3.4.EMA'!G20&amp;" "&amp;E168&amp;" por mês"</f>
        <v>1 Engenheiro ambiental pleno por mês</v>
      </c>
    </row>
    <row r="169" spans="1:17" ht="25.5">
      <c r="A169" s="442" t="str">
        <f t="shared" si="81"/>
        <v>3.4</v>
      </c>
      <c r="B169" s="338"/>
      <c r="C169" s="339" t="str">
        <f>'3.4.EMA'!$B$12</f>
        <v>EQSF001</v>
      </c>
      <c r="D169" s="324" t="s">
        <v>352</v>
      </c>
      <c r="E169" s="325" t="str">
        <f>IF(D169="PESSOAL",VLOOKUP($C169,'TC 10-2023'!$B:$Z,2,FALSE), IF(D169="EQUIPAMENTOS",VLOOKUP($C169,Equip.Info!A:I,2,FALSE),VLOOKUP($C169,Mat.Info!A:H,2,FALSE)))</f>
        <v>Desktop completo, processador Intel Core i5, 16GB memória, Resolução 3.840x2.160 (4K), PV GPU de 4GB e Sistema Operacional.</v>
      </c>
      <c r="F169" s="413" t="str">
        <f t="shared" si="82"/>
        <v>h</v>
      </c>
      <c r="G169" s="326">
        <f>IF($D169="PESSOAL",VLOOKUP($C169,'TC 10-2023'!$B:$Z,25,FALSE), IF($D169="EQUIPAMENTOS",VLOOKUP($C169,Equip.Info!$A:$I,8,FALSE),VLOOKUP($C169,Mat.Info!$A:$H,8,FALSE)))</f>
        <v>0.54349999999999998</v>
      </c>
      <c r="H169" s="329">
        <f>'3.4.EMA'!$F$12</f>
        <v>638.71500000000003</v>
      </c>
      <c r="I169" s="328">
        <f t="shared" ref="I169:I172" si="85">G169*H169</f>
        <v>347.14160250000003</v>
      </c>
      <c r="J169" s="328">
        <f ca="1">I169*(1+Dados!$C$17)</f>
        <v>501.96675721500003</v>
      </c>
      <c r="K169" s="418" t="s">
        <v>667</v>
      </c>
      <c r="L169" s="333" t="s">
        <v>566</v>
      </c>
    </row>
    <row r="170" spans="1:17" ht="25.5">
      <c r="A170" s="442" t="str">
        <f t="shared" si="81"/>
        <v>3.4</v>
      </c>
      <c r="B170" s="338"/>
      <c r="C170" s="339" t="str">
        <f>'3.4.EMA'!$B$13</f>
        <v>EQSF002</v>
      </c>
      <c r="D170" s="324" t="s">
        <v>352</v>
      </c>
      <c r="E170" s="325" t="str">
        <f>IF(D170="PESSOAL",VLOOKUP($C170,'TC 10-2023'!$B:$Z,2,FALSE), IF(D170="EQUIPAMENTOS",VLOOKUP($C170,Equip.Info!A:I,2,FALSE),VLOOKUP($C170,Mat.Info!A:H,2,FALSE)))</f>
        <v>Laptop completo, processador Intel Core i5, 16GB memória, Resolução 3.840x2.160 (4K), PV GPU de 4GB e Sistema Operacional.</v>
      </c>
      <c r="F170" s="413" t="str">
        <f t="shared" si="82"/>
        <v>h</v>
      </c>
      <c r="G170" s="326">
        <f>IF($D170="PESSOAL",VLOOKUP($C170,'TC 10-2023'!$B:$Z,25,FALSE), IF($D170="EQUIPAMENTOS",VLOOKUP($C170,Equip.Info!$A:$I,8,FALSE),VLOOKUP($C170,Mat.Info!$A:$H,8,FALSE)))</f>
        <v>0.217</v>
      </c>
      <c r="H170" s="329">
        <f>'3.4.EMA'!$F$13</f>
        <v>182.49</v>
      </c>
      <c r="I170" s="328">
        <f t="shared" si="85"/>
        <v>39.60033</v>
      </c>
      <c r="J170" s="328">
        <f ca="1">I170*(1+Dados!$C$17)</f>
        <v>57.262077179999999</v>
      </c>
      <c r="K170" s="418" t="s">
        <v>667</v>
      </c>
      <c r="L170" s="333" t="s">
        <v>566</v>
      </c>
    </row>
    <row r="171" spans="1:17">
      <c r="A171" s="442" t="str">
        <f t="shared" si="81"/>
        <v>3.4</v>
      </c>
      <c r="B171" s="338"/>
      <c r="C171" s="339" t="str">
        <f>'3.4.EMA'!$B$31</f>
        <v>MTSF001</v>
      </c>
      <c r="D171" s="324" t="s">
        <v>448</v>
      </c>
      <c r="E171" s="325" t="str">
        <f>IF(D171="PESSOAL",VLOOKUP($C171,'TC 10-2023'!$B:$Z,2,FALSE), IF(D171="EQUIPAMENTOS",VLOOKUP($C171,Equip.Info!A:I,2,FALSE),VLOOKUP($C171,Mat.Info!A:H,2,FALSE)))</f>
        <v>Pacote Microsoft 365 Business Basic</v>
      </c>
      <c r="F171" s="413" t="str">
        <f t="shared" si="82"/>
        <v>h</v>
      </c>
      <c r="G171" s="326">
        <f>IF($D171="PESSOAL",VLOOKUP($C171,'TC 10-2023'!$B:$Z,25,FALSE), IF($D171="EQUIPAMENTOS",VLOOKUP($C171,Equip.Info!$A:$I,8,FALSE),VLOOKUP($C171,Mat.Info!$A:$H,8,FALSE)))</f>
        <v>0.16250000000000001</v>
      </c>
      <c r="H171" s="329">
        <f>'3.4.EMA'!$I$31</f>
        <v>821.20500000000004</v>
      </c>
      <c r="I171" s="328">
        <f t="shared" si="85"/>
        <v>133.44581250000002</v>
      </c>
      <c r="J171" s="328">
        <f ca="1">I171*(1+Dados!$C$17)</f>
        <v>192.96264487500002</v>
      </c>
      <c r="K171" s="418" t="s">
        <v>667</v>
      </c>
      <c r="L171" s="333" t="s">
        <v>691</v>
      </c>
    </row>
    <row r="172" spans="1:17">
      <c r="A172" s="442" t="str">
        <f t="shared" si="81"/>
        <v>3.4</v>
      </c>
      <c r="B172" s="338"/>
      <c r="C172" s="339" t="str">
        <f>'3.4.EMA'!$B$32</f>
        <v>MTSF003</v>
      </c>
      <c r="D172" s="324" t="s">
        <v>448</v>
      </c>
      <c r="E172" s="325" t="str">
        <f>IF(D172="PESSOAL",VLOOKUP($C172,'TC 10-2023'!$B:$Z,2,FALSE), IF(D172="EQUIPAMENTOS",VLOOKUP($C172,Equip.Info!A:I,2,FALSE),VLOOKUP($C172,Mat.Info!A:H,2,FALSE)))</f>
        <v>Software SIG para MAC/Windows 64bits</v>
      </c>
      <c r="F172" s="413" t="str">
        <f t="shared" si="82"/>
        <v>h</v>
      </c>
      <c r="G172" s="326">
        <f>IF($D172="PESSOAL",VLOOKUP($C172,'TC 10-2023'!$B:$Z,25,FALSE), IF($D172="EQUIPAMENTOS",VLOOKUP($C172,Equip.Info!$A:$I,8,FALSE),VLOOKUP($C172,Mat.Info!$A:$H,8,FALSE)))</f>
        <v>4.4630000000000001</v>
      </c>
      <c r="H172" s="329">
        <f>'3.4.EMA'!$I$32</f>
        <v>319.35750000000002</v>
      </c>
      <c r="I172" s="328">
        <f t="shared" si="85"/>
        <v>1425.2925225000001</v>
      </c>
      <c r="J172" s="328">
        <f ca="1">I172*(1+Dados!$C$17)</f>
        <v>2060.9729875349999</v>
      </c>
      <c r="K172" s="418" t="s">
        <v>667</v>
      </c>
      <c r="L172" s="333" t="s">
        <v>568</v>
      </c>
    </row>
    <row r="173" spans="1:17" ht="33.75">
      <c r="A173" s="442" t="str">
        <f t="shared" si="81"/>
        <v>3.4</v>
      </c>
      <c r="B173" s="340"/>
      <c r="C173" s="428" t="s">
        <v>550</v>
      </c>
      <c r="D173" s="324" t="s">
        <v>526</v>
      </c>
      <c r="E173" s="325" t="s">
        <v>574</v>
      </c>
      <c r="F173" s="413" t="s">
        <v>544</v>
      </c>
      <c r="G173" s="326">
        <f>I173/H173</f>
        <v>497.33333333333331</v>
      </c>
      <c r="H173" s="327">
        <f>IF(D173="PASSAGENS",SUMIFS('Diárias e Passagens'!K:K,'Diárias e Passagens'!A:A,A173),SUMIFS('Diárias e Passagens'!N:N,'Diárias e Passagens'!A:A,A173))</f>
        <v>2</v>
      </c>
      <c r="I173" s="328">
        <f>IF(D173="PASSAGENS",SUMIFS('Diárias e Passagens'!M:M,'Diárias e Passagens'!A:A,A173),SUMIFS('Diárias e Passagens'!P:P,'Diárias e Passagens'!A:A,A173))</f>
        <v>994.66666666666663</v>
      </c>
      <c r="J173" s="328">
        <f ca="1">I173*(1+Dados!$C$17)</f>
        <v>1438.288</v>
      </c>
      <c r="K173" s="419" t="s">
        <v>546</v>
      </c>
      <c r="L173" s="333" t="s">
        <v>563</v>
      </c>
    </row>
    <row r="174" spans="1:17" ht="33.75">
      <c r="A174" s="442" t="str">
        <f t="shared" si="81"/>
        <v>3.4</v>
      </c>
      <c r="B174" s="340"/>
      <c r="C174" s="428" t="s">
        <v>550</v>
      </c>
      <c r="D174" s="324" t="s">
        <v>351</v>
      </c>
      <c r="E174" s="325" t="s">
        <v>548</v>
      </c>
      <c r="F174" s="413" t="s">
        <v>543</v>
      </c>
      <c r="G174" s="326">
        <f>I174/H174</f>
        <v>600</v>
      </c>
      <c r="H174" s="327">
        <f>IF(D174="PASSAGENS",SUMIFS('Diárias e Passagens'!K:K,'Diárias e Passagens'!A:A,A174),SUMIFS('Diárias e Passagens'!N:N,'Diárias e Passagens'!A:A,A174))</f>
        <v>5</v>
      </c>
      <c r="I174" s="328">
        <f>IF(D174="PASSAGENS",SUMIFS('Diárias e Passagens'!M:M,'Diárias e Passagens'!A:A,A174),SUMIFS('Diárias e Passagens'!P:P,'Diárias e Passagens'!A:A,A174))</f>
        <v>3000</v>
      </c>
      <c r="J174" s="328">
        <f ca="1">I174*(1+Dados!$C$17)</f>
        <v>4338</v>
      </c>
      <c r="K174" s="419" t="str">
        <f>Diárias!$I$6</f>
        <v>DECRETO Nº 11.872, DE 29 DE DEZEMBRO DE 2023</v>
      </c>
      <c r="L174" s="333" t="s">
        <v>564</v>
      </c>
    </row>
    <row r="175" spans="1:17" s="331" customFormat="1" ht="15">
      <c r="A175" s="442" t="str">
        <f>B175</f>
        <v>3.5</v>
      </c>
      <c r="B175" s="342" t="str">
        <f>'Cronograma'!B29</f>
        <v>3.5</v>
      </c>
      <c r="C175" s="342" t="str">
        <f>'Cronograma'!C29</f>
        <v>Dimensão Econômico-Financeira (MEF)</v>
      </c>
      <c r="D175" s="319"/>
      <c r="E175" s="320"/>
      <c r="F175" s="412"/>
      <c r="G175" s="321"/>
      <c r="H175" s="322"/>
      <c r="I175" s="323">
        <f>SUM(I176:I181)</f>
        <v>27107.123117166666</v>
      </c>
      <c r="J175" s="323">
        <f ca="1">SUM(J176:J181)</f>
        <v>39196.900027422998</v>
      </c>
      <c r="K175" s="420"/>
      <c r="L175" s="427"/>
    </row>
    <row r="176" spans="1:17" s="331" customFormat="1" ht="15">
      <c r="A176" s="442" t="str">
        <f t="shared" ref="A176:A181" si="86">A175</f>
        <v>3.5</v>
      </c>
      <c r="B176" s="338"/>
      <c r="C176" s="339" t="str">
        <f>'3.5.MEF'!B18</f>
        <v>P8047</v>
      </c>
      <c r="D176" s="324" t="s">
        <v>350</v>
      </c>
      <c r="E176" s="325" t="str">
        <f>IF(D176="PESSOAL",VLOOKUP($C176,'TC 10-2023'!$B:$Z,2,FALSE), IF(D176="EQUIPAMENTOS",VLOOKUP($C176,Equip.Info!A:I,2,FALSE),VLOOKUP($C176,Mat.Info!A:H,2,FALSE)))</f>
        <v>Economista sênior</v>
      </c>
      <c r="F176" s="413" t="str">
        <f t="shared" ref="F176:F179" si="87">IF(D176="PESSOAL","mês", IF(OR(D176="EQUIPAMENTOS",D176="MATERIAL"),"h",""))</f>
        <v>mês</v>
      </c>
      <c r="G176" s="326">
        <f>IF($D176="PESSOAL",VLOOKUP($C176,'TC 10-2023'!$B:$Z,25,FALSE), IF($D176="EQUIPAMENTOS",VLOOKUP($C176,Equip.Info!$A:$I,8,FALSE),VLOOKUP($C176,Mat.Info!$A:$H,8,FALSE)))</f>
        <v>19860.28</v>
      </c>
      <c r="H176" s="326">
        <f>'3.5.MEF'!H18</f>
        <v>1</v>
      </c>
      <c r="I176" s="328">
        <f t="shared" ref="I176:I179" si="88">G176*H176</f>
        <v>19860.28</v>
      </c>
      <c r="J176" s="328">
        <f ca="1">I176*(1+Dados!$C$17)</f>
        <v>28717.964879999996</v>
      </c>
      <c r="K176" s="418" t="str">
        <f>"DNIT "&amp;TEXT(Dados!$C$16,"mmm/aa")</f>
        <v>DNIT out/23</v>
      </c>
      <c r="L176" s="333" t="str">
        <f>'3.5.MEF'!G18&amp;" "&amp;E176&amp;" por mês"</f>
        <v>1 Economista sênior por mês</v>
      </c>
    </row>
    <row r="177" spans="1:13" s="331" customFormat="1" ht="15">
      <c r="A177" s="442" t="str">
        <f t="shared" si="86"/>
        <v>3.5</v>
      </c>
      <c r="B177" s="338"/>
      <c r="C177" s="339" t="str">
        <f>'3.5.MEF'!B19</f>
        <v>P8061</v>
      </c>
      <c r="D177" s="324" t="s">
        <v>350</v>
      </c>
      <c r="E177" s="325" t="str">
        <f>IF(D177="PESSOAL",VLOOKUP($C177,'TC 10-2023'!$B:$Z,2,FALSE), IF(D177="EQUIPAMENTOS",VLOOKUP($C177,Equip.Info!A:I,2,FALSE),VLOOKUP($C177,Mat.Info!A:H,2,FALSE)))</f>
        <v>Engenheiro coordenador</v>
      </c>
      <c r="F177" s="413" t="str">
        <f t="shared" ref="F177" si="89">IF(D177="PESSOAL","mês", IF(OR(D177="EQUIPAMENTOS",D177="MATERIAL"),"h",""))</f>
        <v>mês</v>
      </c>
      <c r="G177" s="326">
        <f>IF($D177="PESSOAL",VLOOKUP($C177,'TC 10-2023'!$B:$Z,25,FALSE), IF($D177="EQUIPAMENTOS",VLOOKUP($C177,Equip.Info!$A:$I,8,FALSE),VLOOKUP($C177,Mat.Info!$A:$H,8,FALSE)))</f>
        <v>31759.96</v>
      </c>
      <c r="H177" s="326">
        <f>'3.5.MEF'!H19</f>
        <v>0.1</v>
      </c>
      <c r="I177" s="328">
        <f t="shared" ref="I177" si="90">G177*H177</f>
        <v>3175.9960000000001</v>
      </c>
      <c r="J177" s="328">
        <f ca="1">I177*(1+Dados!$C$17)</f>
        <v>4592.4902160000001</v>
      </c>
      <c r="K177" s="418" t="str">
        <f>"DNIT "&amp;TEXT(Dados!$C$16,"mmm/aa")</f>
        <v>DNIT out/23</v>
      </c>
      <c r="L177" s="333" t="str">
        <f>'3.5.MEF'!G19&amp;" "&amp;E177&amp;" por mês"</f>
        <v>1 Engenheiro coordenador por mês</v>
      </c>
    </row>
    <row r="178" spans="1:13" s="331" customFormat="1" ht="25.5">
      <c r="A178" s="442" t="str">
        <f t="shared" si="86"/>
        <v>3.5</v>
      </c>
      <c r="B178" s="338"/>
      <c r="C178" s="339" t="str">
        <f>'3.5.MEF'!$B$12</f>
        <v>EQSF002</v>
      </c>
      <c r="D178" s="324" t="s">
        <v>352</v>
      </c>
      <c r="E178" s="325" t="str">
        <f>IF(D178="PESSOAL",VLOOKUP($C178,'TC 10-2023'!$B:$Z,2,FALSE), IF(D178="EQUIPAMENTOS",VLOOKUP($C178,Equip.Info!A:I,2,FALSE),VLOOKUP($C178,Mat.Info!A:H,2,FALSE)))</f>
        <v>Laptop completo, processador Intel Core i5, 16GB memória, Resolução 3.840x2.160 (4K), PV GPU de 4GB e Sistema Operacional.</v>
      </c>
      <c r="F178" s="413" t="str">
        <f t="shared" si="87"/>
        <v>h</v>
      </c>
      <c r="G178" s="326">
        <f>IF($D178="PESSOAL",VLOOKUP($C178,'TC 10-2023'!$B:$Z,25,FALSE), IF($D178="EQUIPAMENTOS",VLOOKUP($C178,Equip.Info!$A:$I,8,FALSE),VLOOKUP($C178,Mat.Info!$A:$H,8,FALSE)))</f>
        <v>0.217</v>
      </c>
      <c r="H178" s="329">
        <f>'3.5.MEF'!$F$12</f>
        <v>200.739</v>
      </c>
      <c r="I178" s="328">
        <f t="shared" si="88"/>
        <v>43.560363000000002</v>
      </c>
      <c r="J178" s="328">
        <f ca="1">I178*(1+Dados!$C$17)</f>
        <v>62.988284898000003</v>
      </c>
      <c r="K178" s="418" t="s">
        <v>667</v>
      </c>
      <c r="L178" s="333" t="s">
        <v>567</v>
      </c>
    </row>
    <row r="179" spans="1:13" s="331" customFormat="1" ht="15">
      <c r="A179" s="442" t="str">
        <f t="shared" si="86"/>
        <v>3.5</v>
      </c>
      <c r="B179" s="338"/>
      <c r="C179" s="339" t="str">
        <f>'3.5.MEF'!$B$31</f>
        <v>MTSF001</v>
      </c>
      <c r="D179" s="324" t="s">
        <v>448</v>
      </c>
      <c r="E179" s="325" t="str">
        <f>IF(D179="PESSOAL",VLOOKUP($C179,'TC 10-2023'!$B:$Z,2,FALSE), IF(D179="EQUIPAMENTOS",VLOOKUP($C179,Equip.Info!A:I,2,FALSE),VLOOKUP($C179,Mat.Info!A:H,2,FALSE)))</f>
        <v>Pacote Microsoft 365 Business Basic</v>
      </c>
      <c r="F179" s="413" t="str">
        <f t="shared" si="87"/>
        <v>h</v>
      </c>
      <c r="G179" s="326">
        <f>IF($D179="PESSOAL",VLOOKUP($C179,'TC 10-2023'!$B:$Z,25,FALSE), IF($D179="EQUIPAMENTOS",VLOOKUP($C179,Equip.Info!$A:$I,8,FALSE),VLOOKUP($C179,Mat.Info!$A:$H,8,FALSE)))</f>
        <v>0.16250000000000001</v>
      </c>
      <c r="H179" s="329">
        <f>'3.5.MEF'!$I$31</f>
        <v>200.739</v>
      </c>
      <c r="I179" s="328">
        <f t="shared" si="88"/>
        <v>32.620087500000004</v>
      </c>
      <c r="J179" s="328">
        <f ca="1">I179*(1+Dados!$C$17)</f>
        <v>47.168646525000007</v>
      </c>
      <c r="K179" s="418" t="s">
        <v>667</v>
      </c>
      <c r="L179" s="333" t="s">
        <v>691</v>
      </c>
    </row>
    <row r="180" spans="1:13" s="331" customFormat="1" ht="33.75">
      <c r="A180" s="442" t="str">
        <f t="shared" si="86"/>
        <v>3.5</v>
      </c>
      <c r="B180" s="340"/>
      <c r="C180" s="428" t="s">
        <v>550</v>
      </c>
      <c r="D180" s="324" t="s">
        <v>526</v>
      </c>
      <c r="E180" s="325" t="s">
        <v>547</v>
      </c>
      <c r="F180" s="413" t="s">
        <v>544</v>
      </c>
      <c r="G180" s="326">
        <f>I180/H180</f>
        <v>497.33333333333331</v>
      </c>
      <c r="H180" s="327">
        <f>IF(D180="PASSAGENS",SUMIFS('Diárias e Passagens'!K:K,'Diárias e Passagens'!A:A,A180),SUMIFS('Diárias e Passagens'!N:N,'Diárias e Passagens'!A:A,A180))</f>
        <v>2</v>
      </c>
      <c r="I180" s="328">
        <f>IF(D180="PASSAGENS",SUMIFS('Diárias e Passagens'!M:M,'Diárias e Passagens'!A:A,A180),SUMIFS('Diárias e Passagens'!P:P,'Diárias e Passagens'!A:A,A180))</f>
        <v>994.66666666666663</v>
      </c>
      <c r="J180" s="328">
        <f ca="1">I180*(1+Dados!$C$17)</f>
        <v>1438.288</v>
      </c>
      <c r="K180" s="419" t="s">
        <v>546</v>
      </c>
      <c r="L180" s="333" t="s">
        <v>563</v>
      </c>
    </row>
    <row r="181" spans="1:13" ht="33.75">
      <c r="A181" s="442" t="str">
        <f t="shared" si="86"/>
        <v>3.5</v>
      </c>
      <c r="B181" s="340"/>
      <c r="C181" s="428" t="s">
        <v>550</v>
      </c>
      <c r="D181" s="324" t="s">
        <v>351</v>
      </c>
      <c r="E181" s="325" t="s">
        <v>548</v>
      </c>
      <c r="F181" s="413" t="s">
        <v>543</v>
      </c>
      <c r="G181" s="326">
        <f>I181/H181</f>
        <v>600</v>
      </c>
      <c r="H181" s="327">
        <f>IF(D181="PASSAGENS",SUMIFS('Diárias e Passagens'!K:K,'Diárias e Passagens'!A:A,A181),SUMIFS('Diárias e Passagens'!N:N,'Diárias e Passagens'!A:A,A181))</f>
        <v>5</v>
      </c>
      <c r="I181" s="328">
        <f>IF(D181="PASSAGENS",SUMIFS('Diárias e Passagens'!M:M,'Diárias e Passagens'!A:A,A181),SUMIFS('Diárias e Passagens'!P:P,'Diárias e Passagens'!A:A,A181))</f>
        <v>3000</v>
      </c>
      <c r="J181" s="328">
        <f ca="1">I181*(1+Dados!$C$17)</f>
        <v>4338</v>
      </c>
      <c r="K181" s="419" t="str">
        <f>Diárias!$I$6</f>
        <v>DECRETO Nº 11.872, DE 29 DE DEZEMBRO DE 2023</v>
      </c>
      <c r="L181" s="333" t="s">
        <v>564</v>
      </c>
      <c r="M181" s="331"/>
    </row>
    <row r="182" spans="1:13" s="331" customFormat="1" ht="15">
      <c r="A182" s="442" t="str">
        <f>B182</f>
        <v>3.6</v>
      </c>
      <c r="B182" s="342" t="str">
        <f>'Cronograma'!B30</f>
        <v>3.6</v>
      </c>
      <c r="C182" s="342" t="str">
        <f>'Cronograma'!C30</f>
        <v>Apoio e revisão pós Audiência Pública</v>
      </c>
      <c r="D182" s="319"/>
      <c r="E182" s="320"/>
      <c r="F182" s="412"/>
      <c r="G182" s="321"/>
      <c r="H182" s="322"/>
      <c r="I182" s="323">
        <f>SUM(I183:I193)</f>
        <v>110083.58868666667</v>
      </c>
      <c r="J182" s="323">
        <f ca="1">SUM(J183:J193)</f>
        <v>159180.86924091997</v>
      </c>
      <c r="K182" s="420"/>
      <c r="L182" s="425"/>
    </row>
    <row r="183" spans="1:13" s="331" customFormat="1" ht="15">
      <c r="A183" s="442" t="str">
        <f t="shared" ref="A183:A192" si="91">A182</f>
        <v>3.6</v>
      </c>
      <c r="B183" s="338"/>
      <c r="C183" s="339" t="str">
        <f>'3.6.AP'!B18</f>
        <v>P8044</v>
      </c>
      <c r="D183" s="324" t="s">
        <v>350</v>
      </c>
      <c r="E183" s="325" t="str">
        <f>IF(D183="PESSOAL",VLOOKUP($C183,'TC 10-2023'!$B:$Z,2,FALSE), IF(D183="EQUIPAMENTOS",VLOOKUP($C183,Equip.Info!A:I,2,FALSE),VLOOKUP($C183,Mat.Info!A:H,2,FALSE)))</f>
        <v xml:space="preserve">Coordenador ambiental </v>
      </c>
      <c r="F183" s="413" t="str">
        <f t="shared" ref="F183:F190" si="92">IF(D183="PESSOAL","mês", IF(OR(D183="EQUIPAMENTOS",D183="MATERIAL"),"h",""))</f>
        <v>mês</v>
      </c>
      <c r="G183" s="326">
        <f>IF($D183="PESSOAL",VLOOKUP($C183,'TC 10-2023'!$B:$Z,25,FALSE), IF($D183="EQUIPAMENTOS",VLOOKUP($C183,Equip.Info!$A:$I,8,FALSE),VLOOKUP($C183,Mat.Info!$A:$H,8,FALSE)))</f>
        <v>31481.62</v>
      </c>
      <c r="H183" s="326">
        <f>'3.6.AP'!H18</f>
        <v>0.25</v>
      </c>
      <c r="I183" s="328">
        <f>G183*H183</f>
        <v>7870.4049999999997</v>
      </c>
      <c r="J183" s="328">
        <f ca="1">I183*(1+Dados!$C$17)</f>
        <v>11380.60563</v>
      </c>
      <c r="K183" s="418" t="str">
        <f>"DNIT "&amp;TEXT(Dados!$C$16,"mmm/aa")</f>
        <v>DNIT out/23</v>
      </c>
      <c r="L183" s="333" t="str">
        <f>'3.6.AP'!G18&amp;" "&amp;E183&amp;" por mês"</f>
        <v>1 Coordenador ambiental  por mês</v>
      </c>
    </row>
    <row r="184" spans="1:13" s="331" customFormat="1" ht="15">
      <c r="A184" s="442" t="str">
        <f t="shared" si="91"/>
        <v>3.6</v>
      </c>
      <c r="B184" s="338"/>
      <c r="C184" s="339" t="str">
        <f>'3.6.AP'!B19</f>
        <v>P8061</v>
      </c>
      <c r="D184" s="324" t="s">
        <v>350</v>
      </c>
      <c r="E184" s="325" t="str">
        <f>IF(D184="PESSOAL",VLOOKUP($C184,'TC 10-2023'!$B:$Z,2,FALSE), IF(D184="EQUIPAMENTOS",VLOOKUP($C184,Equip.Info!A:I,2,FALSE),VLOOKUP($C184,Mat.Info!A:H,2,FALSE)))</f>
        <v>Engenheiro coordenador</v>
      </c>
      <c r="F184" s="413" t="str">
        <f t="shared" ref="F184:F188" si="93">IF(D184="PESSOAL","mês", IF(OR(D184="EQUIPAMENTOS",D184="MATERIAL"),"h",""))</f>
        <v>mês</v>
      </c>
      <c r="G184" s="326">
        <f>IF($D184="PESSOAL",VLOOKUP($C184,'TC 10-2023'!$B:$Z,25,FALSE), IF($D184="EQUIPAMENTOS",VLOOKUP($C184,Equip.Info!$A:$I,8,FALSE),VLOOKUP($C184,Mat.Info!$A:$H,8,FALSE)))</f>
        <v>31759.96</v>
      </c>
      <c r="H184" s="326">
        <f>'3.6.AP'!H19</f>
        <v>0.25</v>
      </c>
      <c r="I184" s="328">
        <f t="shared" ref="I184:I188" si="94">G184*H184</f>
        <v>7939.99</v>
      </c>
      <c r="J184" s="328">
        <f ca="1">I184*(1+Dados!$C$17)</f>
        <v>11481.225539999999</v>
      </c>
      <c r="K184" s="418" t="str">
        <f>"DNIT "&amp;TEXT(Dados!$C$16,"mmm/aa")</f>
        <v>DNIT out/23</v>
      </c>
      <c r="L184" s="333" t="str">
        <f>'3.6.AP'!G19&amp;" "&amp;E184&amp;" por mês"</f>
        <v>1 Engenheiro coordenador por mês</v>
      </c>
    </row>
    <row r="185" spans="1:13" ht="15">
      <c r="A185" s="442" t="str">
        <f t="shared" si="91"/>
        <v>3.6</v>
      </c>
      <c r="B185" s="338"/>
      <c r="C185" s="339" t="str">
        <f>'3.6.AP'!B20</f>
        <v>P8003</v>
      </c>
      <c r="D185" s="324" t="s">
        <v>350</v>
      </c>
      <c r="E185" s="325" t="str">
        <f>IF(D185="PESSOAL",VLOOKUP($C185,'TC 10-2023'!$B:$Z,2,FALSE), IF(D185="EQUIPAMENTOS",VLOOKUP($C185,Equip.Info!A:I,2,FALSE),VLOOKUP($C185,Mat.Info!A:H,2,FALSE)))</f>
        <v>Advogado sênior</v>
      </c>
      <c r="F185" s="413" t="str">
        <f t="shared" si="93"/>
        <v>mês</v>
      </c>
      <c r="G185" s="326">
        <f>IF($D185="PESSOAL",VLOOKUP($C185,'TC 10-2023'!$B:$Z,25,FALSE), IF($D185="EQUIPAMENTOS",VLOOKUP($C185,Equip.Info!$A:$I,8,FALSE),VLOOKUP($C185,Mat.Info!$A:$H,8,FALSE)))</f>
        <v>19214.900000000001</v>
      </c>
      <c r="H185" s="326">
        <f>'3.6.AP'!H20</f>
        <v>1</v>
      </c>
      <c r="I185" s="328">
        <f t="shared" si="94"/>
        <v>19214.900000000001</v>
      </c>
      <c r="J185" s="328">
        <f ca="1">I185*(1+Dados!$C$17)</f>
        <v>27784.7454</v>
      </c>
      <c r="K185" s="418" t="str">
        <f>"DNIT "&amp;TEXT(Dados!$C$16,"mmm/aa")</f>
        <v>DNIT out/23</v>
      </c>
      <c r="L185" s="333" t="str">
        <f>'3.6.AP'!G20&amp;" "&amp;E185&amp;" por mês"</f>
        <v>1 Advogado sênior por mês</v>
      </c>
      <c r="M185" s="331"/>
    </row>
    <row r="186" spans="1:13" ht="15">
      <c r="A186" s="442" t="str">
        <f t="shared" si="91"/>
        <v>3.6</v>
      </c>
      <c r="B186" s="338"/>
      <c r="C186" s="339" t="str">
        <f>'3.6.AP'!B21</f>
        <v>P8047</v>
      </c>
      <c r="D186" s="324" t="s">
        <v>350</v>
      </c>
      <c r="E186" s="325" t="str">
        <f>IF(D186="PESSOAL",VLOOKUP($C186,'TC 10-2023'!$B:$Z,2,FALSE), IF(D186="EQUIPAMENTOS",VLOOKUP($C186,Equip.Info!A:I,2,FALSE),VLOOKUP($C186,Mat.Info!A:H,2,FALSE)))</f>
        <v>Economista sênior</v>
      </c>
      <c r="F186" s="413" t="str">
        <f t="shared" si="93"/>
        <v>mês</v>
      </c>
      <c r="G186" s="326">
        <f>IF($D186="PESSOAL",VLOOKUP($C186,'TC 10-2023'!$B:$Z,25,FALSE), IF($D186="EQUIPAMENTOS",VLOOKUP($C186,Equip.Info!$A:$I,8,FALSE),VLOOKUP($C186,Mat.Info!$A:$H,8,FALSE)))</f>
        <v>19860.28</v>
      </c>
      <c r="H186" s="326">
        <f>'3.6.AP'!H21</f>
        <v>1</v>
      </c>
      <c r="I186" s="328">
        <f t="shared" si="94"/>
        <v>19860.28</v>
      </c>
      <c r="J186" s="328">
        <f ca="1">I186*(1+Dados!$C$17)</f>
        <v>28717.964879999996</v>
      </c>
      <c r="K186" s="418" t="str">
        <f>"DNIT "&amp;TEXT(Dados!$C$16,"mmm/aa")</f>
        <v>DNIT out/23</v>
      </c>
      <c r="L186" s="333" t="str">
        <f>'3.6.AP'!G21&amp;" "&amp;E186&amp;" por mês"</f>
        <v>1 Economista sênior por mês</v>
      </c>
      <c r="M186" s="331"/>
    </row>
    <row r="187" spans="1:13" s="331" customFormat="1" ht="15">
      <c r="A187" s="442" t="str">
        <f t="shared" si="91"/>
        <v>3.6</v>
      </c>
      <c r="B187" s="338"/>
      <c r="C187" s="339" t="str">
        <f>'3.6.AP'!B22</f>
        <v>P8060</v>
      </c>
      <c r="D187" s="324" t="s">
        <v>350</v>
      </c>
      <c r="E187" s="325" t="str">
        <f>IF(D187="PESSOAL",VLOOKUP($C187,'TC 10-2023'!$B:$Z,2,FALSE), IF(D187="EQUIPAMENTOS",VLOOKUP($C187,Equip.Info!A:I,2,FALSE),VLOOKUP($C187,Mat.Info!A:H,2,FALSE)))</f>
        <v>Engenheiro consultor especial</v>
      </c>
      <c r="F187" s="413" t="str">
        <f t="shared" si="93"/>
        <v>mês</v>
      </c>
      <c r="G187" s="326">
        <f>IF($D187="PESSOAL",VLOOKUP($C187,'TC 10-2023'!$B:$Z,25,FALSE), IF($D187="EQUIPAMENTOS",VLOOKUP($C187,Equip.Info!$A:$I,8,FALSE),VLOOKUP($C187,Mat.Info!$A:$H,8,FALSE)))</f>
        <v>37906.68</v>
      </c>
      <c r="H187" s="326">
        <f>'3.6.AP'!H22</f>
        <v>0.5</v>
      </c>
      <c r="I187" s="328">
        <f t="shared" si="94"/>
        <v>18953.34</v>
      </c>
      <c r="J187" s="328">
        <f ca="1">I187*(1+Dados!$C$17)</f>
        <v>27406.529640000001</v>
      </c>
      <c r="K187" s="418" t="str">
        <f>"DNIT "&amp;TEXT(Dados!$C$16,"mmm/aa")</f>
        <v>DNIT out/23</v>
      </c>
      <c r="L187" s="333" t="str">
        <f>'3.6.AP'!G22&amp;" "&amp;E187&amp;" por mês"</f>
        <v>1 Engenheiro consultor especial por mês</v>
      </c>
    </row>
    <row r="188" spans="1:13" s="331" customFormat="1" ht="15">
      <c r="A188" s="442" t="str">
        <f t="shared" si="91"/>
        <v>3.6</v>
      </c>
      <c r="B188" s="338"/>
      <c r="C188" s="339" t="str">
        <f>'3.6.AP'!B23</f>
        <v>P8067</v>
      </c>
      <c r="D188" s="324" t="s">
        <v>350</v>
      </c>
      <c r="E188" s="325" t="str">
        <f>IF(D188="PESSOAL",VLOOKUP($C188,'TC 10-2023'!$B:$Z,2,FALSE), IF(D188="EQUIPAMENTOS",VLOOKUP($C188,Equip.Info!A:I,2,FALSE),VLOOKUP($C188,Mat.Info!A:H,2,FALSE)))</f>
        <v>Engenheiro de projetos sênior</v>
      </c>
      <c r="F188" s="413" t="str">
        <f t="shared" si="93"/>
        <v>mês</v>
      </c>
      <c r="G188" s="326">
        <f>IF($D188="PESSOAL",VLOOKUP($C188,'TC 10-2023'!$B:$Z,25,FALSE), IF($D188="EQUIPAMENTOS",VLOOKUP($C188,Equip.Info!$A:$I,8,FALSE),VLOOKUP($C188,Mat.Info!$A:$H,8,FALSE)))</f>
        <v>27604.86</v>
      </c>
      <c r="H188" s="326">
        <f>'3.6.AP'!H23</f>
        <v>1</v>
      </c>
      <c r="I188" s="328">
        <f t="shared" si="94"/>
        <v>27604.86</v>
      </c>
      <c r="J188" s="328">
        <f ca="1">I188*(1+Dados!$C$17)</f>
        <v>39916.627560000001</v>
      </c>
      <c r="K188" s="418" t="str">
        <f>"DNIT "&amp;TEXT(Dados!$C$16,"mmm/aa")</f>
        <v>DNIT out/23</v>
      </c>
      <c r="L188" s="333" t="str">
        <f>'3.6.AP'!G23&amp;" "&amp;E188&amp;" por mês"</f>
        <v>2 Engenheiro de projetos sênior por mês</v>
      </c>
    </row>
    <row r="189" spans="1:13" s="331" customFormat="1" ht="25.5">
      <c r="A189" s="442" t="str">
        <f t="shared" si="91"/>
        <v>3.6</v>
      </c>
      <c r="B189" s="340"/>
      <c r="C189" s="339" t="str">
        <f>'2.9.ADJR'!$B$12</f>
        <v>EQSF002</v>
      </c>
      <c r="D189" s="324" t="s">
        <v>352</v>
      </c>
      <c r="E189" s="325" t="str">
        <f>IF(D189="PESSOAL",VLOOKUP($C189,'TC 10-2023'!$B:$Z,2,FALSE), IF(D189="EQUIPAMENTOS",VLOOKUP($C189,Equip.Info!A:I,2,FALSE),VLOOKUP($C189,Mat.Info!A:H,2,FALSE)))</f>
        <v>Laptop completo, processador Intel Core i5, 16GB memória, Resolução 3.840x2.160 (4K), PV GPU de 4GB e Sistema Operacional.</v>
      </c>
      <c r="F189" s="413" t="str">
        <f t="shared" si="92"/>
        <v>h</v>
      </c>
      <c r="G189" s="326">
        <f>IF($D189="PESSOAL",VLOOKUP($C189,'TC 10-2023'!$B:$Z,25,FALSE), IF($D189="EQUIPAMENTOS",VLOOKUP($C189,Equip.Info!$A:$I,8,FALSE),VLOOKUP($C189,Mat.Info!$A:$H,8,FALSE)))</f>
        <v>0.217</v>
      </c>
      <c r="H189" s="329">
        <f>'3.6.AP'!$F$12</f>
        <v>729.96</v>
      </c>
      <c r="I189" s="328">
        <f t="shared" ref="I189:I190" si="95">G189*H189</f>
        <v>158.40132</v>
      </c>
      <c r="J189" s="328">
        <f ca="1">I189*(1+Dados!$C$17)</f>
        <v>229.04830871999999</v>
      </c>
      <c r="K189" s="418" t="s">
        <v>667</v>
      </c>
      <c r="L189" s="333" t="s">
        <v>567</v>
      </c>
    </row>
    <row r="190" spans="1:13" s="331" customFormat="1" ht="15">
      <c r="A190" s="442" t="str">
        <f t="shared" si="91"/>
        <v>3.6</v>
      </c>
      <c r="B190" s="340"/>
      <c r="C190" s="339" t="str">
        <f>'2.9.ADJR'!$B$31</f>
        <v>MTSF001</v>
      </c>
      <c r="D190" s="324" t="s">
        <v>448</v>
      </c>
      <c r="E190" s="325" t="str">
        <f>IF(D190="PESSOAL",VLOOKUP($C190,'TC 10-2023'!$B:$Z,2,FALSE), IF(D190="EQUIPAMENTOS",VLOOKUP($C190,Equip.Info!A:I,2,FALSE),VLOOKUP($C190,Mat.Info!A:H,2,FALSE)))</f>
        <v>Pacote Microsoft 365 Business Basic</v>
      </c>
      <c r="F190" s="413" t="str">
        <f t="shared" si="92"/>
        <v>h</v>
      </c>
      <c r="G190" s="326">
        <f>IF($D190="PESSOAL",VLOOKUP($C190,'TC 10-2023'!$B:$Z,25,FALSE), IF($D190="EQUIPAMENTOS",VLOOKUP($C190,Equip.Info!$A:$I,8,FALSE),VLOOKUP($C190,Mat.Info!$A:$H,8,FALSE)))</f>
        <v>0.16250000000000001</v>
      </c>
      <c r="H190" s="329">
        <f>'3.6.AP'!$I$31</f>
        <v>729.96</v>
      </c>
      <c r="I190" s="328">
        <f t="shared" si="95"/>
        <v>118.61850000000001</v>
      </c>
      <c r="J190" s="328">
        <f ca="1">I190*(1+Dados!$C$17)</f>
        <v>171.52235100000001</v>
      </c>
      <c r="K190" s="418" t="s">
        <v>667</v>
      </c>
      <c r="L190" s="333" t="s">
        <v>691</v>
      </c>
    </row>
    <row r="191" spans="1:13" s="331" customFormat="1" ht="33.75">
      <c r="A191" s="442" t="str">
        <f t="shared" si="91"/>
        <v>3.6</v>
      </c>
      <c r="B191" s="340"/>
      <c r="C191" s="428" t="s">
        <v>550</v>
      </c>
      <c r="D191" s="324" t="s">
        <v>526</v>
      </c>
      <c r="E191" s="325" t="s">
        <v>547</v>
      </c>
      <c r="F191" s="413" t="s">
        <v>544</v>
      </c>
      <c r="G191" s="326">
        <f>I191/H191</f>
        <v>640.79166666666663</v>
      </c>
      <c r="H191" s="327">
        <f>IF(D191="PASSAGENS",SUMIFS('Diárias e Passagens'!K:K,'Diárias e Passagens'!A:A,A191),SUMIFS('Diárias e Passagens'!N:N,'Diárias e Passagens'!A:A,A191))</f>
        <v>4</v>
      </c>
      <c r="I191" s="328">
        <f>IF(D191="PASSAGENS",SUMIFS('Diárias e Passagens'!M:M,'Diárias e Passagens'!A:A,A191),SUMIFS('Diárias e Passagens'!P:P,'Diárias e Passagens'!A:A,A191))</f>
        <v>2563.1666666666665</v>
      </c>
      <c r="J191" s="328">
        <f ca="1">I191*(1+Dados!$C$17)</f>
        <v>3706.3389999999995</v>
      </c>
      <c r="K191" s="419" t="s">
        <v>546</v>
      </c>
      <c r="L191" s="333" t="s">
        <v>563</v>
      </c>
    </row>
    <row r="192" spans="1:13" ht="33.75">
      <c r="A192" s="442" t="str">
        <f t="shared" si="91"/>
        <v>3.6</v>
      </c>
      <c r="B192" s="340"/>
      <c r="C192" s="428" t="s">
        <v>550</v>
      </c>
      <c r="D192" s="324" t="s">
        <v>351</v>
      </c>
      <c r="E192" s="325" t="s">
        <v>548</v>
      </c>
      <c r="F192" s="413" t="s">
        <v>543</v>
      </c>
      <c r="G192" s="326">
        <f>I192/H192</f>
        <v>516.5</v>
      </c>
      <c r="H192" s="327">
        <f>IF(D192="PASSAGENS",SUMIFS('Diárias e Passagens'!K:K,'Diárias e Passagens'!A:A,A192),SUMIFS('Diárias e Passagens'!N:N,'Diárias e Passagens'!A:A,A192))</f>
        <v>10</v>
      </c>
      <c r="I192" s="328">
        <f>IF(D192="PASSAGENS",SUMIFS('Diárias e Passagens'!M:M,'Diárias e Passagens'!A:A,A192),SUMIFS('Diárias e Passagens'!P:P,'Diárias e Passagens'!A:A,A192))</f>
        <v>5165</v>
      </c>
      <c r="J192" s="328">
        <f ca="1">I192*(1+Dados!$C$17)</f>
        <v>7468.59</v>
      </c>
      <c r="K192" s="419" t="str">
        <f>Diárias!$I$6</f>
        <v>DECRETO Nº 11.872, DE 29 DE DEZEMBRO DE 2023</v>
      </c>
      <c r="L192" s="333" t="s">
        <v>564</v>
      </c>
      <c r="M192" s="331"/>
    </row>
    <row r="193" spans="1:13">
      <c r="A193" s="442" t="str">
        <f>A192</f>
        <v>3.6</v>
      </c>
      <c r="B193" s="340"/>
      <c r="C193" s="440" t="str">
        <f>'Inspeção-Veículo'!B14</f>
        <v>E8889</v>
      </c>
      <c r="D193" s="324" t="s">
        <v>561</v>
      </c>
      <c r="E193" s="325" t="str">
        <f>VLOOKUP(A193,'Inspeção-Veículo'!$A$9:$O$17,4,0)</f>
        <v>Veículo leve - 53 kW (sem motorista)</v>
      </c>
      <c r="F193" s="413" t="s">
        <v>299</v>
      </c>
      <c r="G193" s="326"/>
      <c r="H193" s="329"/>
      <c r="I193" s="328">
        <f>VLOOKUP(A193,'Inspeção-Veículo'!$A$9:$O$17,15,0)</f>
        <v>634.62720000000002</v>
      </c>
      <c r="J193" s="328">
        <f ca="1">I193*(1+Dados!$C$17)</f>
        <v>917.67093120000004</v>
      </c>
      <c r="K193" s="418" t="str">
        <f>"DNIT "&amp;TEXT(Dados!$C$16,"mmm/aa")</f>
        <v>DNIT out/23</v>
      </c>
      <c r="L193" s="333" t="str">
        <f>"Custo produtivo e improdutivo DNIT, considerando "&amp;'Inspeção-Veículo'!I143&amp;" de utilização produtiva."</f>
        <v>Custo produtivo e improdutivo DNIT, considerando  de utilização produtiva.</v>
      </c>
    </row>
    <row r="194" spans="1:13" s="331" customFormat="1" ht="15">
      <c r="A194" s="442" t="str">
        <f>B194</f>
        <v>3.7</v>
      </c>
      <c r="B194" s="342" t="str">
        <f>'Cronograma'!B31</f>
        <v>3.7</v>
      </c>
      <c r="C194" s="342" t="str">
        <f>'Cronograma'!C31</f>
        <v>Apoio a subsídios a questionamentos do órgão de controle externo</v>
      </c>
      <c r="D194" s="319"/>
      <c r="E194" s="320"/>
      <c r="F194" s="412"/>
      <c r="G194" s="321"/>
      <c r="H194" s="322"/>
      <c r="I194" s="323">
        <f>SUM(I195:I202)</f>
        <v>52444.899657749993</v>
      </c>
      <c r="J194" s="323">
        <f ca="1">SUM(J195:J202)</f>
        <v>75835.324905106492</v>
      </c>
      <c r="K194" s="420"/>
      <c r="L194" s="425"/>
    </row>
    <row r="195" spans="1:13" s="331" customFormat="1" ht="15">
      <c r="A195" s="442" t="str">
        <f t="shared" ref="A195:A202" si="96">A194</f>
        <v>3.7</v>
      </c>
      <c r="B195" s="338"/>
      <c r="C195" s="339" t="str">
        <f>'3.7.TCU'!B18</f>
        <v>P8044</v>
      </c>
      <c r="D195" s="324" t="s">
        <v>350</v>
      </c>
      <c r="E195" s="325" t="str">
        <f>IF(D195="PESSOAL",VLOOKUP($C195,'TC 10-2023'!$B:$Z,2,FALSE), IF(D195="EQUIPAMENTOS",VLOOKUP($C195,Equip.Info!A:I,2,FALSE),VLOOKUP($C195,Mat.Info!A:H,2,FALSE)))</f>
        <v xml:space="preserve">Coordenador ambiental </v>
      </c>
      <c r="F195" s="413" t="str">
        <f t="shared" ref="F195:F202" si="97">IF(D195="PESSOAL","mês", IF(OR(D195="EQUIPAMENTOS",D195="MATERIAL"),"h",""))</f>
        <v>mês</v>
      </c>
      <c r="G195" s="326">
        <f>IF($D195="PESSOAL",VLOOKUP($C195,'TC 10-2023'!$B:$Z,25,FALSE), IF($D195="EQUIPAMENTOS",VLOOKUP($C195,Equip.Info!$A:$I,8,FALSE),VLOOKUP($C195,Mat.Info!$A:$H,8,FALSE)))</f>
        <v>31481.62</v>
      </c>
      <c r="H195" s="326">
        <f>'3.7.TCU'!H18</f>
        <v>0.15</v>
      </c>
      <c r="I195" s="328">
        <f>G195*H195</f>
        <v>4722.2429999999995</v>
      </c>
      <c r="J195" s="328">
        <f ca="1">I195*(1+Dados!$C$17)</f>
        <v>6828.3633779999991</v>
      </c>
      <c r="K195" s="418" t="str">
        <f>"DNIT "&amp;TEXT(Dados!$C$16,"mmm/aa")</f>
        <v>DNIT out/23</v>
      </c>
      <c r="L195" s="333" t="str">
        <f>'3.7.TCU'!G18&amp;" "&amp;E195&amp;" por mês"</f>
        <v>1 Coordenador ambiental  por mês</v>
      </c>
    </row>
    <row r="196" spans="1:13" s="331" customFormat="1" ht="15">
      <c r="A196" s="442" t="str">
        <f t="shared" si="96"/>
        <v>3.7</v>
      </c>
      <c r="B196" s="338"/>
      <c r="C196" s="339" t="str">
        <f>'3.7.TCU'!B19</f>
        <v>P8061</v>
      </c>
      <c r="D196" s="324" t="s">
        <v>350</v>
      </c>
      <c r="E196" s="325" t="str">
        <f>IF(D196="PESSOAL",VLOOKUP($C196,'TC 10-2023'!$B:$Z,2,FALSE), IF(D196="EQUIPAMENTOS",VLOOKUP($C196,Equip.Info!A:I,2,FALSE),VLOOKUP($C196,Mat.Info!A:H,2,FALSE)))</f>
        <v>Engenheiro coordenador</v>
      </c>
      <c r="F196" s="413" t="str">
        <f t="shared" ref="F196:F200" si="98">IF(D196="PESSOAL","mês", IF(OR(D196="EQUIPAMENTOS",D196="MATERIAL"),"h",""))</f>
        <v>mês</v>
      </c>
      <c r="G196" s="326">
        <f>IF($D196="PESSOAL",VLOOKUP($C196,'TC 10-2023'!$B:$Z,25,FALSE), IF($D196="EQUIPAMENTOS",VLOOKUP($C196,Equip.Info!$A:$I,8,FALSE),VLOOKUP($C196,Mat.Info!$A:$H,8,FALSE)))</f>
        <v>31759.96</v>
      </c>
      <c r="H196" s="326">
        <f>'3.7.TCU'!H19</f>
        <v>0.15</v>
      </c>
      <c r="I196" s="328">
        <f t="shared" ref="I196:I200" si="99">G196*H196</f>
        <v>4763.9939999999997</v>
      </c>
      <c r="J196" s="328">
        <f ca="1">I196*(1+Dados!$C$17)</f>
        <v>6888.7353239999993</v>
      </c>
      <c r="K196" s="418" t="str">
        <f>"DNIT "&amp;TEXT(Dados!$C$16,"mmm/aa")</f>
        <v>DNIT out/23</v>
      </c>
      <c r="L196" s="333" t="str">
        <f>'3.7.TCU'!G19&amp;" "&amp;E196&amp;" por mês"</f>
        <v>1 Engenheiro coordenador por mês</v>
      </c>
    </row>
    <row r="197" spans="1:13" ht="15">
      <c r="A197" s="442" t="str">
        <f t="shared" si="96"/>
        <v>3.7</v>
      </c>
      <c r="B197" s="338"/>
      <c r="C197" s="339" t="str">
        <f>'3.7.TCU'!B20</f>
        <v>P8003</v>
      </c>
      <c r="D197" s="324" t="s">
        <v>350</v>
      </c>
      <c r="E197" s="325" t="str">
        <f>IF(D197="PESSOAL",VLOOKUP($C197,'TC 10-2023'!$B:$Z,2,FALSE), IF(D197="EQUIPAMENTOS",VLOOKUP($C197,Equip.Info!A:I,2,FALSE),VLOOKUP($C197,Mat.Info!A:H,2,FALSE)))</f>
        <v>Advogado sênior</v>
      </c>
      <c r="F197" s="413" t="str">
        <f t="shared" si="98"/>
        <v>mês</v>
      </c>
      <c r="G197" s="326">
        <f>IF($D197="PESSOAL",VLOOKUP($C197,'TC 10-2023'!$B:$Z,25,FALSE), IF($D197="EQUIPAMENTOS",VLOOKUP($C197,Equip.Info!$A:$I,8,FALSE),VLOOKUP($C197,Mat.Info!$A:$H,8,FALSE)))</f>
        <v>19214.900000000001</v>
      </c>
      <c r="H197" s="326">
        <f>'3.7.TCU'!H20</f>
        <v>0.5</v>
      </c>
      <c r="I197" s="328">
        <f t="shared" si="99"/>
        <v>9607.4500000000007</v>
      </c>
      <c r="J197" s="328">
        <f ca="1">I197*(1+Dados!$C$17)</f>
        <v>13892.3727</v>
      </c>
      <c r="K197" s="418" t="str">
        <f>"DNIT "&amp;TEXT(Dados!$C$16,"mmm/aa")</f>
        <v>DNIT out/23</v>
      </c>
      <c r="L197" s="333" t="str">
        <f>'3.7.TCU'!G20&amp;" "&amp;E197&amp;" por mês"</f>
        <v>1 Advogado sênior por mês</v>
      </c>
      <c r="M197" s="331"/>
    </row>
    <row r="198" spans="1:13" ht="15">
      <c r="A198" s="442" t="str">
        <f t="shared" si="96"/>
        <v>3.7</v>
      </c>
      <c r="B198" s="338"/>
      <c r="C198" s="339" t="str">
        <f>'3.7.TCU'!B21</f>
        <v>P8047</v>
      </c>
      <c r="D198" s="324" t="s">
        <v>350</v>
      </c>
      <c r="E198" s="325" t="str">
        <f>IF(D198="PESSOAL",VLOOKUP($C198,'TC 10-2023'!$B:$Z,2,FALSE), IF(D198="EQUIPAMENTOS",VLOOKUP($C198,Equip.Info!A:I,2,FALSE),VLOOKUP($C198,Mat.Info!A:H,2,FALSE)))</f>
        <v>Economista sênior</v>
      </c>
      <c r="F198" s="413" t="str">
        <f t="shared" si="98"/>
        <v>mês</v>
      </c>
      <c r="G198" s="326">
        <f>IF($D198="PESSOAL",VLOOKUP($C198,'TC 10-2023'!$B:$Z,25,FALSE), IF($D198="EQUIPAMENTOS",VLOOKUP($C198,Equip.Info!$A:$I,8,FALSE),VLOOKUP($C198,Mat.Info!$A:$H,8,FALSE)))</f>
        <v>19860.28</v>
      </c>
      <c r="H198" s="326">
        <f>'3.7.TCU'!H21</f>
        <v>0.5</v>
      </c>
      <c r="I198" s="328">
        <f t="shared" si="99"/>
        <v>9930.14</v>
      </c>
      <c r="J198" s="328">
        <f ca="1">I198*(1+Dados!$C$17)</f>
        <v>14358.982439999998</v>
      </c>
      <c r="K198" s="418" t="str">
        <f>"DNIT "&amp;TEXT(Dados!$C$16,"mmm/aa")</f>
        <v>DNIT out/23</v>
      </c>
      <c r="L198" s="333" t="str">
        <f>'3.7.TCU'!G21&amp;" "&amp;E198&amp;" por mês"</f>
        <v>1 Economista sênior por mês</v>
      </c>
      <c r="M198" s="331"/>
    </row>
    <row r="199" spans="1:13" s="331" customFormat="1" ht="15">
      <c r="A199" s="442" t="str">
        <f t="shared" si="96"/>
        <v>3.7</v>
      </c>
      <c r="B199" s="338"/>
      <c r="C199" s="339" t="str">
        <f>'3.7.TCU'!B22</f>
        <v>P8060</v>
      </c>
      <c r="D199" s="324" t="s">
        <v>350</v>
      </c>
      <c r="E199" s="325" t="str">
        <f>IF(D199="PESSOAL",VLOOKUP($C199,'TC 10-2023'!$B:$Z,2,FALSE), IF(D199="EQUIPAMENTOS",VLOOKUP($C199,Equip.Info!A:I,2,FALSE),VLOOKUP($C199,Mat.Info!A:H,2,FALSE)))</f>
        <v>Engenheiro consultor especial</v>
      </c>
      <c r="F199" s="413" t="str">
        <f t="shared" si="98"/>
        <v>mês</v>
      </c>
      <c r="G199" s="326">
        <f>IF($D199="PESSOAL",VLOOKUP($C199,'TC 10-2023'!$B:$Z,25,FALSE), IF($D199="EQUIPAMENTOS",VLOOKUP($C199,Equip.Info!$A:$I,8,FALSE),VLOOKUP($C199,Mat.Info!$A:$H,8,FALSE)))</f>
        <v>37906.68</v>
      </c>
      <c r="H199" s="326">
        <f>'3.7.TCU'!H22</f>
        <v>0.25</v>
      </c>
      <c r="I199" s="328">
        <f t="shared" si="99"/>
        <v>9476.67</v>
      </c>
      <c r="J199" s="328">
        <f ca="1">I199*(1+Dados!$C$17)</f>
        <v>13703.26482</v>
      </c>
      <c r="K199" s="418" t="str">
        <f>"DNIT "&amp;TEXT(Dados!$C$16,"mmm/aa")</f>
        <v>DNIT out/23</v>
      </c>
      <c r="L199" s="333" t="str">
        <f>'3.7.TCU'!G22&amp;" "&amp;E199&amp;" por mês"</f>
        <v>1 Engenheiro consultor especial por mês</v>
      </c>
    </row>
    <row r="200" spans="1:13" s="331" customFormat="1" ht="15">
      <c r="A200" s="442" t="str">
        <f t="shared" si="96"/>
        <v>3.7</v>
      </c>
      <c r="B200" s="338"/>
      <c r="C200" s="339" t="str">
        <f>'3.7.TCU'!B23</f>
        <v>P8067</v>
      </c>
      <c r="D200" s="324" t="s">
        <v>350</v>
      </c>
      <c r="E200" s="325" t="str">
        <f>IF(D200="PESSOAL",VLOOKUP($C200,'TC 10-2023'!$B:$Z,2,FALSE), IF(D200="EQUIPAMENTOS",VLOOKUP($C200,Equip.Info!A:I,2,FALSE),VLOOKUP($C200,Mat.Info!A:H,2,FALSE)))</f>
        <v>Engenheiro de projetos sênior</v>
      </c>
      <c r="F200" s="413" t="str">
        <f t="shared" si="98"/>
        <v>mês</v>
      </c>
      <c r="G200" s="326">
        <f>IF($D200="PESSOAL",VLOOKUP($C200,'TC 10-2023'!$B:$Z,25,FALSE), IF($D200="EQUIPAMENTOS",VLOOKUP($C200,Equip.Info!$A:$I,8,FALSE),VLOOKUP($C200,Mat.Info!$A:$H,8,FALSE)))</f>
        <v>27604.86</v>
      </c>
      <c r="H200" s="326">
        <f>'3.7.TCU'!H23</f>
        <v>0.5</v>
      </c>
      <c r="I200" s="328">
        <f t="shared" si="99"/>
        <v>13802.43</v>
      </c>
      <c r="J200" s="328">
        <f ca="1">I200*(1+Dados!$C$17)</f>
        <v>19958.31378</v>
      </c>
      <c r="K200" s="418" t="str">
        <f>"DNIT "&amp;TEXT(Dados!$C$16,"mmm/aa")</f>
        <v>DNIT out/23</v>
      </c>
      <c r="L200" s="333" t="str">
        <f>'3.7.TCU'!G23&amp;" "&amp;E200&amp;" por mês"</f>
        <v>2 Engenheiro de projetos sênior por mês</v>
      </c>
    </row>
    <row r="201" spans="1:13" s="331" customFormat="1" ht="25.5">
      <c r="A201" s="442" t="str">
        <f t="shared" si="96"/>
        <v>3.7</v>
      </c>
      <c r="B201" s="340"/>
      <c r="C201" s="339" t="str">
        <f>'2.9.ADJR'!$B$12</f>
        <v>EQSF002</v>
      </c>
      <c r="D201" s="324" t="s">
        <v>352</v>
      </c>
      <c r="E201" s="325" t="str">
        <f>IF(D201="PESSOAL",VLOOKUP($C201,'TC 10-2023'!$B:$Z,2,FALSE), IF(D201="EQUIPAMENTOS",VLOOKUP($C201,Equip.Info!A:I,2,FALSE),VLOOKUP($C201,Mat.Info!A:H,2,FALSE)))</f>
        <v>Laptop completo, processador Intel Core i5, 16GB memória, Resolução 3.840x2.160 (4K), PV GPU de 4GB e Sistema Operacional.</v>
      </c>
      <c r="F201" s="413" t="str">
        <f t="shared" si="97"/>
        <v>h</v>
      </c>
      <c r="G201" s="326">
        <f>IF($D201="PESSOAL",VLOOKUP($C201,'TC 10-2023'!$B:$Z,25,FALSE), IF($D201="EQUIPAMENTOS",VLOOKUP($C201,Equip.Info!$A:$I,8,FALSE),VLOOKUP($C201,Mat.Info!$A:$H,8,FALSE)))</f>
        <v>0.217</v>
      </c>
      <c r="H201" s="329">
        <f>'3.7.TCU'!$F$12</f>
        <v>374.10450000000003</v>
      </c>
      <c r="I201" s="328">
        <f t="shared" ref="I201:I202" si="100">G201*H201</f>
        <v>81.180676500000004</v>
      </c>
      <c r="J201" s="328">
        <f ca="1">I201*(1+Dados!$C$17)</f>
        <v>117.387258219</v>
      </c>
      <c r="K201" s="418" t="s">
        <v>667</v>
      </c>
      <c r="L201" s="333" t="s">
        <v>567</v>
      </c>
    </row>
    <row r="202" spans="1:13" s="331" customFormat="1" ht="15">
      <c r="A202" s="442" t="str">
        <f t="shared" si="96"/>
        <v>3.7</v>
      </c>
      <c r="B202" s="340"/>
      <c r="C202" s="339" t="str">
        <f>'2.9.ADJR'!$B$31</f>
        <v>MTSF001</v>
      </c>
      <c r="D202" s="324" t="s">
        <v>448</v>
      </c>
      <c r="E202" s="325" t="str">
        <f>IF(D202="PESSOAL",VLOOKUP($C202,'TC 10-2023'!$B:$Z,2,FALSE), IF(D202="EQUIPAMENTOS",VLOOKUP($C202,Equip.Info!A:I,2,FALSE),VLOOKUP($C202,Mat.Info!A:H,2,FALSE)))</f>
        <v>Pacote Microsoft 365 Business Basic</v>
      </c>
      <c r="F202" s="413" t="str">
        <f t="shared" si="97"/>
        <v>h</v>
      </c>
      <c r="G202" s="326">
        <f>IF($D202="PESSOAL",VLOOKUP($C202,'TC 10-2023'!$B:$Z,25,FALSE), IF($D202="EQUIPAMENTOS",VLOOKUP($C202,Equip.Info!$A:$I,8,FALSE),VLOOKUP($C202,Mat.Info!$A:$H,8,FALSE)))</f>
        <v>0.16250000000000001</v>
      </c>
      <c r="H202" s="329">
        <f>'3.7.TCU'!$I$31</f>
        <v>374.10450000000003</v>
      </c>
      <c r="I202" s="328">
        <f t="shared" si="100"/>
        <v>60.791981250000006</v>
      </c>
      <c r="J202" s="328">
        <f ca="1">I202*(1+Dados!$C$17)</f>
        <v>87.905204887500005</v>
      </c>
      <c r="K202" s="418" t="s">
        <v>667</v>
      </c>
      <c r="L202" s="333" t="s">
        <v>691</v>
      </c>
    </row>
    <row r="203" spans="1:13" s="331" customFormat="1" ht="15">
      <c r="A203" s="442" t="str">
        <f>B203</f>
        <v>3.8</v>
      </c>
      <c r="B203" s="342" t="str">
        <f>'Cronograma'!B32</f>
        <v>3.8</v>
      </c>
      <c r="C203" s="342" t="str">
        <f>'Cronograma'!C32</f>
        <v>Apoio a subsídios a questionamentos do processo licitatório</v>
      </c>
      <c r="D203" s="319"/>
      <c r="E203" s="320"/>
      <c r="F203" s="412"/>
      <c r="G203" s="321"/>
      <c r="H203" s="322"/>
      <c r="I203" s="323">
        <f>SUM(I204:I211)</f>
        <v>32553.943945999999</v>
      </c>
      <c r="J203" s="323">
        <f ca="1">SUM(J204:J211)</f>
        <v>47073.002945916</v>
      </c>
      <c r="K203" s="420"/>
      <c r="L203" s="425"/>
    </row>
    <row r="204" spans="1:13" s="331" customFormat="1" ht="15">
      <c r="A204" s="442" t="str">
        <f t="shared" ref="A204:A211" si="101">A203</f>
        <v>3.8</v>
      </c>
      <c r="B204" s="338"/>
      <c r="C204" s="339" t="str">
        <f>'3.8.Edital'!B18</f>
        <v>P8044</v>
      </c>
      <c r="D204" s="324" t="s">
        <v>350</v>
      </c>
      <c r="E204" s="325" t="str">
        <f>IF(D204="PESSOAL",VLOOKUP($C204,'TC 10-2023'!$B:$Z,2,FALSE), IF(D204="EQUIPAMENTOS",VLOOKUP($C204,Equip.Info!A:I,2,FALSE),VLOOKUP($C204,Mat.Info!A:H,2,FALSE)))</f>
        <v xml:space="preserve">Coordenador ambiental </v>
      </c>
      <c r="F204" s="413" t="str">
        <f t="shared" ref="F204:F211" si="102">IF(D204="PESSOAL","mês", IF(OR(D204="EQUIPAMENTOS",D204="MATERIAL"),"h",""))</f>
        <v>mês</v>
      </c>
      <c r="G204" s="326">
        <f>IF($D204="PESSOAL",VLOOKUP($C204,'TC 10-2023'!$B:$Z,25,FALSE), IF($D204="EQUIPAMENTOS",VLOOKUP($C204,Equip.Info!$A:$I,8,FALSE),VLOOKUP($C204,Mat.Info!$A:$H,8,FALSE)))</f>
        <v>31481.62</v>
      </c>
      <c r="H204" s="326">
        <f>'3.8.Edital'!H18</f>
        <v>0.1</v>
      </c>
      <c r="I204" s="328">
        <f>G204*H204</f>
        <v>3148.1620000000003</v>
      </c>
      <c r="J204" s="328">
        <f ca="1">I204*(1+Dados!$C$17)</f>
        <v>4552.242252</v>
      </c>
      <c r="K204" s="418" t="str">
        <f>"DNIT "&amp;TEXT(Dados!$C$16,"mmm/aa")</f>
        <v>DNIT out/23</v>
      </c>
      <c r="L204" s="333" t="str">
        <f>'3.8.Edital'!G18&amp;" "&amp;E204&amp;" por mês"</f>
        <v>1 Coordenador ambiental  por mês</v>
      </c>
    </row>
    <row r="205" spans="1:13" s="331" customFormat="1" ht="15">
      <c r="A205" s="442" t="str">
        <f t="shared" si="101"/>
        <v>3.8</v>
      </c>
      <c r="B205" s="338"/>
      <c r="C205" s="339" t="str">
        <f>'3.8.Edital'!B19</f>
        <v>P8061</v>
      </c>
      <c r="D205" s="324" t="s">
        <v>350</v>
      </c>
      <c r="E205" s="325" t="str">
        <f>IF(D205="PESSOAL",VLOOKUP($C205,'TC 10-2023'!$B:$Z,2,FALSE), IF(D205="EQUIPAMENTOS",VLOOKUP($C205,Equip.Info!A:I,2,FALSE),VLOOKUP($C205,Mat.Info!A:H,2,FALSE)))</f>
        <v>Engenheiro coordenador</v>
      </c>
      <c r="F205" s="413" t="str">
        <f t="shared" ref="F205:F209" si="103">IF(D205="PESSOAL","mês", IF(OR(D205="EQUIPAMENTOS",D205="MATERIAL"),"h",""))</f>
        <v>mês</v>
      </c>
      <c r="G205" s="326">
        <f>IF($D205="PESSOAL",VLOOKUP($C205,'TC 10-2023'!$B:$Z,25,FALSE), IF($D205="EQUIPAMENTOS",VLOOKUP($C205,Equip.Info!$A:$I,8,FALSE),VLOOKUP($C205,Mat.Info!$A:$H,8,FALSE)))</f>
        <v>31759.96</v>
      </c>
      <c r="H205" s="326">
        <f>'3.8.Edital'!H19</f>
        <v>0.1</v>
      </c>
      <c r="I205" s="328">
        <f t="shared" ref="I205:I209" si="104">G205*H205</f>
        <v>3175.9960000000001</v>
      </c>
      <c r="J205" s="328">
        <f ca="1">I205*(1+Dados!$C$17)</f>
        <v>4592.4902160000001</v>
      </c>
      <c r="K205" s="418" t="str">
        <f>"DNIT "&amp;TEXT(Dados!$C$16,"mmm/aa")</f>
        <v>DNIT out/23</v>
      </c>
      <c r="L205" s="333" t="str">
        <f>'3.8.Edital'!G19&amp;" "&amp;E205&amp;" por mês"</f>
        <v>1 Engenheiro coordenador por mês</v>
      </c>
    </row>
    <row r="206" spans="1:13" ht="15">
      <c r="A206" s="442" t="str">
        <f t="shared" si="101"/>
        <v>3.8</v>
      </c>
      <c r="B206" s="338"/>
      <c r="C206" s="339" t="str">
        <f>'3.8.Edital'!B20</f>
        <v>P8003</v>
      </c>
      <c r="D206" s="324" t="s">
        <v>350</v>
      </c>
      <c r="E206" s="325" t="str">
        <f>IF(D206="PESSOAL",VLOOKUP($C206,'TC 10-2023'!$B:$Z,2,FALSE), IF(D206="EQUIPAMENTOS",VLOOKUP($C206,Equip.Info!A:I,2,FALSE),VLOOKUP($C206,Mat.Info!A:H,2,FALSE)))</f>
        <v>Advogado sênior</v>
      </c>
      <c r="F206" s="413" t="str">
        <f t="shared" si="103"/>
        <v>mês</v>
      </c>
      <c r="G206" s="326">
        <f>IF($D206="PESSOAL",VLOOKUP($C206,'TC 10-2023'!$B:$Z,25,FALSE), IF($D206="EQUIPAMENTOS",VLOOKUP($C206,Equip.Info!$A:$I,8,FALSE),VLOOKUP($C206,Mat.Info!$A:$H,8,FALSE)))</f>
        <v>19214.900000000001</v>
      </c>
      <c r="H206" s="326">
        <f>'3.8.Edital'!H20</f>
        <v>0.25</v>
      </c>
      <c r="I206" s="328">
        <f t="shared" si="104"/>
        <v>4803.7250000000004</v>
      </c>
      <c r="J206" s="328">
        <f ca="1">I206*(1+Dados!$C$17)</f>
        <v>6946.1863499999999</v>
      </c>
      <c r="K206" s="418" t="str">
        <f>"DNIT "&amp;TEXT(Dados!$C$16,"mmm/aa")</f>
        <v>DNIT out/23</v>
      </c>
      <c r="L206" s="333" t="str">
        <f>'3.8.Edital'!G20&amp;" "&amp;E206&amp;" por mês"</f>
        <v>1 Advogado sênior por mês</v>
      </c>
      <c r="M206" s="331"/>
    </row>
    <row r="207" spans="1:13" ht="15">
      <c r="A207" s="442" t="str">
        <f t="shared" si="101"/>
        <v>3.8</v>
      </c>
      <c r="B207" s="338"/>
      <c r="C207" s="339" t="str">
        <f>'3.8.Edital'!B21</f>
        <v>P8047</v>
      </c>
      <c r="D207" s="324" t="s">
        <v>350</v>
      </c>
      <c r="E207" s="325" t="str">
        <f>IF(D207="PESSOAL",VLOOKUP($C207,'TC 10-2023'!$B:$Z,2,FALSE), IF(D207="EQUIPAMENTOS",VLOOKUP($C207,Equip.Info!A:I,2,FALSE),VLOOKUP($C207,Mat.Info!A:H,2,FALSE)))</f>
        <v>Economista sênior</v>
      </c>
      <c r="F207" s="413" t="str">
        <f t="shared" si="103"/>
        <v>mês</v>
      </c>
      <c r="G207" s="326">
        <f>IF($D207="PESSOAL",VLOOKUP($C207,'TC 10-2023'!$B:$Z,25,FALSE), IF($D207="EQUIPAMENTOS",VLOOKUP($C207,Equip.Info!$A:$I,8,FALSE),VLOOKUP($C207,Mat.Info!$A:$H,8,FALSE)))</f>
        <v>19860.28</v>
      </c>
      <c r="H207" s="326">
        <f>'3.8.Edital'!H21</f>
        <v>0.25</v>
      </c>
      <c r="I207" s="328">
        <f t="shared" si="104"/>
        <v>4965.07</v>
      </c>
      <c r="J207" s="328">
        <f ca="1">I207*(1+Dados!$C$17)</f>
        <v>7179.491219999999</v>
      </c>
      <c r="K207" s="418" t="str">
        <f>"DNIT "&amp;TEXT(Dados!$C$16,"mmm/aa")</f>
        <v>DNIT out/23</v>
      </c>
      <c r="L207" s="333" t="str">
        <f>'3.8.Edital'!G21&amp;" "&amp;E207&amp;" por mês"</f>
        <v>1 Economista sênior por mês</v>
      </c>
      <c r="M207" s="331"/>
    </row>
    <row r="208" spans="1:13" s="331" customFormat="1" ht="15">
      <c r="A208" s="442" t="str">
        <f t="shared" si="101"/>
        <v>3.8</v>
      </c>
      <c r="B208" s="338"/>
      <c r="C208" s="339" t="str">
        <f>'3.8.Edital'!B22</f>
        <v>P8060</v>
      </c>
      <c r="D208" s="324" t="s">
        <v>350</v>
      </c>
      <c r="E208" s="325" t="str">
        <f>IF(D208="PESSOAL",VLOOKUP($C208,'TC 10-2023'!$B:$Z,2,FALSE), IF(D208="EQUIPAMENTOS",VLOOKUP($C208,Equip.Info!A:I,2,FALSE),VLOOKUP($C208,Mat.Info!A:H,2,FALSE)))</f>
        <v>Engenheiro consultor especial</v>
      </c>
      <c r="F208" s="413" t="str">
        <f t="shared" si="103"/>
        <v>mês</v>
      </c>
      <c r="G208" s="326">
        <f>IF($D208="PESSOAL",VLOOKUP($C208,'TC 10-2023'!$B:$Z,25,FALSE), IF($D208="EQUIPAMENTOS",VLOOKUP($C208,Equip.Info!$A:$I,8,FALSE),VLOOKUP($C208,Mat.Info!$A:$H,8,FALSE)))</f>
        <v>37906.68</v>
      </c>
      <c r="H208" s="326">
        <f>'3.8.Edital'!H22</f>
        <v>0.25</v>
      </c>
      <c r="I208" s="328">
        <f t="shared" si="104"/>
        <v>9476.67</v>
      </c>
      <c r="J208" s="328">
        <f ca="1">I208*(1+Dados!$C$17)</f>
        <v>13703.26482</v>
      </c>
      <c r="K208" s="418" t="str">
        <f>"DNIT "&amp;TEXT(Dados!$C$16,"mmm/aa")</f>
        <v>DNIT out/23</v>
      </c>
      <c r="L208" s="333" t="str">
        <f>'3.8.Edital'!G22&amp;" "&amp;E208&amp;" por mês"</f>
        <v>1 Engenheiro consultor especial por mês</v>
      </c>
    </row>
    <row r="209" spans="1:13" s="331" customFormat="1" ht="15">
      <c r="A209" s="442" t="str">
        <f t="shared" si="101"/>
        <v>3.8</v>
      </c>
      <c r="B209" s="338"/>
      <c r="C209" s="339" t="str">
        <f>'3.8.Edital'!B23</f>
        <v>P8067</v>
      </c>
      <c r="D209" s="324" t="s">
        <v>350</v>
      </c>
      <c r="E209" s="325" t="str">
        <f>IF(D209="PESSOAL",VLOOKUP($C209,'TC 10-2023'!$B:$Z,2,FALSE), IF(D209="EQUIPAMENTOS",VLOOKUP($C209,Equip.Info!A:I,2,FALSE),VLOOKUP($C209,Mat.Info!A:H,2,FALSE)))</f>
        <v>Engenheiro de projetos sênior</v>
      </c>
      <c r="F209" s="413" t="str">
        <f t="shared" si="103"/>
        <v>mês</v>
      </c>
      <c r="G209" s="326">
        <f>IF($D209="PESSOAL",VLOOKUP($C209,'TC 10-2023'!$B:$Z,25,FALSE), IF($D209="EQUIPAMENTOS",VLOOKUP($C209,Equip.Info!$A:$I,8,FALSE),VLOOKUP($C209,Mat.Info!$A:$H,8,FALSE)))</f>
        <v>27604.86</v>
      </c>
      <c r="H209" s="326">
        <f>'3.8.Edital'!H23</f>
        <v>0.25</v>
      </c>
      <c r="I209" s="328">
        <f t="shared" si="104"/>
        <v>6901.2150000000001</v>
      </c>
      <c r="J209" s="328">
        <f ca="1">I209*(1+Dados!$C$17)</f>
        <v>9979.1568900000002</v>
      </c>
      <c r="K209" s="418" t="str">
        <f>"DNIT "&amp;TEXT(Dados!$C$16,"mmm/aa")</f>
        <v>DNIT out/23</v>
      </c>
      <c r="L209" s="333" t="str">
        <f>'3.8.Edital'!G23&amp;" "&amp;E209&amp;" por mês"</f>
        <v>1 Engenheiro de projetos sênior por mês</v>
      </c>
    </row>
    <row r="210" spans="1:13" s="331" customFormat="1" ht="25.5">
      <c r="A210" s="442" t="str">
        <f t="shared" si="101"/>
        <v>3.8</v>
      </c>
      <c r="B210" s="340"/>
      <c r="C210" s="339" t="str">
        <f>'2.9.ADJR'!$B$12</f>
        <v>EQSF002</v>
      </c>
      <c r="D210" s="324" t="s">
        <v>352</v>
      </c>
      <c r="E210" s="325" t="str">
        <f>IF(D210="PESSOAL",VLOOKUP($C210,'TC 10-2023'!$B:$Z,2,FALSE), IF(D210="EQUIPAMENTOS",VLOOKUP($C210,Equip.Info!A:I,2,FALSE),VLOOKUP($C210,Mat.Info!A:H,2,FALSE)))</f>
        <v>Laptop completo, processador Intel Core i5, 16GB memória, Resolução 3.840x2.160 (4K), PV GPU de 4GB e Sistema Operacional.</v>
      </c>
      <c r="F210" s="413" t="str">
        <f t="shared" si="102"/>
        <v>h</v>
      </c>
      <c r="G210" s="326">
        <f>IF($D210="PESSOAL",VLOOKUP($C210,'TC 10-2023'!$B:$Z,25,FALSE), IF($D210="EQUIPAMENTOS",VLOOKUP($C210,Equip.Info!$A:$I,8,FALSE),VLOOKUP($C210,Mat.Info!$A:$H,8,FALSE)))</f>
        <v>0.217</v>
      </c>
      <c r="H210" s="329">
        <f>'3.8.Edital'!$F$12</f>
        <v>218.988</v>
      </c>
      <c r="I210" s="328">
        <f t="shared" ref="I210:I211" si="105">G210*H210</f>
        <v>47.520395999999998</v>
      </c>
      <c r="J210" s="328">
        <f ca="1">I210*(1+Dados!$C$17)</f>
        <v>68.714492616000001</v>
      </c>
      <c r="K210" s="418" t="s">
        <v>667</v>
      </c>
      <c r="L210" s="333" t="s">
        <v>567</v>
      </c>
    </row>
    <row r="211" spans="1:13" s="331" customFormat="1" ht="15">
      <c r="A211" s="442" t="str">
        <f t="shared" si="101"/>
        <v>3.8</v>
      </c>
      <c r="B211" s="340"/>
      <c r="C211" s="339" t="str">
        <f>'2.9.ADJR'!$B$31</f>
        <v>MTSF001</v>
      </c>
      <c r="D211" s="324" t="s">
        <v>448</v>
      </c>
      <c r="E211" s="325" t="str">
        <f>IF(D211="PESSOAL",VLOOKUP($C211,'TC 10-2023'!$B:$Z,2,FALSE), IF(D211="EQUIPAMENTOS",VLOOKUP($C211,Equip.Info!A:I,2,FALSE),VLOOKUP($C211,Mat.Info!A:H,2,FALSE)))</f>
        <v>Pacote Microsoft 365 Business Basic</v>
      </c>
      <c r="F211" s="413" t="str">
        <f t="shared" si="102"/>
        <v>h</v>
      </c>
      <c r="G211" s="326">
        <f>IF($D211="PESSOAL",VLOOKUP($C211,'TC 10-2023'!$B:$Z,25,FALSE), IF($D211="EQUIPAMENTOS",VLOOKUP($C211,Equip.Info!$A:$I,8,FALSE),VLOOKUP($C211,Mat.Info!$A:$H,8,FALSE)))</f>
        <v>0.16250000000000001</v>
      </c>
      <c r="H211" s="329">
        <f>'3.8.Edital'!$I$31</f>
        <v>218.988</v>
      </c>
      <c r="I211" s="328">
        <f t="shared" si="105"/>
        <v>35.585549999999998</v>
      </c>
      <c r="J211" s="328">
        <f ca="1">I211*(1+Dados!$C$17)</f>
        <v>51.456705299999996</v>
      </c>
      <c r="K211" s="418" t="s">
        <v>667</v>
      </c>
      <c r="L211" s="333" t="s">
        <v>691</v>
      </c>
    </row>
    <row r="212" spans="1:13" s="331" customFormat="1" ht="15">
      <c r="A212" s="442" t="str">
        <f>B212</f>
        <v>3.9</v>
      </c>
      <c r="B212" s="342" t="str">
        <f>'Cronograma'!B33</f>
        <v>3.9</v>
      </c>
      <c r="C212" s="342" t="str">
        <f>'Cronograma'!C33</f>
        <v>Apoio Documental Jurídico-Regulatório (ADJR)</v>
      </c>
      <c r="D212" s="319"/>
      <c r="E212" s="320"/>
      <c r="F212" s="412"/>
      <c r="G212" s="321"/>
      <c r="H212" s="322"/>
      <c r="I212" s="323">
        <f>SUM(I213:I216)</f>
        <v>14528.9464505</v>
      </c>
      <c r="J212" s="323">
        <f ca="1">SUM(J213:J216)</f>
        <v>21008.856567422998</v>
      </c>
      <c r="K212" s="420"/>
      <c r="L212" s="425"/>
    </row>
    <row r="213" spans="1:13" s="331" customFormat="1" ht="15">
      <c r="A213" s="442" t="str">
        <f>A212</f>
        <v>3.9</v>
      </c>
      <c r="B213" s="338"/>
      <c r="C213" s="339" t="str">
        <f>'3.9.ADJR'!B18</f>
        <v>P8002</v>
      </c>
      <c r="D213" s="324" t="s">
        <v>350</v>
      </c>
      <c r="E213" s="325" t="str">
        <f>IF(D213="PESSOAL",VLOOKUP($C213,'TC 10-2023'!$B:$Z,2,FALSE), IF(D213="EQUIPAMENTOS",VLOOKUP($C213,Equip.Info!A:I,2,FALSE),VLOOKUP($C213,Mat.Info!A:H,2,FALSE)))</f>
        <v>Advogado pleno</v>
      </c>
      <c r="F213" s="413" t="str">
        <f t="shared" ref="F213:F216" si="106">IF(D213="PESSOAL","mês", IF(OR(D213="EQUIPAMENTOS",D213="MATERIAL"),"h",""))</f>
        <v>mês</v>
      </c>
      <c r="G213" s="326">
        <f>IF($D213="PESSOAL",VLOOKUP($C213,'TC 10-2023'!$B:$Z,25,FALSE), IF($D213="EQUIPAMENTOS",VLOOKUP($C213,Equip.Info!$A:$I,8,FALSE),VLOOKUP($C213,Mat.Info!$A:$H,8,FALSE)))</f>
        <v>11276.77</v>
      </c>
      <c r="H213" s="326">
        <f>'3.9.ADJR'!H18</f>
        <v>1</v>
      </c>
      <c r="I213" s="328">
        <f>G213*H213</f>
        <v>11276.77</v>
      </c>
      <c r="J213" s="328">
        <f ca="1">I213*(1+Dados!$C$17)</f>
        <v>16306.209419999999</v>
      </c>
      <c r="K213" s="418" t="str">
        <f>"DNIT "&amp;TEXT(Dados!$C$16,"mmm/aa")</f>
        <v>DNIT out/23</v>
      </c>
      <c r="L213" s="333" t="str">
        <f>'3.9.ADJR'!G18&amp;" "&amp;E213&amp;" por mês"</f>
        <v>1 Advogado pleno por mês</v>
      </c>
    </row>
    <row r="214" spans="1:13" s="331" customFormat="1" ht="15">
      <c r="A214" s="442" t="str">
        <f t="shared" ref="A214:A216" si="107">A213</f>
        <v>3.9</v>
      </c>
      <c r="B214" s="338"/>
      <c r="C214" s="339" t="str">
        <f>'3.9.ADJR'!B19</f>
        <v>P8061</v>
      </c>
      <c r="D214" s="324" t="s">
        <v>350</v>
      </c>
      <c r="E214" s="325" t="str">
        <f>IF(D214="PESSOAL",VLOOKUP($C214,'TC 10-2023'!$B:$Z,2,FALSE), IF(D214="EQUIPAMENTOS",VLOOKUP($C214,Equip.Info!A:I,2,FALSE),VLOOKUP($C214,Mat.Info!A:H,2,FALSE)))</f>
        <v>Engenheiro coordenador</v>
      </c>
      <c r="F214" s="413" t="str">
        <f t="shared" ref="F214" si="108">IF(D214="PESSOAL","mês", IF(OR(D214="EQUIPAMENTOS",D214="MATERIAL"),"h",""))</f>
        <v>mês</v>
      </c>
      <c r="G214" s="326">
        <f>IF($D214="PESSOAL",VLOOKUP($C214,'TC 10-2023'!$B:$Z,25,FALSE), IF($D214="EQUIPAMENTOS",VLOOKUP($C214,Equip.Info!$A:$I,8,FALSE),VLOOKUP($C214,Mat.Info!$A:$H,8,FALSE)))</f>
        <v>31759.96</v>
      </c>
      <c r="H214" s="326">
        <f>'3.9.ADJR'!H19</f>
        <v>0.1</v>
      </c>
      <c r="I214" s="328">
        <f t="shared" ref="I214" si="109">G214*H214</f>
        <v>3175.9960000000001</v>
      </c>
      <c r="J214" s="328">
        <f ca="1">I214*(1+Dados!$C$17)</f>
        <v>4592.4902160000001</v>
      </c>
      <c r="K214" s="418" t="str">
        <f>"DNIT "&amp;TEXT(Dados!$C$16,"mmm/aa")</f>
        <v>DNIT out/23</v>
      </c>
      <c r="L214" s="333" t="str">
        <f>'3.9.ADJR'!G19&amp;" "&amp;E214&amp;" por mês"</f>
        <v>1 Engenheiro coordenador por mês</v>
      </c>
    </row>
    <row r="215" spans="1:13" ht="25.5">
      <c r="A215" s="442" t="str">
        <f t="shared" si="107"/>
        <v>3.9</v>
      </c>
      <c r="B215" s="338"/>
      <c r="C215" s="339" t="str">
        <f>'3.9.ADJR'!$B$12</f>
        <v>EQSF002</v>
      </c>
      <c r="D215" s="324" t="s">
        <v>352</v>
      </c>
      <c r="E215" s="325" t="str">
        <f>IF(D215="PESSOAL",VLOOKUP($C215,'TC 10-2023'!$B:$Z,2,FALSE), IF(D215="EQUIPAMENTOS",VLOOKUP($C215,Equip.Info!A:I,2,FALSE),VLOOKUP($C215,Mat.Info!A:H,2,FALSE)))</f>
        <v>Laptop completo, processador Intel Core i5, 16GB memória, Resolução 3.840x2.160 (4K), PV GPU de 4GB e Sistema Operacional.</v>
      </c>
      <c r="F215" s="413" t="str">
        <f t="shared" si="106"/>
        <v>h</v>
      </c>
      <c r="G215" s="326">
        <f>IF($D215="PESSOAL",VLOOKUP($C215,'TC 10-2023'!$B:$Z,25,FALSE), IF($D215="EQUIPAMENTOS",VLOOKUP($C215,Equip.Info!$A:$I,8,FALSE),VLOOKUP($C215,Mat.Info!$A:$H,8,FALSE)))</f>
        <v>0.217</v>
      </c>
      <c r="H215" s="329">
        <f>'3.9.ADJR'!$F$12</f>
        <v>200.739</v>
      </c>
      <c r="I215" s="328">
        <f t="shared" ref="I215:I216" si="110">G215*H215</f>
        <v>43.560363000000002</v>
      </c>
      <c r="J215" s="328">
        <f ca="1">I215*(1+Dados!$C$17)</f>
        <v>62.988284898000003</v>
      </c>
      <c r="K215" s="418" t="s">
        <v>667</v>
      </c>
      <c r="L215" s="333" t="s">
        <v>567</v>
      </c>
      <c r="M215" s="331"/>
    </row>
    <row r="216" spans="1:13" ht="15">
      <c r="A216" s="442" t="str">
        <f t="shared" si="107"/>
        <v>3.9</v>
      </c>
      <c r="B216" s="338"/>
      <c r="C216" s="339" t="str">
        <f>'3.9.ADJR'!$B$31</f>
        <v>MTSF001</v>
      </c>
      <c r="D216" s="324" t="s">
        <v>448</v>
      </c>
      <c r="E216" s="325" t="str">
        <f>IF(D216="PESSOAL",VLOOKUP($C216,'TC 10-2023'!$B:$Z,2,FALSE), IF(D216="EQUIPAMENTOS",VLOOKUP($C216,Equip.Info!A:I,2,FALSE),VLOOKUP($C216,Mat.Info!A:H,2,FALSE)))</f>
        <v>Pacote Microsoft 365 Business Basic</v>
      </c>
      <c r="F216" s="413" t="str">
        <f t="shared" si="106"/>
        <v>h</v>
      </c>
      <c r="G216" s="326">
        <f>IF($D216="PESSOAL",VLOOKUP($C216,'TC 10-2023'!$B:$Z,25,FALSE), IF($D216="EQUIPAMENTOS",VLOOKUP($C216,Equip.Info!$A:$I,8,FALSE),VLOOKUP($C216,Mat.Info!$A:$H,8,FALSE)))</f>
        <v>0.16250000000000001</v>
      </c>
      <c r="H216" s="329">
        <f>'3.9.ADJR'!$I$31</f>
        <v>200.739</v>
      </c>
      <c r="I216" s="328">
        <f t="shared" si="110"/>
        <v>32.620087500000004</v>
      </c>
      <c r="J216" s="328">
        <f ca="1">I216*(1+Dados!$C$17)</f>
        <v>47.168646525000007</v>
      </c>
      <c r="K216" s="418" t="s">
        <v>667</v>
      </c>
      <c r="L216" s="333" t="s">
        <v>691</v>
      </c>
      <c r="M216" s="331"/>
    </row>
    <row r="217" spans="1:13" ht="15">
      <c r="A217" s="442">
        <v>4</v>
      </c>
      <c r="B217" s="335">
        <f>'Cronograma'!B7</f>
        <v>4</v>
      </c>
      <c r="C217" s="335" t="str">
        <f>'Cronograma'!C7</f>
        <v>EVTEA - Segmento 3 - Londrina (PR) - Maringá (PR)</v>
      </c>
      <c r="D217" s="319"/>
      <c r="E217" s="320"/>
      <c r="F217" s="412"/>
      <c r="G217" s="321"/>
      <c r="H217" s="322"/>
      <c r="I217" s="323">
        <f>I218+I317+I414</f>
        <v>649634.28657541669</v>
      </c>
      <c r="J217" s="323">
        <f ca="1">J218+J239+J250+J264+J274+J281+J293+J302+J311</f>
        <v>2171183.6357555152</v>
      </c>
      <c r="K217" s="417"/>
      <c r="L217" s="423"/>
    </row>
    <row r="218" spans="1:13" ht="15">
      <c r="A218" s="442" t="str">
        <f>A217&amp;".1"</f>
        <v>4.1</v>
      </c>
      <c r="B218" s="512" t="str">
        <f>A218</f>
        <v>4.1</v>
      </c>
      <c r="C218" s="344" t="str">
        <f>'Cronograma'!C38</f>
        <v>Dimensão de Mercado e Demanda (EMD)</v>
      </c>
      <c r="D218" s="319"/>
      <c r="E218" s="320"/>
      <c r="F218" s="412"/>
      <c r="G218" s="321"/>
      <c r="H218" s="322"/>
      <c r="I218" s="323">
        <f>SUM(I219:I238)</f>
        <v>649634.28657541669</v>
      </c>
      <c r="J218" s="323">
        <f ca="1">SUM(J219:J238)</f>
        <v>939371.17838805239</v>
      </c>
      <c r="K218" s="417"/>
      <c r="L218" s="423"/>
    </row>
    <row r="219" spans="1:13" ht="15">
      <c r="A219" s="442" t="str">
        <f>$A$218&amp;".1"</f>
        <v>4.1.1</v>
      </c>
      <c r="B219" s="343" t="str">
        <f>A219</f>
        <v>4.1.1</v>
      </c>
      <c r="C219" s="344" t="str">
        <f>C218&amp;" - Pesquisa de Campo"</f>
        <v>Dimensão de Mercado e Demanda (EMD) - Pesquisa de Campo</v>
      </c>
      <c r="D219" s="319"/>
      <c r="E219" s="320"/>
      <c r="F219" s="412"/>
      <c r="G219" s="321"/>
      <c r="H219" s="322"/>
      <c r="I219" s="323"/>
      <c r="J219" s="323"/>
      <c r="K219" s="417"/>
      <c r="L219" s="423"/>
    </row>
    <row r="220" spans="1:13">
      <c r="A220" s="442" t="str">
        <f>A219</f>
        <v>4.1.1</v>
      </c>
      <c r="B220" s="336"/>
      <c r="C220" s="337" t="str">
        <f>'4.1.1.EMD.Campo'!B18</f>
        <v>P8025</v>
      </c>
      <c r="D220" s="324" t="s">
        <v>350</v>
      </c>
      <c r="E220" s="325" t="str">
        <f>IF(D220="PESSOAL",VLOOKUP($C220,'TC 10-2023'!$B:$Z,2,FALSE), IF(D220="EQUIPAMENTOS",VLOOKUP($C220,Equip.Info!A:I,2,FALSE),VLOOKUP($C220,Mat.Info!A:H,2,FALSE)))</f>
        <v>Auxiliar</v>
      </c>
      <c r="F220" s="413" t="str">
        <f t="shared" ref="F220:F224" si="111">IF(D220="PESSOAL","mês", IF(OR(D220="EQUIPAMENTOS",D220="MATERIAL"),"h",""))</f>
        <v>mês</v>
      </c>
      <c r="G220" s="326">
        <f>IF($D220="PESSOAL",VLOOKUP($C220,'TC 10-2023'!$B:$Z,25,FALSE), IF($D220="EQUIPAMENTOS",VLOOKUP($C220,Equip.Info!$A:$I,8,FALSE),VLOOKUP($C220,Mat.Info!$A:$H,8,FALSE)))</f>
        <v>3818.09</v>
      </c>
      <c r="H220" s="326">
        <f>'4.1.1.EMD.Campo'!H18</f>
        <v>50</v>
      </c>
      <c r="I220" s="328">
        <f t="shared" ref="I220:I224" si="112">G220*H220</f>
        <v>190904.5</v>
      </c>
      <c r="J220" s="328">
        <f ca="1">I220*(1+Dados!$C$17)</f>
        <v>276047.90700000001</v>
      </c>
      <c r="K220" s="418" t="str">
        <f>"DNIT "&amp;TEXT(Dados!$C$16,"mmm/aa")</f>
        <v>DNIT out/23</v>
      </c>
      <c r="L220" s="333" t="str">
        <f>'4.1.1.EMD.Campo'!G18&amp;" "&amp;'4.1.1.EMD.Campo'!C18&amp;" por mês"</f>
        <v>25 Auxiliar por mês</v>
      </c>
    </row>
    <row r="221" spans="1:13">
      <c r="A221" s="442" t="str">
        <f>A220</f>
        <v>4.1.1</v>
      </c>
      <c r="B221" s="336"/>
      <c r="C221" s="337" t="str">
        <f>'4.1.1.EMD.Campo'!B19</f>
        <v>P8155</v>
      </c>
      <c r="D221" s="324" t="s">
        <v>350</v>
      </c>
      <c r="E221" s="325" t="str">
        <f>IF(D221="PESSOAL",VLOOKUP($C221,'TC 10-2023'!$B:$Z,2,FALSE), IF(D221="EQUIPAMENTOS",VLOOKUP($C221,Equip.Info!A:I,2,FALSE),VLOOKUP($C221,Mat.Info!A:H,2,FALSE)))</f>
        <v>Técnico em geoprocessamento</v>
      </c>
      <c r="F221" s="413" t="str">
        <f t="shared" ref="F221:F222" si="113">IF(D221="PESSOAL","mês", IF(OR(D221="EQUIPAMENTOS",D221="MATERIAL"),"h",""))</f>
        <v>mês</v>
      </c>
      <c r="G221" s="326">
        <f>IF($D221="PESSOAL",VLOOKUP($C221,'TC 10-2023'!$B:$Z,25,FALSE), IF($D221="EQUIPAMENTOS",VLOOKUP($C221,Equip.Info!$A:$I,8,FALSE),VLOOKUP($C221,Mat.Info!$A:$H,8,FALSE)))</f>
        <v>5747.99</v>
      </c>
      <c r="H221" s="326">
        <f>'4.1.1.EMD.Campo'!H19</f>
        <v>8</v>
      </c>
      <c r="I221" s="328">
        <f t="shared" ref="I221:I222" si="114">G221*H221</f>
        <v>45983.92</v>
      </c>
      <c r="J221" s="328">
        <f ca="1">I221*(1+Dados!$C$17)</f>
        <v>66492.748319999999</v>
      </c>
      <c r="K221" s="418" t="str">
        <f>"DNIT "&amp;TEXT(Dados!$C$16,"mmm/aa")</f>
        <v>DNIT out/23</v>
      </c>
      <c r="L221" s="333" t="str">
        <f>'4.1.1.EMD.Campo'!G19&amp;" "&amp;'4.1.1.EMD.Campo'!C19&amp;" por mês"</f>
        <v>4 Técnico em geoprocessamento por mês</v>
      </c>
    </row>
    <row r="222" spans="1:13">
      <c r="A222" s="442" t="str">
        <f t="shared" ref="A222:A223" si="115">A220</f>
        <v>4.1.1</v>
      </c>
      <c r="B222" s="336"/>
      <c r="C222" s="337" t="str">
        <f>'4.1.1.EMD.Campo'!B20</f>
        <v>P8061</v>
      </c>
      <c r="D222" s="324" t="s">
        <v>350</v>
      </c>
      <c r="E222" s="325" t="str">
        <f>IF(D222="PESSOAL",VLOOKUP($C222,'TC 10-2023'!$B:$Z,2,FALSE), IF(D222="EQUIPAMENTOS",VLOOKUP($C222,Equip.Info!A:I,2,FALSE),VLOOKUP($C222,Mat.Info!A:H,2,FALSE)))</f>
        <v>Engenheiro coordenador</v>
      </c>
      <c r="F222" s="413" t="str">
        <f t="shared" si="113"/>
        <v>mês</v>
      </c>
      <c r="G222" s="326">
        <f>IF($D222="PESSOAL",VLOOKUP($C222,'TC 10-2023'!$B:$Z,25,FALSE), IF($D222="EQUIPAMENTOS",VLOOKUP($C222,Equip.Info!$A:$I,8,FALSE),VLOOKUP($C222,Mat.Info!$A:$H,8,FALSE)))</f>
        <v>31759.96</v>
      </c>
      <c r="H222" s="326">
        <f>'4.1.1.EMD.Campo'!H20</f>
        <v>2</v>
      </c>
      <c r="I222" s="328">
        <f t="shared" si="114"/>
        <v>63519.92</v>
      </c>
      <c r="J222" s="328">
        <f ca="1">I222*(1+Dados!$C$17)</f>
        <v>91849.804319999996</v>
      </c>
      <c r="K222" s="418" t="str">
        <f>"DNIT "&amp;TEXT(Dados!$C$16,"mmm/aa")</f>
        <v>DNIT out/23</v>
      </c>
      <c r="L222" s="333" t="str">
        <f>'4.1.1.EMD.Campo'!G20&amp;" "&amp;'4.1.1.EMD.Campo'!C20&amp;" por mês"</f>
        <v>1 Engenheiro coordenador por mês</v>
      </c>
    </row>
    <row r="223" spans="1:13">
      <c r="A223" s="442" t="str">
        <f t="shared" si="115"/>
        <v>4.1.1</v>
      </c>
      <c r="B223" s="338"/>
      <c r="C223" s="339" t="str">
        <f>'4.1.1.EMD.Campo'!B12</f>
        <v>EQSF002</v>
      </c>
      <c r="D223" s="324" t="s">
        <v>352</v>
      </c>
      <c r="E223" s="325" t="str">
        <f>IF(D223="PESSOAL",VLOOKUP($C223,'TC 10-2023'!$B:$Z,2,FALSE), IF(D223="EQUIPAMENTOS",VLOOKUP($C223,Equip.Info!A:I,2,FALSE),VLOOKUP($C223,Mat.Info!A:H,2,FALSE)))</f>
        <v>Laptop completo, processador Intel Core i5, 16GB memória, Resolução 3.840x2.160 (4K), PV GPU de 4GB e Sistema Operacional.</v>
      </c>
      <c r="F223" s="413" t="str">
        <f t="shared" si="111"/>
        <v>h</v>
      </c>
      <c r="G223" s="326">
        <f>IF($D223="PESSOAL",VLOOKUP($C223,'TC 10-2023'!$B:$Z,25,FALSE), IF($D223="EQUIPAMENTOS",VLOOKUP($C223,Equip.Info!$A:$I,8,FALSE),VLOOKUP($C223,Mat.Info!$A:$H,8,FALSE)))</f>
        <v>0.217</v>
      </c>
      <c r="H223" s="329">
        <f>'4.1.1.EMD.Campo'!F12</f>
        <v>10949.4</v>
      </c>
      <c r="I223" s="328">
        <f t="shared" si="112"/>
        <v>2376.0198</v>
      </c>
      <c r="J223" s="328">
        <f ca="1">I223*(1+Dados!$C$17)</f>
        <v>3435.7246307999999</v>
      </c>
      <c r="K223" s="418" t="s">
        <v>667</v>
      </c>
      <c r="L223" s="333" t="s">
        <v>451</v>
      </c>
    </row>
    <row r="224" spans="1:13">
      <c r="A224" s="442" t="str">
        <f t="shared" si="1"/>
        <v>4.1.1</v>
      </c>
      <c r="B224" s="338"/>
      <c r="C224" s="339" t="str">
        <f>'4.1.1.EMD.Campo'!B31</f>
        <v>MTSF001</v>
      </c>
      <c r="D224" s="324" t="s">
        <v>448</v>
      </c>
      <c r="E224" s="325" t="str">
        <f>IF(D224="PESSOAL",VLOOKUP($C224,'TC 10-2023'!$B:$Z,2,FALSE), IF(D224="EQUIPAMENTOS",VLOOKUP($C224,Equip.Info!A:I,2,FALSE),VLOOKUP($C224,Mat.Info!A:H,2,FALSE)))</f>
        <v>Pacote Microsoft 365 Business Basic</v>
      </c>
      <c r="F224" s="413" t="str">
        <f t="shared" si="111"/>
        <v>h</v>
      </c>
      <c r="G224" s="326">
        <f>IF($D224="PESSOAL",VLOOKUP($C224,'TC 10-2023'!$B:$Z,25,FALSE), IF($D224="EQUIPAMENTOS",VLOOKUP($C224,Equip.Info!$A:$I,8,FALSE),VLOOKUP($C224,Mat.Info!$A:$H,8,FALSE)))</f>
        <v>0.16250000000000001</v>
      </c>
      <c r="H224" s="329">
        <f>'4.1.1.EMD.Campo'!I31</f>
        <v>10949.4</v>
      </c>
      <c r="I224" s="328">
        <f t="shared" si="112"/>
        <v>1779.2774999999999</v>
      </c>
      <c r="J224" s="328">
        <f ca="1">I224*(1+Dados!$C$17)</f>
        <v>2572.8352649999997</v>
      </c>
      <c r="K224" s="418" t="s">
        <v>667</v>
      </c>
      <c r="L224" s="333" t="s">
        <v>691</v>
      </c>
    </row>
    <row r="225" spans="1:17">
      <c r="A225" s="442" t="str">
        <f t="shared" si="1"/>
        <v>4.1.1</v>
      </c>
      <c r="B225" s="439"/>
      <c r="C225" s="440" t="str">
        <f>'Inspeção-Veículo'!B15</f>
        <v>E8887</v>
      </c>
      <c r="D225" s="324" t="s">
        <v>561</v>
      </c>
      <c r="E225" s="325" t="str">
        <f>VLOOKUP(A225,'Inspeção-Veículo'!$A$9:$O$17,4,0)</f>
        <v>Veículo tipo van furgão com capacidade de 1,38 t - 100 kW (com motorista)</v>
      </c>
      <c r="F225" s="413" t="s">
        <v>299</v>
      </c>
      <c r="G225" s="326"/>
      <c r="H225" s="329"/>
      <c r="I225" s="328">
        <f>VLOOKUP(A225,'Inspeção-Veículo'!$A$9:$O$17,15,0)</f>
        <v>27993.727500000001</v>
      </c>
      <c r="J225" s="328">
        <f ca="1">I225*(1+Dados!$C$17)</f>
        <v>40478.929965000003</v>
      </c>
      <c r="K225" s="418" t="str">
        <f>"DNIT "&amp;TEXT(Dados!$C$16,"mmm/aa")</f>
        <v>DNIT out/23</v>
      </c>
      <c r="L225" s="333" t="str">
        <f>"Custo produtivo e improdutivo DNIT, considerando "&amp;'Inspeção-Veículo'!I15&amp;" de utilização produtiva."</f>
        <v>Custo produtivo e improdutivo DNIT, considerando 0,5 de utilização produtiva.</v>
      </c>
    </row>
    <row r="226" spans="1:17" ht="25.5">
      <c r="A226" s="442" t="str">
        <f t="shared" si="1"/>
        <v>4.1.1</v>
      </c>
      <c r="B226" s="340"/>
      <c r="C226" s="428" t="s">
        <v>734</v>
      </c>
      <c r="D226" s="324" t="s">
        <v>526</v>
      </c>
      <c r="E226" s="325" t="s">
        <v>547</v>
      </c>
      <c r="F226" s="413" t="s">
        <v>544</v>
      </c>
      <c r="G226" s="326">
        <f>I226/H226</f>
        <v>497.33333333333331</v>
      </c>
      <c r="H226" s="327">
        <f>IF(D226="PASSAGENS",SUMIFS('Diárias e Passagens'!K:K,'Diárias e Passagens'!A:A,A226),SUMIFS('Diárias e Passagens'!N:N,'Diárias e Passagens'!A:A,A226))</f>
        <v>6</v>
      </c>
      <c r="I226" s="328">
        <f>IF(D226="PASSAGENS",SUMIFS('Diárias e Passagens'!M:M,'Diárias e Passagens'!A:A,A226),SUMIFS('Diárias e Passagens'!P:P,'Diárias e Passagens'!A:A,A226))</f>
        <v>2984</v>
      </c>
      <c r="J226" s="328">
        <f ca="1">I226*(1+Dados!$C$17)</f>
        <v>4314.8639999999996</v>
      </c>
      <c r="K226" s="419" t="s">
        <v>546</v>
      </c>
      <c r="L226" s="333" t="s">
        <v>563</v>
      </c>
    </row>
    <row r="227" spans="1:17" ht="25.5">
      <c r="A227" s="442" t="str">
        <f t="shared" si="1"/>
        <v>4.1.1</v>
      </c>
      <c r="B227" s="340"/>
      <c r="C227" s="428" t="s">
        <v>734</v>
      </c>
      <c r="D227" s="324" t="s">
        <v>351</v>
      </c>
      <c r="E227" s="325" t="s">
        <v>548</v>
      </c>
      <c r="F227" s="413" t="s">
        <v>549</v>
      </c>
      <c r="G227" s="326">
        <f>I227/H227</f>
        <v>600</v>
      </c>
      <c r="H227" s="327">
        <f>IF(D227="PASSAGENS",SUMIFS('Diárias e Passagens'!K:K,'Diárias e Passagens'!A:A,A227),SUMIFS('Diárias e Passagens'!N:N,'Diárias e Passagens'!A:A,A227))</f>
        <v>33</v>
      </c>
      <c r="I227" s="328">
        <f>IF(D227="PASSAGENS",SUMIFS('Diárias e Passagens'!M:M,'Diárias e Passagens'!A:A,A227),SUMIFS('Diárias e Passagens'!P:P,'Diárias e Passagens'!A:A,A227))</f>
        <v>19800</v>
      </c>
      <c r="J227" s="328">
        <f ca="1">I227*(1+Dados!$C$17)</f>
        <v>28630.799999999999</v>
      </c>
      <c r="K227" s="419" t="str">
        <f>Diárias!$I$6</f>
        <v>DECRETO Nº 11.872, DE 29 DE DEZEMBRO DE 2023</v>
      </c>
      <c r="L227" s="333" t="s">
        <v>564</v>
      </c>
      <c r="Q227" s="330"/>
    </row>
    <row r="228" spans="1:17" ht="15">
      <c r="A228" s="442" t="str">
        <f>$A$218&amp;".2"</f>
        <v>4.1.2</v>
      </c>
      <c r="B228" s="343" t="str">
        <f>A228</f>
        <v>4.1.2</v>
      </c>
      <c r="C228" s="344" t="str">
        <f>C218&amp;" - Tratamento de Dados, Simulações e Consolidação do Estudo"</f>
        <v>Dimensão de Mercado e Demanda (EMD) - Tratamento de Dados, Simulações e Consolidação do Estudo</v>
      </c>
      <c r="D228" s="319"/>
      <c r="E228" s="320"/>
      <c r="F228" s="412"/>
      <c r="G228" s="321"/>
      <c r="H228" s="322"/>
      <c r="I228" s="323"/>
      <c r="J228" s="323"/>
      <c r="K228" s="417"/>
      <c r="L228" s="423"/>
    </row>
    <row r="229" spans="1:17">
      <c r="A229" s="442" t="str">
        <f>A228</f>
        <v>4.1.2</v>
      </c>
      <c r="B229" s="336"/>
      <c r="C229" s="337" t="str">
        <f>'4.1.2.EMD'!B18</f>
        <v>P8060</v>
      </c>
      <c r="D229" s="324" t="s">
        <v>350</v>
      </c>
      <c r="E229" s="325" t="str">
        <f>IF($D229="PESSOAL",VLOOKUP($C229,'TC 10-2023'!$B:$Z,2,FALSE), IF($D229="EQUIPAMENTOS",VLOOKUP($C229,Equip.Info!$A:$I,2,FALSE),VLOOKUP($C229,Mat.Info!$A:$H,2,FALSE)))</f>
        <v>Engenheiro consultor especial</v>
      </c>
      <c r="F229" s="413" t="str">
        <f>IF(D229="PESSOAL","mês", IF(OR(D229="EQUIPAMENTOS",D229="MATERIAL"),"h",""))</f>
        <v>mês</v>
      </c>
      <c r="G229" s="326">
        <f>IF($D229="PESSOAL",VLOOKUP($C229,'TC 10-2023'!$B:$Z,25,FALSE), IF($D229="EQUIPAMENTOS",VLOOKUP($C229,Equip.Info!$A:$I,8,FALSE),VLOOKUP($C229,Mat.Info!$A:$H,8,FALSE)))</f>
        <v>37906.68</v>
      </c>
      <c r="H229" s="326">
        <f>'4.1.2.EMD'!H18</f>
        <v>1.5</v>
      </c>
      <c r="I229" s="328">
        <f t="shared" ref="I229:I236" si="116">G229*H229</f>
        <v>56860.020000000004</v>
      </c>
      <c r="J229" s="328">
        <f ca="1">I229*(1+Dados!$C$17)</f>
        <v>82219.588920000009</v>
      </c>
      <c r="K229" s="418" t="str">
        <f>"DNIT "&amp;TEXT(Dados!$C$16,"mmm/aa")</f>
        <v>DNIT out/23</v>
      </c>
      <c r="L229" s="333" t="str">
        <f>'4.1.2.EMD'!G18&amp;" "&amp;'4.1.2.EMD'!C18&amp;" por mês"</f>
        <v>1 Engenheiro consultor especial por mês</v>
      </c>
    </row>
    <row r="230" spans="1:17">
      <c r="A230" s="442" t="str">
        <f t="shared" si="1"/>
        <v>4.1.2</v>
      </c>
      <c r="B230" s="336"/>
      <c r="C230" s="337" t="str">
        <f>'4.1.2.EMD'!B19</f>
        <v>P8067</v>
      </c>
      <c r="D230" s="324" t="s">
        <v>350</v>
      </c>
      <c r="E230" s="325" t="str">
        <f>IF($D230="PESSOAL",VLOOKUP($C230,'TC 10-2023'!$B:$Z,2,FALSE), IF($D230="EQUIPAMENTOS",VLOOKUP($C230,Equip.Info!$A:$I,2,FALSE),VLOOKUP($C230,Mat.Info!$A:$H,2,FALSE)))</f>
        <v>Engenheiro de projetos sênior</v>
      </c>
      <c r="F230" s="413" t="str">
        <f t="shared" ref="F230:F233" si="117">IF(D230="PESSOAL","mês", IF(OR(D230="EQUIPAMENTOS",D230="MATERIAL"),"h",""))</f>
        <v>mês</v>
      </c>
      <c r="G230" s="326">
        <f>IF($D230="PESSOAL",VLOOKUP($C230,'TC 10-2023'!$B:$Z,25,FALSE), IF($D230="EQUIPAMENTOS",VLOOKUP($C230,Equip.Info!$A:$I,8,FALSE),VLOOKUP($C230,Mat.Info!$A:$H,8,FALSE)))</f>
        <v>27604.86</v>
      </c>
      <c r="H230" s="326">
        <f>'4.1.2.EMD'!H19</f>
        <v>3</v>
      </c>
      <c r="I230" s="328">
        <f t="shared" ref="I230:I233" si="118">G230*H230</f>
        <v>82814.58</v>
      </c>
      <c r="J230" s="328">
        <f ca="1">I230*(1+Dados!$C$17)</f>
        <v>119749.88268</v>
      </c>
      <c r="K230" s="418" t="str">
        <f>"DNIT "&amp;TEXT(Dados!$C$16,"mmm/aa")</f>
        <v>DNIT out/23</v>
      </c>
      <c r="L230" s="333" t="str">
        <f>'4.1.2.EMD'!G19&amp;" "&amp;'4.1.2.EMD'!C19&amp;" por mês"</f>
        <v>1 Engenheiro de projetos sênior por mês</v>
      </c>
    </row>
    <row r="231" spans="1:17">
      <c r="A231" s="442" t="str">
        <f t="shared" si="1"/>
        <v>4.1.2</v>
      </c>
      <c r="B231" s="336"/>
      <c r="C231" s="337" t="str">
        <f>'4.1.2.EMD'!B20</f>
        <v>P8066</v>
      </c>
      <c r="D231" s="324" t="s">
        <v>350</v>
      </c>
      <c r="E231" s="325" t="str">
        <f>IF($D231="PESSOAL",VLOOKUP($C231,'TC 10-2023'!$B:$Z,2,FALSE), IF($D231="EQUIPAMENTOS",VLOOKUP($C231,Equip.Info!$A:$I,2,FALSE),VLOOKUP($C231,Mat.Info!$A:$H,2,FALSE)))</f>
        <v>Engenheiro de projetos pleno</v>
      </c>
      <c r="F231" s="413" t="str">
        <f t="shared" si="117"/>
        <v>mês</v>
      </c>
      <c r="G231" s="326">
        <f>IF($D231="PESSOAL",VLOOKUP($C231,'TC 10-2023'!$B:$Z,25,FALSE), IF($D231="EQUIPAMENTOS",VLOOKUP($C231,Equip.Info!$A:$I,8,FALSE),VLOOKUP($C231,Mat.Info!$A:$H,8,FALSE)))</f>
        <v>21969.16</v>
      </c>
      <c r="H231" s="326">
        <f>'4.1.2.EMD'!H20</f>
        <v>3</v>
      </c>
      <c r="I231" s="328">
        <f t="shared" si="118"/>
        <v>65907.48</v>
      </c>
      <c r="J231" s="328">
        <f ca="1">I231*(1+Dados!$C$17)</f>
        <v>95302.216079999984</v>
      </c>
      <c r="K231" s="418" t="str">
        <f>"DNIT "&amp;TEXT(Dados!$C$16,"mmm/aa")</f>
        <v>DNIT out/23</v>
      </c>
      <c r="L231" s="333" t="str">
        <f>'4.1.2.EMD'!G20&amp;" "&amp;'4.1.2.EMD'!C20&amp;" por mês"</f>
        <v>1 Engenheiro de projetos pleno por mês</v>
      </c>
    </row>
    <row r="232" spans="1:17">
      <c r="A232" s="442" t="str">
        <f>A231</f>
        <v>4.1.2</v>
      </c>
      <c r="B232" s="336"/>
      <c r="C232" s="337" t="str">
        <f>'4.1.2.EMD'!B21</f>
        <v>P8047</v>
      </c>
      <c r="D232" s="324" t="s">
        <v>350</v>
      </c>
      <c r="E232" s="325" t="str">
        <f>IF($D232="PESSOAL",VLOOKUP($C232,'TC 10-2023'!$B:$Z,2,FALSE), IF($D232="EQUIPAMENTOS",VLOOKUP($C232,Equip.Info!$A:$I,2,FALSE),VLOOKUP($C232,Mat.Info!$A:$H,2,FALSE)))</f>
        <v>Economista sênior</v>
      </c>
      <c r="F232" s="413" t="str">
        <f t="shared" si="117"/>
        <v>mês</v>
      </c>
      <c r="G232" s="326">
        <f>IF($D232="PESSOAL",VLOOKUP($C232,'TC 10-2023'!$B:$Z,25,FALSE), IF($D232="EQUIPAMENTOS",VLOOKUP($C232,Equip.Info!$A:$I,8,FALSE),VLOOKUP($C232,Mat.Info!$A:$H,8,FALSE)))</f>
        <v>19860.28</v>
      </c>
      <c r="H232" s="326">
        <f>'4.1.2.EMD'!H21</f>
        <v>3</v>
      </c>
      <c r="I232" s="328">
        <f t="shared" si="118"/>
        <v>59580.84</v>
      </c>
      <c r="J232" s="328">
        <f ca="1">I232*(1+Dados!$C$17)</f>
        <v>86153.894639999999</v>
      </c>
      <c r="K232" s="418" t="str">
        <f>"DNIT "&amp;TEXT(Dados!$C$16,"mmm/aa")</f>
        <v>DNIT out/23</v>
      </c>
      <c r="L232" s="333" t="str">
        <f>'4.1.2.EMD'!G21&amp;" "&amp;'4.1.2.EMD'!C21&amp;" por mês"</f>
        <v>1 Economista sênior por mês</v>
      </c>
    </row>
    <row r="233" spans="1:17">
      <c r="A233" s="442" t="str">
        <f t="shared" si="1"/>
        <v>4.1.2</v>
      </c>
      <c r="B233" s="336"/>
      <c r="C233" s="337" t="str">
        <f>'4.1.2.EMD'!B22</f>
        <v>P8061</v>
      </c>
      <c r="D233" s="324" t="s">
        <v>350</v>
      </c>
      <c r="E233" s="325" t="str">
        <f>IF($D233="PESSOAL",VLOOKUP($C233,'TC 10-2023'!$B:$Z,2,FALSE), IF($D233="EQUIPAMENTOS",VLOOKUP($C233,Equip.Info!$A:$I,2,FALSE),VLOOKUP($C233,Mat.Info!$A:$H,2,FALSE)))</f>
        <v>Engenheiro coordenador</v>
      </c>
      <c r="F233" s="413" t="str">
        <f t="shared" si="117"/>
        <v>mês</v>
      </c>
      <c r="G233" s="326">
        <f>IF($D233="PESSOAL",VLOOKUP($C233,'TC 10-2023'!$B:$Z,25,FALSE), IF($D233="EQUIPAMENTOS",VLOOKUP($C233,Equip.Info!$A:$I,8,FALSE),VLOOKUP($C233,Mat.Info!$A:$H,8,FALSE)))</f>
        <v>31759.96</v>
      </c>
      <c r="H233" s="326">
        <f>'4.1.2.EMD'!H22</f>
        <v>0.75</v>
      </c>
      <c r="I233" s="328">
        <f t="shared" si="118"/>
        <v>23819.97</v>
      </c>
      <c r="J233" s="328">
        <f ca="1">I233*(1+Dados!$C$17)</f>
        <v>34443.676619999998</v>
      </c>
      <c r="K233" s="418" t="str">
        <f>"DNIT "&amp;TEXT(Dados!$C$16,"mmm/aa")</f>
        <v>DNIT out/23</v>
      </c>
      <c r="L233" s="333" t="str">
        <f>'4.1.2.EMD'!G22&amp;" "&amp;'4.1.2.EMD'!C22&amp;" por mês"</f>
        <v>1 Engenheiro coordenador por mês</v>
      </c>
    </row>
    <row r="234" spans="1:17">
      <c r="A234" s="442" t="str">
        <f t="shared" si="1"/>
        <v>4.1.2</v>
      </c>
      <c r="B234" s="338"/>
      <c r="C234" s="339" t="str">
        <f>'4.1.2.EMD'!B12</f>
        <v>EQSF001</v>
      </c>
      <c r="D234" s="324" t="s">
        <v>352</v>
      </c>
      <c r="E234" s="325" t="str">
        <f>IF(D234="PESSOAL",VLOOKUP($C234,'TC 10-2023'!$B:$Z,2,FALSE), IF(D234="EQUIPAMENTOS",VLOOKUP($C234,Equip.Info!A:I,2,FALSE),VLOOKUP($C234,Mat.Info!A:H,2,FALSE)))</f>
        <v>Desktop completo, processador Intel Core i5, 16GB memória, Resolução 3.840x2.160 (4K), PV GPU de 4GB e Sistema Operacional.</v>
      </c>
      <c r="F234" s="413" t="str">
        <f t="shared" ref="F234:F236" si="119">IF(D234="PESSOAL","mês", IF(OR(D234="EQUIPAMENTOS",D234="MATERIAL"),"h",""))</f>
        <v>h</v>
      </c>
      <c r="G234" s="326">
        <f>IF($D234="PESSOAL",VLOOKUP($C234,'TC 10-2023'!$B:$Z,25,FALSE), IF($D234="EQUIPAMENTOS",VLOOKUP($C234,Equip.Info!$A:$I,8,FALSE),VLOOKUP($C234,Mat.Info!$A:$H,8,FALSE)))</f>
        <v>0.54349999999999998</v>
      </c>
      <c r="H234" s="329">
        <f>'4.1.2.EMD'!F12</f>
        <v>1642.41</v>
      </c>
      <c r="I234" s="328">
        <f t="shared" si="116"/>
        <v>892.64983500000005</v>
      </c>
      <c r="J234" s="328">
        <f ca="1">I234*(1+Dados!$C$17)</f>
        <v>1290.77166141</v>
      </c>
      <c r="K234" s="418" t="s">
        <v>667</v>
      </c>
      <c r="L234" s="333" t="s">
        <v>451</v>
      </c>
    </row>
    <row r="235" spans="1:17">
      <c r="A235" s="442" t="str">
        <f t="shared" si="1"/>
        <v>4.1.2</v>
      </c>
      <c r="B235" s="338"/>
      <c r="C235" s="339" t="str">
        <f>'4.1.2.EMD'!B13</f>
        <v>EQSF002</v>
      </c>
      <c r="D235" s="324" t="s">
        <v>352</v>
      </c>
      <c r="E235" s="325" t="str">
        <f>IF(D235="PESSOAL",VLOOKUP($C235,'TC 10-2023'!$B:$Z,2,FALSE), IF(D235="EQUIPAMENTOS",VLOOKUP($C235,Equip.Info!A:I,2,FALSE),VLOOKUP($C235,Mat.Info!A:H,2,FALSE)))</f>
        <v>Laptop completo, processador Intel Core i5, 16GB memória, Resolução 3.840x2.160 (4K), PV GPU de 4GB e Sistema Operacional.</v>
      </c>
      <c r="F235" s="413" t="str">
        <f t="shared" si="119"/>
        <v>h</v>
      </c>
      <c r="G235" s="326">
        <f>IF($D235="PESSOAL",VLOOKUP($C235,'TC 10-2023'!$B:$Z,25,FALSE), IF($D235="EQUIPAMENTOS",VLOOKUP($C235,Equip.Info!$A:$I,8,FALSE),VLOOKUP($C235,Mat.Info!$A:$H,8,FALSE)))</f>
        <v>0.217</v>
      </c>
      <c r="H235" s="329">
        <f>'4.1.2.EMD'!F13</f>
        <v>410.60250000000002</v>
      </c>
      <c r="I235" s="328">
        <f t="shared" si="116"/>
        <v>89.10074250000001</v>
      </c>
      <c r="J235" s="328">
        <f ca="1">I235*(1+Dados!$C$17)</f>
        <v>128.83967365500001</v>
      </c>
      <c r="K235" s="418" t="s">
        <v>667</v>
      </c>
      <c r="L235" s="333" t="s">
        <v>451</v>
      </c>
    </row>
    <row r="236" spans="1:17">
      <c r="A236" s="442" t="str">
        <f t="shared" si="1"/>
        <v>4.1.2</v>
      </c>
      <c r="B236" s="338"/>
      <c r="C236" s="339" t="str">
        <f>'4.1.2.EMD'!B31</f>
        <v>MTSF001</v>
      </c>
      <c r="D236" s="324" t="s">
        <v>448</v>
      </c>
      <c r="E236" s="325" t="str">
        <f>IF(D236="PESSOAL",VLOOKUP($C236,'TC 10-2023'!$B:$Z,2,FALSE), IF(D236="EQUIPAMENTOS",VLOOKUP($C236,Equip.Info!A:I,2,FALSE),VLOOKUP($C236,Mat.Info!A:H,2,FALSE)))</f>
        <v>Pacote Microsoft 365 Business Basic</v>
      </c>
      <c r="F236" s="413" t="str">
        <f t="shared" si="119"/>
        <v>h</v>
      </c>
      <c r="G236" s="326">
        <f>IF($D236="PESSOAL",VLOOKUP($C236,'TC 10-2023'!$B:$Z,25,FALSE), IF($D236="EQUIPAMENTOS",VLOOKUP($C236,Equip.Info!$A:$I,8,FALSE),VLOOKUP($C236,Mat.Info!$A:$H,8,FALSE)))</f>
        <v>0.16250000000000001</v>
      </c>
      <c r="H236" s="329">
        <f>'4.1.2.EMD'!I31</f>
        <v>2053.0125000000003</v>
      </c>
      <c r="I236" s="328">
        <f t="shared" si="116"/>
        <v>333.61453125000008</v>
      </c>
      <c r="J236" s="328">
        <f ca="1">I236*(1+Dados!$C$17)</f>
        <v>482.40661218750012</v>
      </c>
      <c r="K236" s="418" t="s">
        <v>667</v>
      </c>
      <c r="L236" s="333" t="s">
        <v>691</v>
      </c>
    </row>
    <row r="237" spans="1:17" ht="33.75">
      <c r="A237" s="442" t="str">
        <f t="shared" si="1"/>
        <v>4.1.2</v>
      </c>
      <c r="B237" s="340"/>
      <c r="C237" s="428" t="s">
        <v>550</v>
      </c>
      <c r="D237" s="324" t="s">
        <v>526</v>
      </c>
      <c r="E237" s="325" t="s">
        <v>547</v>
      </c>
      <c r="F237" s="413" t="s">
        <v>544</v>
      </c>
      <c r="G237" s="326">
        <f>I237/H237</f>
        <v>497.33333333333331</v>
      </c>
      <c r="H237" s="327">
        <f>IF(D237="PASSAGENS",SUMIFS('Diárias e Passagens'!K:K,'Diárias e Passagens'!A:A,A237),SUMIFS('Diárias e Passagens'!N:N,'Diárias e Passagens'!A:A,A237))</f>
        <v>2</v>
      </c>
      <c r="I237" s="328">
        <f>IF(D237="PASSAGENS",SUMIFS('Diárias e Passagens'!M:M,'Diárias e Passagens'!A:A,A237),SUMIFS('Diárias e Passagens'!P:P,'Diárias e Passagens'!A:A,A237))</f>
        <v>994.66666666666663</v>
      </c>
      <c r="J237" s="328">
        <f ca="1">I237*(1+Dados!$C$17)</f>
        <v>1438.288</v>
      </c>
      <c r="K237" s="419" t="s">
        <v>546</v>
      </c>
      <c r="L237" s="333" t="s">
        <v>563</v>
      </c>
    </row>
    <row r="238" spans="1:17" ht="33.75">
      <c r="A238" s="442" t="str">
        <f t="shared" si="1"/>
        <v>4.1.2</v>
      </c>
      <c r="B238" s="340"/>
      <c r="C238" s="428" t="s">
        <v>550</v>
      </c>
      <c r="D238" s="324" t="s">
        <v>351</v>
      </c>
      <c r="E238" s="325" t="s">
        <v>548</v>
      </c>
      <c r="F238" s="413" t="s">
        <v>549</v>
      </c>
      <c r="G238" s="326">
        <f>I238/H238</f>
        <v>600</v>
      </c>
      <c r="H238" s="327">
        <f>IF(D238="PASSAGENS",SUMIFS('Diárias e Passagens'!K:K,'Diárias e Passagens'!A:A,A238),SUMIFS('Diárias e Passagens'!N:N,'Diárias e Passagens'!A:A,A238))</f>
        <v>5</v>
      </c>
      <c r="I238" s="328">
        <f>IF(D238="PASSAGENS",SUMIFS('Diárias e Passagens'!M:M,'Diárias e Passagens'!A:A,A238),SUMIFS('Diárias e Passagens'!P:P,'Diárias e Passagens'!A:A,A238))</f>
        <v>3000</v>
      </c>
      <c r="J238" s="328">
        <f ca="1">I238*(1+Dados!$C$17)</f>
        <v>4338</v>
      </c>
      <c r="K238" s="419" t="str">
        <f>Diárias!$I$6</f>
        <v>DECRETO Nº 11.872, DE 29 DE DEZEMBRO DE 2023</v>
      </c>
      <c r="L238" s="333" t="s">
        <v>564</v>
      </c>
      <c r="Q238" s="330"/>
    </row>
    <row r="239" spans="1:17" s="331" customFormat="1" ht="15">
      <c r="A239" s="442" t="str">
        <f>B239</f>
        <v>4.2</v>
      </c>
      <c r="B239" s="342" t="str">
        <f>'Cronograma'!B39</f>
        <v>4.2</v>
      </c>
      <c r="C239" s="342" t="str">
        <f>'Cronograma'!C39</f>
        <v>Dimensão de Engenharia (EEN)</v>
      </c>
      <c r="D239" s="319"/>
      <c r="E239" s="320"/>
      <c r="F239" s="412"/>
      <c r="G239" s="321"/>
      <c r="H239" s="322"/>
      <c r="I239" s="323">
        <f>SUM(I240:I249)</f>
        <v>236172.73173541672</v>
      </c>
      <c r="J239" s="323">
        <f ca="1">SUM(J240:J249)</f>
        <v>341505.77008941246</v>
      </c>
      <c r="K239" s="420"/>
      <c r="L239" s="424"/>
      <c r="Q239" s="332"/>
    </row>
    <row r="240" spans="1:17">
      <c r="A240" s="442" t="str">
        <f>A239</f>
        <v>4.2</v>
      </c>
      <c r="B240" s="336"/>
      <c r="C240" s="337" t="str">
        <f>'4.2.EEN'!B18</f>
        <v>P8060</v>
      </c>
      <c r="D240" s="324" t="s">
        <v>350</v>
      </c>
      <c r="E240" s="325" t="str">
        <f>IF(D240="PESSOAL",VLOOKUP($C240,'TC 10-2023'!$B:$Z,2,FALSE), IF(D240="EQUIPAMENTOS",VLOOKUP($C240,Equip.Info!A:I,2,FALSE),VLOOKUP($C240,Mat.Info!A:H,2,FALSE)))</f>
        <v>Engenheiro consultor especial</v>
      </c>
      <c r="F240" s="413" t="str">
        <f t="shared" ref="F240:F247" si="120">IF(D240="PESSOAL","mês", IF(OR(D240="EQUIPAMENTOS",D240="MATERIAL"),"h",""))</f>
        <v>mês</v>
      </c>
      <c r="G240" s="326">
        <f>IF($D240="PESSOAL",VLOOKUP($C240,'TC 10-2023'!$B:$Z,25,FALSE), IF($D240="EQUIPAMENTOS",VLOOKUP($C240,Equip.Info!$A:$I,8,FALSE),VLOOKUP($C240,Mat.Info!$A:$H,8,FALSE)))</f>
        <v>37906.68</v>
      </c>
      <c r="H240" s="326">
        <f>'4.2.EEN'!H18</f>
        <v>1.5</v>
      </c>
      <c r="I240" s="328">
        <f t="shared" ref="I240:I247" si="121">G240*H240</f>
        <v>56860.020000000004</v>
      </c>
      <c r="J240" s="328">
        <f ca="1">I240*(1+Dados!$C$17)</f>
        <v>82219.588920000009</v>
      </c>
      <c r="K240" s="418" t="str">
        <f>"DNIT "&amp;TEXT(Dados!$C$16,"mmm/aa")</f>
        <v>DNIT out/23</v>
      </c>
      <c r="L240" s="333" t="str">
        <f>'4.2.EEN'!G18&amp;" "&amp;E240&amp;" por mês"</f>
        <v>1 Engenheiro consultor especial por mês</v>
      </c>
    </row>
    <row r="241" spans="1:12">
      <c r="A241" s="442" t="str">
        <f t="shared" ref="A241:A249" si="122">A240</f>
        <v>4.2</v>
      </c>
      <c r="B241" s="336"/>
      <c r="C241" s="337" t="str">
        <f>'4.2.EEN'!B19</f>
        <v>P8067</v>
      </c>
      <c r="D241" s="324" t="s">
        <v>350</v>
      </c>
      <c r="E241" s="325" t="str">
        <f>IF(D241="PESSOAL",VLOOKUP($C241,'TC 10-2023'!$B:$Z,2,FALSE), IF(D241="EQUIPAMENTOS",VLOOKUP($C241,Equip.Info!A:I,2,FALSE),VLOOKUP($C241,Mat.Info!A:H,2,FALSE)))</f>
        <v>Engenheiro de projetos sênior</v>
      </c>
      <c r="F241" s="413" t="str">
        <f t="shared" ref="F241:F243" si="123">IF(D241="PESSOAL","mês", IF(OR(D241="EQUIPAMENTOS",D241="MATERIAL"),"h",""))</f>
        <v>mês</v>
      </c>
      <c r="G241" s="326">
        <f>IF($D241="PESSOAL",VLOOKUP($C241,'TC 10-2023'!$B:$Z,25,FALSE), IF($D241="EQUIPAMENTOS",VLOOKUP($C241,Equip.Info!$A:$I,8,FALSE),VLOOKUP($C241,Mat.Info!$A:$H,8,FALSE)))</f>
        <v>27604.86</v>
      </c>
      <c r="H241" s="326">
        <f>'4.2.EEN'!H19</f>
        <v>3</v>
      </c>
      <c r="I241" s="328">
        <f t="shared" ref="I241:I243" si="124">G241*H241</f>
        <v>82814.58</v>
      </c>
      <c r="J241" s="328">
        <f ca="1">I241*(1+Dados!$C$17)</f>
        <v>119749.88268</v>
      </c>
      <c r="K241" s="418" t="str">
        <f>"DNIT "&amp;TEXT(Dados!$C$16,"mmm/aa")</f>
        <v>DNIT out/23</v>
      </c>
      <c r="L241" s="333" t="str">
        <f>'4.2.EEN'!G19&amp;" "&amp;E241&amp;" por mês"</f>
        <v>1 Engenheiro de projetos sênior por mês</v>
      </c>
    </row>
    <row r="242" spans="1:12">
      <c r="A242" s="442" t="str">
        <f t="shared" si="122"/>
        <v>4.2</v>
      </c>
      <c r="B242" s="336"/>
      <c r="C242" s="337" t="str">
        <f>'4.2.EEN'!B20</f>
        <v>P8066</v>
      </c>
      <c r="D242" s="324" t="s">
        <v>350</v>
      </c>
      <c r="E242" s="325" t="str">
        <f>IF(D242="PESSOAL",VLOOKUP($C242,'TC 10-2023'!$B:$Z,2,FALSE), IF(D242="EQUIPAMENTOS",VLOOKUP($C242,Equip.Info!A:I,2,FALSE),VLOOKUP($C242,Mat.Info!A:H,2,FALSE)))</f>
        <v>Engenheiro de projetos pleno</v>
      </c>
      <c r="F242" s="413" t="str">
        <f t="shared" si="123"/>
        <v>mês</v>
      </c>
      <c r="G242" s="326">
        <f>IF($D242="PESSOAL",VLOOKUP($C242,'TC 10-2023'!$B:$Z,25,FALSE), IF($D242="EQUIPAMENTOS",VLOOKUP($C242,Equip.Info!$A:$I,8,FALSE),VLOOKUP($C242,Mat.Info!$A:$H,8,FALSE)))</f>
        <v>21969.16</v>
      </c>
      <c r="H242" s="326">
        <f>'4.2.EEN'!H20</f>
        <v>3</v>
      </c>
      <c r="I242" s="328">
        <f t="shared" si="124"/>
        <v>65907.48</v>
      </c>
      <c r="J242" s="328">
        <f ca="1">I242*(1+Dados!$C$17)</f>
        <v>95302.216079999984</v>
      </c>
      <c r="K242" s="418" t="str">
        <f>"DNIT "&amp;TEXT(Dados!$C$16,"mmm/aa")</f>
        <v>DNIT out/23</v>
      </c>
      <c r="L242" s="333" t="str">
        <f>'4.2.EEN'!G20&amp;" "&amp;E242&amp;" por mês"</f>
        <v>1 Engenheiro de projetos pleno por mês</v>
      </c>
    </row>
    <row r="243" spans="1:12">
      <c r="A243" s="442" t="str">
        <f>A242</f>
        <v>4.2</v>
      </c>
      <c r="B243" s="336"/>
      <c r="C243" s="337" t="str">
        <f>'4.2.EEN'!B21</f>
        <v>P8061</v>
      </c>
      <c r="D243" s="324" t="s">
        <v>350</v>
      </c>
      <c r="E243" s="325" t="str">
        <f>IF(D243="PESSOAL",VLOOKUP($C243,'TC 10-2023'!$B:$Z,2,FALSE), IF(D243="EQUIPAMENTOS",VLOOKUP($C243,Equip.Info!A:I,2,FALSE),VLOOKUP($C243,Mat.Info!A:H,2,FALSE)))</f>
        <v>Engenheiro coordenador</v>
      </c>
      <c r="F243" s="413" t="str">
        <f t="shared" si="123"/>
        <v>mês</v>
      </c>
      <c r="G243" s="326">
        <f>IF($D243="PESSOAL",VLOOKUP($C243,'TC 10-2023'!$B:$Z,25,FALSE), IF($D243="EQUIPAMENTOS",VLOOKUP($C243,Equip.Info!$A:$I,8,FALSE),VLOOKUP($C243,Mat.Info!$A:$H,8,FALSE)))</f>
        <v>31759.96</v>
      </c>
      <c r="H243" s="326">
        <f>'4.2.EEN'!H21</f>
        <v>0.75</v>
      </c>
      <c r="I243" s="328">
        <f t="shared" si="124"/>
        <v>23819.97</v>
      </c>
      <c r="J243" s="328">
        <f ca="1">I243*(1+Dados!$C$17)</f>
        <v>34443.676619999998</v>
      </c>
      <c r="K243" s="418" t="str">
        <f>"DNIT "&amp;TEXT(Dados!$C$16,"mmm/aa")</f>
        <v>DNIT out/23</v>
      </c>
      <c r="L243" s="333" t="str">
        <f>'4.2.EEN'!G21&amp;" "&amp;E243&amp;" por mês"</f>
        <v>1 Engenheiro coordenador por mês</v>
      </c>
    </row>
    <row r="244" spans="1:12">
      <c r="A244" s="442" t="str">
        <f t="shared" si="122"/>
        <v>4.2</v>
      </c>
      <c r="B244" s="338"/>
      <c r="C244" s="339" t="str">
        <f>'4.2.EEN'!$B12</f>
        <v>EQSF001</v>
      </c>
      <c r="D244" s="324" t="s">
        <v>352</v>
      </c>
      <c r="E244" s="325" t="str">
        <f>IF(D244="PESSOAL",VLOOKUP($C244,'TC 10-2023'!$B:$Z,2,FALSE), IF(D244="EQUIPAMENTOS",VLOOKUP($C244,Equip.Info!A:I,2,FALSE),VLOOKUP($C244,Mat.Info!A:H,2,FALSE)))</f>
        <v>Desktop completo, processador Intel Core i5, 16GB memória, Resolução 3.840x2.160 (4K), PV GPU de 4GB e Sistema Operacional.</v>
      </c>
      <c r="F244" s="413" t="str">
        <f t="shared" si="120"/>
        <v>h</v>
      </c>
      <c r="G244" s="326">
        <f>IF($D244="PESSOAL",VLOOKUP($C244,'TC 10-2023'!$B:$Z,25,FALSE), IF($D244="EQUIPAMENTOS",VLOOKUP($C244,Equip.Info!$A:$I,8,FALSE),VLOOKUP($C244,Mat.Info!$A:$H,8,FALSE)))</f>
        <v>0.54349999999999998</v>
      </c>
      <c r="H244" s="329">
        <f>'4.2.EEN'!$F$12</f>
        <v>1094.94</v>
      </c>
      <c r="I244" s="328">
        <f t="shared" si="121"/>
        <v>595.09988999999996</v>
      </c>
      <c r="J244" s="328">
        <f ca="1">I244*(1+Dados!$C$17)</f>
        <v>860.51444093999987</v>
      </c>
      <c r="K244" s="418" t="s">
        <v>667</v>
      </c>
      <c r="L244" s="333" t="s">
        <v>451</v>
      </c>
    </row>
    <row r="245" spans="1:12">
      <c r="A245" s="442" t="str">
        <f t="shared" si="122"/>
        <v>4.2</v>
      </c>
      <c r="B245" s="338"/>
      <c r="C245" s="339" t="str">
        <f>'4.2.EEN'!$B13</f>
        <v>EQSF002</v>
      </c>
      <c r="D245" s="324" t="s">
        <v>352</v>
      </c>
      <c r="E245" s="325" t="str">
        <f>IF(D245="PESSOAL",VLOOKUP($C245,'TC 10-2023'!$B:$Z,2,FALSE), IF(D245="EQUIPAMENTOS",VLOOKUP($C245,Equip.Info!A:I,2,FALSE),VLOOKUP($C245,Mat.Info!A:H,2,FALSE)))</f>
        <v>Laptop completo, processador Intel Core i5, 16GB memória, Resolução 3.840x2.160 (4K), PV GPU de 4GB e Sistema Operacional.</v>
      </c>
      <c r="F245" s="413" t="str">
        <f t="shared" si="120"/>
        <v>h</v>
      </c>
      <c r="G245" s="326">
        <f>IF($D245="PESSOAL",VLOOKUP($C245,'TC 10-2023'!$B:$Z,25,FALSE), IF($D245="EQUIPAMENTOS",VLOOKUP($C245,Equip.Info!$A:$I,8,FALSE),VLOOKUP($C245,Mat.Info!$A:$H,8,FALSE)))</f>
        <v>0.217</v>
      </c>
      <c r="H245" s="329">
        <f>'4.2.EEN'!$F$13</f>
        <v>410.60250000000002</v>
      </c>
      <c r="I245" s="328">
        <f t="shared" si="121"/>
        <v>89.10074250000001</v>
      </c>
      <c r="J245" s="328">
        <f ca="1">I245*(1+Dados!$C$17)</f>
        <v>128.83967365500001</v>
      </c>
      <c r="K245" s="418" t="s">
        <v>667</v>
      </c>
      <c r="L245" s="333" t="s">
        <v>451</v>
      </c>
    </row>
    <row r="246" spans="1:12">
      <c r="A246" s="442" t="str">
        <f t="shared" si="122"/>
        <v>4.2</v>
      </c>
      <c r="B246" s="338"/>
      <c r="C246" s="339" t="str">
        <f>'4.2.EEN'!$B$31</f>
        <v>MTSF001</v>
      </c>
      <c r="D246" s="324" t="s">
        <v>448</v>
      </c>
      <c r="E246" s="325" t="str">
        <f>IF(D246="PESSOAL",VLOOKUP($C246,'TC 10-2023'!$B:$Z,2,FALSE), IF(D246="EQUIPAMENTOS",VLOOKUP($C246,Equip.Info!A:I,2,FALSE),VLOOKUP($C246,Mat.Info!A:H,2,FALSE)))</f>
        <v>Pacote Microsoft 365 Business Basic</v>
      </c>
      <c r="F246" s="413" t="str">
        <f t="shared" si="120"/>
        <v>h</v>
      </c>
      <c r="G246" s="326">
        <f>IF($D246="PESSOAL",VLOOKUP($C246,'TC 10-2023'!$B:$Z,25,FALSE), IF($D246="EQUIPAMENTOS",VLOOKUP($C246,Equip.Info!$A:$I,8,FALSE),VLOOKUP($C246,Mat.Info!$A:$H,8,FALSE)))</f>
        <v>0.16250000000000001</v>
      </c>
      <c r="H246" s="329">
        <f>'4.2.EEN'!$I$31</f>
        <v>1505.5425</v>
      </c>
      <c r="I246" s="328">
        <f t="shared" si="121"/>
        <v>244.65065625</v>
      </c>
      <c r="J246" s="328">
        <f ca="1">I246*(1+Dados!$C$17)</f>
        <v>353.76484893750001</v>
      </c>
      <c r="K246" s="418" t="s">
        <v>667</v>
      </c>
      <c r="L246" s="333" t="s">
        <v>691</v>
      </c>
    </row>
    <row r="247" spans="1:12">
      <c r="A247" s="442" t="str">
        <f t="shared" si="122"/>
        <v>4.2</v>
      </c>
      <c r="B247" s="338"/>
      <c r="C247" s="339" t="str">
        <f>'4.2.EEN'!$B$32</f>
        <v>MTSF002</v>
      </c>
      <c r="D247" s="324" t="s">
        <v>448</v>
      </c>
      <c r="E247" s="325" t="str">
        <f>IF(D247="PESSOAL",VLOOKUP($C247,'TC 10-2023'!$B:$Z,2,FALSE), IF(D247="EQUIPAMENTOS",VLOOKUP($C247,Equip.Info!A:I,2,FALSE),VLOOKUP($C247,Mat.Info!A:H,2,FALSE)))</f>
        <v>Software CAD para MAC/Windows 64bits</v>
      </c>
      <c r="F247" s="413" t="str">
        <f t="shared" si="120"/>
        <v>h</v>
      </c>
      <c r="G247" s="326">
        <f>IF($D247="PESSOAL",VLOOKUP($C247,'TC 10-2023'!$B:$Z,25,FALSE), IF($D247="EQUIPAMENTOS",VLOOKUP($C247,Equip.Info!$A:$I,8,FALSE),VLOOKUP($C247,Mat.Info!$A:$H,8,FALSE)))</f>
        <v>3.3740000000000001</v>
      </c>
      <c r="H247" s="329">
        <f>'4.2.EEN'!$I$32</f>
        <v>547.47</v>
      </c>
      <c r="I247" s="328">
        <f t="shared" si="121"/>
        <v>1847.1637800000001</v>
      </c>
      <c r="J247" s="328">
        <f ca="1">I247*(1+Dados!$C$17)</f>
        <v>2670.9988258799999</v>
      </c>
      <c r="K247" s="418" t="s">
        <v>667</v>
      </c>
      <c r="L247" s="333" t="s">
        <v>565</v>
      </c>
    </row>
    <row r="248" spans="1:12" ht="33.75">
      <c r="A248" s="442" t="str">
        <f t="shared" si="122"/>
        <v>4.2</v>
      </c>
      <c r="B248" s="340"/>
      <c r="C248" s="428" t="s">
        <v>550</v>
      </c>
      <c r="D248" s="324" t="s">
        <v>526</v>
      </c>
      <c r="E248" s="325" t="s">
        <v>547</v>
      </c>
      <c r="F248" s="413" t="s">
        <v>544</v>
      </c>
      <c r="G248" s="326">
        <f>I248/H248</f>
        <v>497.33333333333331</v>
      </c>
      <c r="H248" s="327">
        <f>IF(D248="PASSAGENS",SUMIFS('Diárias e Passagens'!K:K,'Diárias e Passagens'!A:A,A248),SUMIFS('Diárias e Passagens'!N:N,'Diárias e Passagens'!A:A,A248))</f>
        <v>2</v>
      </c>
      <c r="I248" s="328">
        <f>IF(D248="PASSAGENS",SUMIFS('Diárias e Passagens'!M:M,'Diárias e Passagens'!A:A,A248),SUMIFS('Diárias e Passagens'!P:P,'Diárias e Passagens'!A:A,A248))</f>
        <v>994.66666666666663</v>
      </c>
      <c r="J248" s="328">
        <f ca="1">I248*(1+Dados!$C$17)</f>
        <v>1438.288</v>
      </c>
      <c r="K248" s="419" t="s">
        <v>546</v>
      </c>
      <c r="L248" s="333" t="s">
        <v>563</v>
      </c>
    </row>
    <row r="249" spans="1:12" ht="33.75">
      <c r="A249" s="442" t="str">
        <f t="shared" si="122"/>
        <v>4.2</v>
      </c>
      <c r="B249" s="340"/>
      <c r="C249" s="428" t="s">
        <v>550</v>
      </c>
      <c r="D249" s="324" t="s">
        <v>351</v>
      </c>
      <c r="E249" s="325" t="s">
        <v>548</v>
      </c>
      <c r="F249" s="413" t="s">
        <v>543</v>
      </c>
      <c r="G249" s="326">
        <f>I249/H249</f>
        <v>600</v>
      </c>
      <c r="H249" s="327">
        <f>IF(D249="PASSAGENS",SUMIFS('Diárias e Passagens'!K:K,'Diárias e Passagens'!A:A,A249),SUMIFS('Diárias e Passagens'!N:N,'Diárias e Passagens'!A:A,A249))</f>
        <v>5</v>
      </c>
      <c r="I249" s="328">
        <f>IF(D249="PASSAGENS",SUMIFS('Diárias e Passagens'!M:M,'Diárias e Passagens'!A:A,A249),SUMIFS('Diárias e Passagens'!P:P,'Diárias e Passagens'!A:A,A249))</f>
        <v>3000</v>
      </c>
      <c r="J249" s="328">
        <f ca="1">I249*(1+Dados!$C$17)</f>
        <v>4338</v>
      </c>
      <c r="K249" s="419" t="str">
        <f>Diárias!$I$6</f>
        <v>DECRETO Nº 11.872, DE 29 DE DEZEMBRO DE 2023</v>
      </c>
      <c r="L249" s="333" t="s">
        <v>564</v>
      </c>
    </row>
    <row r="250" spans="1:12" ht="15">
      <c r="A250" s="442" t="str">
        <f>B250</f>
        <v>4.3</v>
      </c>
      <c r="B250" s="342" t="str">
        <f>'Cronograma'!B40</f>
        <v>4.3</v>
      </c>
      <c r="C250" s="342" t="str">
        <f>'Cronograma'!C40</f>
        <v>Dimensão Operacional (EOP)</v>
      </c>
      <c r="D250" s="319"/>
      <c r="E250" s="320"/>
      <c r="F250" s="412"/>
      <c r="G250" s="321"/>
      <c r="H250" s="322"/>
      <c r="I250" s="323">
        <f>SUM(I251:I263)</f>
        <v>248249.6222554167</v>
      </c>
      <c r="J250" s="323">
        <f ca="1">SUM(J251:J263)</f>
        <v>358968.95378133247</v>
      </c>
      <c r="K250" s="420"/>
      <c r="L250" s="425"/>
    </row>
    <row r="251" spans="1:12">
      <c r="A251" s="442" t="str">
        <f>A250</f>
        <v>4.3</v>
      </c>
      <c r="B251" s="336"/>
      <c r="C251" s="337" t="str">
        <f>'4.3.EOP'!B18</f>
        <v>P8060</v>
      </c>
      <c r="D251" s="324" t="s">
        <v>350</v>
      </c>
      <c r="E251" s="325" t="str">
        <f>IF(D251="PESSOAL",VLOOKUP($C251,'TC 10-2023'!$B:$Z,2,FALSE), IF(D251="EQUIPAMENTOS",VLOOKUP($C251,Equip.Info!A:I,2,FALSE),VLOOKUP($C251,Mat.Info!A:H,2,FALSE)))</f>
        <v>Engenheiro consultor especial</v>
      </c>
      <c r="F251" s="413" t="str">
        <f t="shared" ref="F251:F257" si="125">IF(D251="PESSOAL","mês", IF(OR(D251="EQUIPAMENTOS",D251="MATERIAL"),"h",""))</f>
        <v>mês</v>
      </c>
      <c r="G251" s="326">
        <f>IF($D251="PESSOAL",VLOOKUP($C251,'TC 10-2023'!$B:$Z,25,FALSE), IF($D251="EQUIPAMENTOS",VLOOKUP($C251,Equip.Info!$A:$I,8,FALSE),VLOOKUP($C251,Mat.Info!$A:$H,8,FALSE)))</f>
        <v>37906.68</v>
      </c>
      <c r="H251" s="326">
        <f>'4.3.EOP'!H18</f>
        <v>1.5</v>
      </c>
      <c r="I251" s="328">
        <f t="shared" ref="I251:I257" si="126">G251*H251</f>
        <v>56860.020000000004</v>
      </c>
      <c r="J251" s="328">
        <f ca="1">I251*(1+Dados!$C$17)</f>
        <v>82219.588920000009</v>
      </c>
      <c r="K251" s="418" t="str">
        <f>"DNIT "&amp;TEXT(Dados!$C$16,"mmm/aa")</f>
        <v>DNIT out/23</v>
      </c>
      <c r="L251" s="333" t="str">
        <f>'4.3.EOP'!G18&amp;" "&amp;E251&amp;" por mês"</f>
        <v>1 Engenheiro consultor especial por mês</v>
      </c>
    </row>
    <row r="252" spans="1:12">
      <c r="A252" s="442" t="str">
        <f t="shared" ref="A252:A310" si="127">A251</f>
        <v>4.3</v>
      </c>
      <c r="B252" s="336"/>
      <c r="C252" s="337" t="str">
        <f>'4.3.EOP'!B19</f>
        <v>P8067</v>
      </c>
      <c r="D252" s="324" t="s">
        <v>350</v>
      </c>
      <c r="E252" s="325" t="str">
        <f>IF(D252="PESSOAL",VLOOKUP($C252,'TC 10-2023'!$B:$Z,2,FALSE), IF(D252="EQUIPAMENTOS",VLOOKUP($C252,Equip.Info!A:I,2,FALSE),VLOOKUP($C252,Mat.Info!A:H,2,FALSE)))</f>
        <v>Engenheiro de projetos sênior</v>
      </c>
      <c r="F252" s="413" t="str">
        <f t="shared" ref="F252:F254" si="128">IF(D252="PESSOAL","mês", IF(OR(D252="EQUIPAMENTOS",D252="MATERIAL"),"h",""))</f>
        <v>mês</v>
      </c>
      <c r="G252" s="326">
        <f>IF($D252="PESSOAL",VLOOKUP($C252,'TC 10-2023'!$B:$Z,25,FALSE), IF($D252="EQUIPAMENTOS",VLOOKUP($C252,Equip.Info!$A:$I,8,FALSE),VLOOKUP($C252,Mat.Info!$A:$H,8,FALSE)))</f>
        <v>27604.86</v>
      </c>
      <c r="H252" s="326">
        <f>'4.3.EOP'!H19</f>
        <v>3</v>
      </c>
      <c r="I252" s="328">
        <f t="shared" ref="I252:I254" si="129">G252*H252</f>
        <v>82814.58</v>
      </c>
      <c r="J252" s="328">
        <f ca="1">I252*(1+Dados!$C$17)</f>
        <v>119749.88268</v>
      </c>
      <c r="K252" s="418" t="str">
        <f>"DNIT "&amp;TEXT(Dados!$C$16,"mmm/aa")</f>
        <v>DNIT out/23</v>
      </c>
      <c r="L252" s="333" t="str">
        <f>'4.3.EOP'!G19&amp;" "&amp;E252&amp;" por mês"</f>
        <v>1 Engenheiro de projetos sênior por mês</v>
      </c>
    </row>
    <row r="253" spans="1:12">
      <c r="A253" s="442" t="str">
        <f t="shared" si="127"/>
        <v>4.3</v>
      </c>
      <c r="B253" s="336"/>
      <c r="C253" s="337" t="str">
        <f>'4.3.EOP'!B20</f>
        <v>P8066</v>
      </c>
      <c r="D253" s="324" t="s">
        <v>350</v>
      </c>
      <c r="E253" s="325" t="str">
        <f>IF(D253="PESSOAL",VLOOKUP($C253,'TC 10-2023'!$B:$Z,2,FALSE), IF(D253="EQUIPAMENTOS",VLOOKUP($C253,Equip.Info!A:I,2,FALSE),VLOOKUP($C253,Mat.Info!A:H,2,FALSE)))</f>
        <v>Engenheiro de projetos pleno</v>
      </c>
      <c r="F253" s="413" t="str">
        <f t="shared" si="128"/>
        <v>mês</v>
      </c>
      <c r="G253" s="326">
        <f>IF($D253="PESSOAL",VLOOKUP($C253,'TC 10-2023'!$B:$Z,25,FALSE), IF($D253="EQUIPAMENTOS",VLOOKUP($C253,Equip.Info!$A:$I,8,FALSE),VLOOKUP($C253,Mat.Info!$A:$H,8,FALSE)))</f>
        <v>21969.16</v>
      </c>
      <c r="H253" s="326">
        <f>'4.3.EOP'!H20</f>
        <v>3</v>
      </c>
      <c r="I253" s="328">
        <f t="shared" si="129"/>
        <v>65907.48</v>
      </c>
      <c r="J253" s="328">
        <f ca="1">I253*(1+Dados!$C$17)</f>
        <v>95302.216079999984</v>
      </c>
      <c r="K253" s="418" t="str">
        <f>"DNIT "&amp;TEXT(Dados!$C$16,"mmm/aa")</f>
        <v>DNIT out/23</v>
      </c>
      <c r="L253" s="333" t="str">
        <f>'4.3.EOP'!G20&amp;" "&amp;E253&amp;" por mês"</f>
        <v>1 Engenheiro de projetos pleno por mês</v>
      </c>
    </row>
    <row r="254" spans="1:12">
      <c r="A254" s="442" t="str">
        <f>A253</f>
        <v>4.3</v>
      </c>
      <c r="B254" s="336"/>
      <c r="C254" s="337" t="str">
        <f>'4.3.EOP'!B21</f>
        <v>P8061</v>
      </c>
      <c r="D254" s="324" t="s">
        <v>350</v>
      </c>
      <c r="E254" s="325" t="str">
        <f>IF(D254="PESSOAL",VLOOKUP($C254,'TC 10-2023'!$B:$Z,2,FALSE), IF(D254="EQUIPAMENTOS",VLOOKUP($C254,Equip.Info!A:I,2,FALSE),VLOOKUP($C254,Mat.Info!A:H,2,FALSE)))</f>
        <v>Engenheiro coordenador</v>
      </c>
      <c r="F254" s="413" t="str">
        <f t="shared" si="128"/>
        <v>mês</v>
      </c>
      <c r="G254" s="326">
        <f>IF($D254="PESSOAL",VLOOKUP($C254,'TC 10-2023'!$B:$Z,25,FALSE), IF($D254="EQUIPAMENTOS",VLOOKUP($C254,Equip.Info!$A:$I,8,FALSE),VLOOKUP($C254,Mat.Info!$A:$H,8,FALSE)))</f>
        <v>31759.96</v>
      </c>
      <c r="H254" s="326">
        <f>'4.3.EOP'!H21</f>
        <v>0.75</v>
      </c>
      <c r="I254" s="328">
        <f t="shared" si="129"/>
        <v>23819.97</v>
      </c>
      <c r="J254" s="328">
        <f ca="1">I254*(1+Dados!$C$17)</f>
        <v>34443.676619999998</v>
      </c>
      <c r="K254" s="418" t="str">
        <f>"DNIT "&amp;TEXT(Dados!$C$16,"mmm/aa")</f>
        <v>DNIT out/23</v>
      </c>
      <c r="L254" s="333" t="str">
        <f>'4.3.EOP'!G21&amp;" "&amp;E254&amp;" por mês"</f>
        <v>1 Engenheiro coordenador por mês</v>
      </c>
    </row>
    <row r="255" spans="1:12">
      <c r="A255" s="442" t="str">
        <f t="shared" si="127"/>
        <v>4.3</v>
      </c>
      <c r="B255" s="338"/>
      <c r="C255" s="339" t="str">
        <f>'4.3.EOP'!$B$12</f>
        <v>EQSF001</v>
      </c>
      <c r="D255" s="324" t="s">
        <v>352</v>
      </c>
      <c r="E255" s="325" t="str">
        <f>IF(D255="PESSOAL",VLOOKUP($C255,'TC 10-2023'!$B:$Z,2,FALSE), IF(D255="EQUIPAMENTOS",VLOOKUP($C255,Equip.Info!A:I,2,FALSE),VLOOKUP($C255,Mat.Info!A:H,2,FALSE)))</f>
        <v>Desktop completo, processador Intel Core i5, 16GB memória, Resolução 3.840x2.160 (4K), PV GPU de 4GB e Sistema Operacional.</v>
      </c>
      <c r="F255" s="413" t="str">
        <f t="shared" si="125"/>
        <v>h</v>
      </c>
      <c r="G255" s="326">
        <f>IF($D255="PESSOAL",VLOOKUP($C255,'TC 10-2023'!$B:$Z,25,FALSE), IF($D255="EQUIPAMENTOS",VLOOKUP($C255,Equip.Info!$A:$I,8,FALSE),VLOOKUP($C255,Mat.Info!$A:$H,8,FALSE)))</f>
        <v>0.54349999999999998</v>
      </c>
      <c r="H255" s="329">
        <f>'4.3.EOP'!$F$12</f>
        <v>1094.94</v>
      </c>
      <c r="I255" s="328">
        <f t="shared" si="126"/>
        <v>595.09988999999996</v>
      </c>
      <c r="J255" s="328">
        <f ca="1">I255*(1+Dados!$C$17)</f>
        <v>860.51444093999987</v>
      </c>
      <c r="K255" s="418" t="s">
        <v>667</v>
      </c>
      <c r="L255" s="333" t="s">
        <v>451</v>
      </c>
    </row>
    <row r="256" spans="1:12">
      <c r="A256" s="442" t="str">
        <f t="shared" si="127"/>
        <v>4.3</v>
      </c>
      <c r="B256" s="338"/>
      <c r="C256" s="339" t="str">
        <f>'4.3.EOP'!$B$13</f>
        <v>EQSF002</v>
      </c>
      <c r="D256" s="324" t="s">
        <v>352</v>
      </c>
      <c r="E256" s="325" t="str">
        <f>IF(D256="PESSOAL",VLOOKUP($C256,'TC 10-2023'!$B:$Z,2,FALSE), IF(D256="EQUIPAMENTOS",VLOOKUP($C256,Equip.Info!A:I,2,FALSE),VLOOKUP($C256,Mat.Info!A:H,2,FALSE)))</f>
        <v>Laptop completo, processador Intel Core i5, 16GB memória, Resolução 3.840x2.160 (4K), PV GPU de 4GB e Sistema Operacional.</v>
      </c>
      <c r="F256" s="413" t="str">
        <f t="shared" si="125"/>
        <v>h</v>
      </c>
      <c r="G256" s="326">
        <f>IF($D256="PESSOAL",VLOOKUP($C256,'TC 10-2023'!$B:$Z,25,FALSE), IF($D256="EQUIPAMENTOS",VLOOKUP($C256,Equip.Info!$A:$I,8,FALSE),VLOOKUP($C256,Mat.Info!$A:$H,8,FALSE)))</f>
        <v>0.217</v>
      </c>
      <c r="H256" s="329">
        <f>'4.3.EOP'!$F$13</f>
        <v>410.60250000000002</v>
      </c>
      <c r="I256" s="328">
        <f t="shared" si="126"/>
        <v>89.10074250000001</v>
      </c>
      <c r="J256" s="328">
        <f ca="1">I256*(1+Dados!$C$17)</f>
        <v>128.83967365500001</v>
      </c>
      <c r="K256" s="418" t="s">
        <v>667</v>
      </c>
      <c r="L256" s="333" t="s">
        <v>451</v>
      </c>
    </row>
    <row r="257" spans="1:17">
      <c r="A257" s="442" t="str">
        <f t="shared" si="127"/>
        <v>4.3</v>
      </c>
      <c r="B257" s="338"/>
      <c r="C257" s="339" t="str">
        <f>'4.3.EOP'!$B$31</f>
        <v>MTSF001</v>
      </c>
      <c r="D257" s="324" t="s">
        <v>448</v>
      </c>
      <c r="E257" s="325" t="str">
        <f>IF(D257="PESSOAL",VLOOKUP($C257,'TC 10-2023'!$B:$Z,2,FALSE), IF(D257="EQUIPAMENTOS",VLOOKUP($C257,Equip.Info!A:I,2,FALSE),VLOOKUP($C257,Mat.Info!A:H,2,FALSE)))</f>
        <v>Pacote Microsoft 365 Business Basic</v>
      </c>
      <c r="F257" s="413" t="str">
        <f t="shared" si="125"/>
        <v>h</v>
      </c>
      <c r="G257" s="326">
        <f>IF($D257="PESSOAL",VLOOKUP($C257,'TC 10-2023'!$B:$Z,25,FALSE), IF($D257="EQUIPAMENTOS",VLOOKUP($C257,Equip.Info!$A:$I,8,FALSE),VLOOKUP($C257,Mat.Info!$A:$H,8,FALSE)))</f>
        <v>0.16250000000000001</v>
      </c>
      <c r="H257" s="329">
        <f>'4.3.EOP'!$I$31</f>
        <v>1505.5425</v>
      </c>
      <c r="I257" s="328">
        <f t="shared" si="126"/>
        <v>244.65065625</v>
      </c>
      <c r="J257" s="328">
        <f ca="1">I257*(1+Dados!$C$17)</f>
        <v>353.76484893750001</v>
      </c>
      <c r="K257" s="418" t="s">
        <v>667</v>
      </c>
      <c r="L257" s="333" t="s">
        <v>691</v>
      </c>
    </row>
    <row r="258" spans="1:17" ht="33.75">
      <c r="A258" s="442" t="str">
        <f t="shared" si="127"/>
        <v>4.3</v>
      </c>
      <c r="B258" s="340"/>
      <c r="C258" s="428" t="s">
        <v>550</v>
      </c>
      <c r="D258" s="324" t="s">
        <v>526</v>
      </c>
      <c r="E258" s="325" t="s">
        <v>547</v>
      </c>
      <c r="F258" s="413" t="s">
        <v>544</v>
      </c>
      <c r="G258" s="326">
        <f>I258/H258</f>
        <v>497.33333333333331</v>
      </c>
      <c r="H258" s="327">
        <f>IF(D258="PASSAGENS",SUMIFS('Diárias e Passagens'!K:K,'Diárias e Passagens'!A:A,A258),SUMIFS('Diárias e Passagens'!N:N,'Diárias e Passagens'!A:A,A258))</f>
        <v>2</v>
      </c>
      <c r="I258" s="328">
        <f>IF(D258="PASSAGENS",SUMIFS('Diárias e Passagens'!M:M,'Diárias e Passagens'!A:A,A258),SUMIFS('Diárias e Passagens'!P:P,'Diárias e Passagens'!A:A,A258))</f>
        <v>994.66666666666663</v>
      </c>
      <c r="J258" s="328">
        <f ca="1">I258*(1+Dados!$C$17)</f>
        <v>1438.288</v>
      </c>
      <c r="K258" s="419" t="s">
        <v>546</v>
      </c>
      <c r="L258" s="333" t="s">
        <v>563</v>
      </c>
    </row>
    <row r="259" spans="1:17" ht="33.75">
      <c r="A259" s="442" t="str">
        <f t="shared" si="127"/>
        <v>4.3</v>
      </c>
      <c r="B259" s="340"/>
      <c r="C259" s="428" t="s">
        <v>550</v>
      </c>
      <c r="D259" s="324" t="s">
        <v>351</v>
      </c>
      <c r="E259" s="325" t="s">
        <v>548</v>
      </c>
      <c r="F259" s="413" t="s">
        <v>543</v>
      </c>
      <c r="G259" s="326">
        <f>I259/H259</f>
        <v>600</v>
      </c>
      <c r="H259" s="327">
        <f>IF(D259="PASSAGENS",SUMIFS('Diárias e Passagens'!K:K,'Diárias e Passagens'!A:A,A259),SUMIFS('Diárias e Passagens'!N:N,'Diárias e Passagens'!A:A,A259))</f>
        <v>5</v>
      </c>
      <c r="I259" s="328">
        <f>IF(D259="PASSAGENS",SUMIFS('Diárias e Passagens'!M:M,'Diárias e Passagens'!A:A,A259),SUMIFS('Diárias e Passagens'!P:P,'Diárias e Passagens'!A:A,A259))</f>
        <v>3000</v>
      </c>
      <c r="J259" s="328">
        <f ca="1">I259*(1+Dados!$C$17)</f>
        <v>4338</v>
      </c>
      <c r="K259" s="419" t="str">
        <f>Diárias!$I$6</f>
        <v>DECRETO Nº 11.872, DE 29 DE DEZEMBRO DE 2023</v>
      </c>
      <c r="L259" s="333" t="s">
        <v>564</v>
      </c>
    </row>
    <row r="260" spans="1:17" s="331" customFormat="1" ht="15">
      <c r="A260" s="442" t="str">
        <f>A259&amp;".1"</f>
        <v>4.3.1</v>
      </c>
      <c r="B260" s="343" t="str">
        <f>A260</f>
        <v>4.3.1</v>
      </c>
      <c r="C260" s="344" t="str">
        <f>C250&amp;" - Inspeção de Campo"</f>
        <v>Dimensão Operacional (EOP) - Inspeção de Campo</v>
      </c>
      <c r="D260" s="319"/>
      <c r="E260" s="320"/>
      <c r="F260" s="412"/>
      <c r="G260" s="321"/>
      <c r="H260" s="322"/>
      <c r="I260" s="323"/>
      <c r="J260" s="323"/>
      <c r="K260" s="420"/>
      <c r="L260" s="424"/>
      <c r="Q260" s="332"/>
    </row>
    <row r="261" spans="1:17" ht="25.5">
      <c r="A261" s="442" t="str">
        <f>A260</f>
        <v>4.3.1</v>
      </c>
      <c r="B261" s="340"/>
      <c r="C261" s="428" t="s">
        <v>613</v>
      </c>
      <c r="D261" s="324" t="s">
        <v>526</v>
      </c>
      <c r="E261" s="325" t="s">
        <v>547</v>
      </c>
      <c r="F261" s="413" t="s">
        <v>544</v>
      </c>
      <c r="G261" s="326">
        <f>I261/H261</f>
        <v>626.52083333333326</v>
      </c>
      <c r="H261" s="327">
        <f>IF(D261="PASSAGENS",SUMIFS('Diárias e Passagens'!K:K,'Diárias e Passagens'!A:A,A261),SUMIFS('Diárias e Passagens'!N:N,'Diárias e Passagens'!A:A,A261))</f>
        <v>3</v>
      </c>
      <c r="I261" s="328">
        <f>IF(D261="PASSAGENS",SUMIFS('Diárias e Passagens'!M:M,'Diárias e Passagens'!A:A,A261),SUMIFS('Diárias e Passagens'!P:P,'Diárias e Passagens'!A:A,A261))</f>
        <v>1879.5624999999998</v>
      </c>
      <c r="J261" s="328">
        <f ca="1">I261*(1+Dados!$C$17)</f>
        <v>2717.8473749999994</v>
      </c>
      <c r="K261" s="419" t="s">
        <v>546</v>
      </c>
      <c r="L261" s="333" t="s">
        <v>563</v>
      </c>
    </row>
    <row r="262" spans="1:17" ht="25.5">
      <c r="A262" s="442" t="str">
        <f>A261</f>
        <v>4.3.1</v>
      </c>
      <c r="B262" s="340"/>
      <c r="C262" s="428" t="s">
        <v>613</v>
      </c>
      <c r="D262" s="324" t="s">
        <v>351</v>
      </c>
      <c r="E262" s="325" t="s">
        <v>548</v>
      </c>
      <c r="F262" s="413" t="s">
        <v>543</v>
      </c>
      <c r="G262" s="326">
        <f>I262/H262</f>
        <v>455</v>
      </c>
      <c r="H262" s="327">
        <f>IF(D262="PASSAGENS",SUMIFS('Diárias e Passagens'!K:K,'Diárias e Passagens'!A:A,A262),SUMIFS('Diárias e Passagens'!N:N,'Diárias e Passagens'!A:A,A262))</f>
        <v>19.5</v>
      </c>
      <c r="I262" s="328">
        <f>IF(D262="PASSAGENS",SUMIFS('Diárias e Passagens'!M:M,'Diárias e Passagens'!A:A,A262),SUMIFS('Diárias e Passagens'!P:P,'Diárias e Passagens'!A:A,A262))</f>
        <v>8872.5</v>
      </c>
      <c r="J262" s="328">
        <f ca="1">I262*(1+Dados!$C$17)</f>
        <v>12829.635</v>
      </c>
      <c r="K262" s="419" t="str">
        <f>Diárias!$I$6</f>
        <v>DECRETO Nº 11.872, DE 29 DE DEZEMBRO DE 2023</v>
      </c>
      <c r="L262" s="333" t="s">
        <v>564</v>
      </c>
    </row>
    <row r="263" spans="1:17">
      <c r="A263" s="442" t="str">
        <f>A262</f>
        <v>4.3.1</v>
      </c>
      <c r="B263" s="340"/>
      <c r="C263" s="440" t="str">
        <f>'Inspeção-Veículo'!B17</f>
        <v>E8889</v>
      </c>
      <c r="D263" s="324" t="s">
        <v>561</v>
      </c>
      <c r="E263" s="325" t="str">
        <f>VLOOKUP(A263,'Inspeção-Veículo'!$A$9:$O$17,4,0)</f>
        <v>Veículo leve picape 4 x 4 com capacidade de 1,10 t - 147 kW (sem motorista)</v>
      </c>
      <c r="F263" s="413" t="s">
        <v>299</v>
      </c>
      <c r="G263" s="326"/>
      <c r="H263" s="329"/>
      <c r="I263" s="328">
        <f>VLOOKUP(A263,'Inspeção-Veículo'!$A$9:$O$17,15,0)</f>
        <v>3171.9917999999998</v>
      </c>
      <c r="J263" s="328">
        <f ca="1">I263*(1+Dados!$C$17)</f>
        <v>4586.7001427999994</v>
      </c>
      <c r="K263" s="418" t="str">
        <f>"DNIT "&amp;TEXT(Dados!$C$16,"mmm/aa")</f>
        <v>DNIT out/23</v>
      </c>
      <c r="L263" s="333" t="str">
        <f>"Custo produtivo e improdutivo DNIT, considerando "&amp;'Inspeção-Veículo'!I17&amp;" de utilização produtiva."</f>
        <v>Custo produtivo e improdutivo DNIT, considerando 0,8 de utilização produtiva.</v>
      </c>
    </row>
    <row r="264" spans="1:17" ht="15">
      <c r="A264" s="442" t="str">
        <f>B264</f>
        <v>4.4</v>
      </c>
      <c r="B264" s="342" t="str">
        <f>'Cronograma'!B41</f>
        <v>4.4</v>
      </c>
      <c r="C264" s="342" t="str">
        <f>'Cronograma'!C41</f>
        <v>Dimensão Socioambiental (EMA)</v>
      </c>
      <c r="D264" s="319"/>
      <c r="E264" s="318"/>
      <c r="F264" s="414"/>
      <c r="G264" s="318"/>
      <c r="H264" s="318"/>
      <c r="I264" s="323">
        <f>SUM(I265:I273)</f>
        <v>131039.47912166666</v>
      </c>
      <c r="J264" s="323">
        <f ca="1">SUM(J265:J273)</f>
        <v>189483.08680992996</v>
      </c>
      <c r="K264" s="421"/>
      <c r="L264" s="426"/>
    </row>
    <row r="265" spans="1:17">
      <c r="A265" s="442" t="str">
        <f t="shared" si="127"/>
        <v>4.4</v>
      </c>
      <c r="B265" s="338"/>
      <c r="C265" s="339" t="str">
        <f>'4.4.EMA'!B18</f>
        <v>P8044</v>
      </c>
      <c r="D265" s="324" t="s">
        <v>350</v>
      </c>
      <c r="E265" s="325" t="str">
        <f>IF(D265="PESSOAL",VLOOKUP($C265,'TC 10-2023'!$B:$Z,2,FALSE), IF(D265="EQUIPAMENTOS",VLOOKUP($C265,Equip.Info!A:I,2,FALSE),VLOOKUP($C265,Mat.Info!A:H,2,FALSE)))</f>
        <v xml:space="preserve">Coordenador ambiental </v>
      </c>
      <c r="F265" s="413" t="str">
        <f t="shared" ref="F265:F271" si="130">IF(D265="PESSOAL","mês", IF(OR(D265="EQUIPAMENTOS",D265="MATERIAL"),"h",""))</f>
        <v>mês</v>
      </c>
      <c r="G265" s="326">
        <f>IF($D265="PESSOAL",VLOOKUP($C265,'TC 10-2023'!$B:$Z,25,FALSE), IF($D265="EQUIPAMENTOS",VLOOKUP($C265,Equip.Info!$A:$I,8,FALSE),VLOOKUP($C265,Mat.Info!$A:$H,8,FALSE)))</f>
        <v>31481.62</v>
      </c>
      <c r="H265" s="326">
        <f>'4.4.EMA'!H18</f>
        <v>1</v>
      </c>
      <c r="I265" s="328">
        <f>G265*H265</f>
        <v>31481.62</v>
      </c>
      <c r="J265" s="328">
        <f ca="1">I265*(1+Dados!$C$17)</f>
        <v>45522.42252</v>
      </c>
      <c r="K265" s="418" t="str">
        <f>"DNIT "&amp;TEXT(Dados!$C$16,"mmm/aa")</f>
        <v>DNIT out/23</v>
      </c>
      <c r="L265" s="333" t="str">
        <f>'4.4.EMA'!G18&amp;" "&amp;E265&amp;" por mês"</f>
        <v>1 Coordenador ambiental  por mês</v>
      </c>
    </row>
    <row r="266" spans="1:17">
      <c r="A266" s="442" t="str">
        <f t="shared" si="127"/>
        <v>4.4</v>
      </c>
      <c r="B266" s="338"/>
      <c r="C266" s="339" t="str">
        <f>'4.4.EMA'!B19</f>
        <v>P8059</v>
      </c>
      <c r="D266" s="324" t="s">
        <v>350</v>
      </c>
      <c r="E266" s="325" t="str">
        <f>IF(D266="PESSOAL",VLOOKUP($C266,'TC 10-2023'!$B:$Z,2,FALSE), IF(D266="EQUIPAMENTOS",VLOOKUP($C266,Equip.Info!A:I,2,FALSE),VLOOKUP($C266,Mat.Info!A:H,2,FALSE)))</f>
        <v>Engenheiro ambiental sênior</v>
      </c>
      <c r="F266" s="413" t="str">
        <f t="shared" ref="F266:F267" si="131">IF(D266="PESSOAL","mês", IF(OR(D266="EQUIPAMENTOS",D266="MATERIAL"),"h",""))</f>
        <v>mês</v>
      </c>
      <c r="G266" s="326">
        <f>IF($D266="PESSOAL",VLOOKUP($C266,'TC 10-2023'!$B:$Z,25,FALSE), IF($D266="EQUIPAMENTOS",VLOOKUP($C266,Equip.Info!$A:$I,8,FALSE),VLOOKUP($C266,Mat.Info!$A:$H,8,FALSE)))</f>
        <v>25413.33</v>
      </c>
      <c r="H266" s="326">
        <f>'4.4.EMA'!H19</f>
        <v>2</v>
      </c>
      <c r="I266" s="328">
        <f t="shared" ref="I266:I267" si="132">G266*H266</f>
        <v>50826.66</v>
      </c>
      <c r="J266" s="328">
        <f ca="1">I266*(1+Dados!$C$17)</f>
        <v>73495.350359999997</v>
      </c>
      <c r="K266" s="418" t="str">
        <f>"DNIT "&amp;TEXT(Dados!$C$16,"mmm/aa")</f>
        <v>DNIT out/23</v>
      </c>
      <c r="L266" s="333" t="str">
        <f>'4.4.EMA'!G19&amp;" "&amp;E266&amp;" por mês"</f>
        <v>1 Engenheiro ambiental sênior por mês</v>
      </c>
    </row>
    <row r="267" spans="1:17">
      <c r="A267" s="442" t="str">
        <f t="shared" si="127"/>
        <v>4.4</v>
      </c>
      <c r="B267" s="338"/>
      <c r="C267" s="339" t="str">
        <f>'4.4.EMA'!B20</f>
        <v>P8058</v>
      </c>
      <c r="D267" s="324" t="s">
        <v>350</v>
      </c>
      <c r="E267" s="325" t="str">
        <f>IF(D267="PESSOAL",VLOOKUP($C267,'TC 10-2023'!$B:$Z,2,FALSE), IF(D267="EQUIPAMENTOS",VLOOKUP($C267,Equip.Info!A:I,2,FALSE),VLOOKUP($C267,Mat.Info!A:H,2,FALSE)))</f>
        <v>Engenheiro ambiental pleno</v>
      </c>
      <c r="F267" s="413" t="str">
        <f t="shared" si="131"/>
        <v>mês</v>
      </c>
      <c r="G267" s="326">
        <f>IF($D267="PESSOAL",VLOOKUP($C267,'TC 10-2023'!$B:$Z,25,FALSE), IF($D267="EQUIPAMENTOS",VLOOKUP($C267,Equip.Info!$A:$I,8,FALSE),VLOOKUP($C267,Mat.Info!$A:$H,8,FALSE)))</f>
        <v>21261.51</v>
      </c>
      <c r="H267" s="326">
        <f>'4.4.EMA'!H20</f>
        <v>2</v>
      </c>
      <c r="I267" s="328">
        <f t="shared" si="132"/>
        <v>42523.02</v>
      </c>
      <c r="J267" s="328">
        <f ca="1">I267*(1+Dados!$C$17)</f>
        <v>61488.286919999991</v>
      </c>
      <c r="K267" s="418" t="str">
        <f>"DNIT "&amp;TEXT(Dados!$C$16,"mmm/aa")</f>
        <v>DNIT out/23</v>
      </c>
      <c r="L267" s="333" t="str">
        <f>'4.4.EMA'!G20&amp;" "&amp;E267&amp;" por mês"</f>
        <v>1 Engenheiro ambiental pleno por mês</v>
      </c>
    </row>
    <row r="268" spans="1:17" ht="25.5">
      <c r="A268" s="442" t="str">
        <f>A267</f>
        <v>4.4</v>
      </c>
      <c r="B268" s="338"/>
      <c r="C268" s="339" t="str">
        <f>'4.4.EMA'!$B$12</f>
        <v>EQSF001</v>
      </c>
      <c r="D268" s="324" t="s">
        <v>352</v>
      </c>
      <c r="E268" s="325" t="str">
        <f>IF(D268="PESSOAL",VLOOKUP($C268,'TC 10-2023'!$B:$Z,2,FALSE), IF(D268="EQUIPAMENTOS",VLOOKUP($C268,Equip.Info!A:I,2,FALSE),VLOOKUP($C268,Mat.Info!A:H,2,FALSE)))</f>
        <v>Desktop completo, processador Intel Core i5, 16GB memória, Resolução 3.840x2.160 (4K), PV GPU de 4GB e Sistema Operacional.</v>
      </c>
      <c r="F268" s="413" t="str">
        <f t="shared" si="130"/>
        <v>h</v>
      </c>
      <c r="G268" s="326">
        <f>IF($D268="PESSOAL",VLOOKUP($C268,'TC 10-2023'!$B:$Z,25,FALSE), IF($D268="EQUIPAMENTOS",VLOOKUP($C268,Equip.Info!$A:$I,8,FALSE),VLOOKUP($C268,Mat.Info!$A:$H,8,FALSE)))</f>
        <v>0.54349999999999998</v>
      </c>
      <c r="H268" s="329">
        <f>'4.4.EMA'!$F$12</f>
        <v>729.96</v>
      </c>
      <c r="I268" s="328">
        <f t="shared" ref="I268:I271" si="133">G268*H268</f>
        <v>396.73326000000003</v>
      </c>
      <c r="J268" s="328">
        <f ca="1">I268*(1+Dados!$C$17)</f>
        <v>573.67629396000007</v>
      </c>
      <c r="K268" s="418" t="s">
        <v>667</v>
      </c>
      <c r="L268" s="333" t="s">
        <v>566</v>
      </c>
    </row>
    <row r="269" spans="1:17" ht="25.5">
      <c r="A269" s="442" t="str">
        <f t="shared" si="127"/>
        <v>4.4</v>
      </c>
      <c r="B269" s="338"/>
      <c r="C269" s="339" t="str">
        <f>'4.4.EMA'!$B$13</f>
        <v>EQSF002</v>
      </c>
      <c r="D269" s="324" t="s">
        <v>352</v>
      </c>
      <c r="E269" s="325" t="str">
        <f>IF(D269="PESSOAL",VLOOKUP($C269,'TC 10-2023'!$B:$Z,2,FALSE), IF(D269="EQUIPAMENTOS",VLOOKUP($C269,Equip.Info!A:I,2,FALSE),VLOOKUP($C269,Mat.Info!A:H,2,FALSE)))</f>
        <v>Laptop completo, processador Intel Core i5, 16GB memória, Resolução 3.840x2.160 (4K), PV GPU de 4GB e Sistema Operacional.</v>
      </c>
      <c r="F269" s="413" t="str">
        <f t="shared" si="130"/>
        <v>h</v>
      </c>
      <c r="G269" s="326">
        <f>IF($D269="PESSOAL",VLOOKUP($C269,'TC 10-2023'!$B:$Z,25,FALSE), IF($D269="EQUIPAMENTOS",VLOOKUP($C269,Equip.Info!$A:$I,8,FALSE),VLOOKUP($C269,Mat.Info!$A:$H,8,FALSE)))</f>
        <v>0.217</v>
      </c>
      <c r="H269" s="329">
        <f>'4.4.EMA'!$F$13</f>
        <v>182.49</v>
      </c>
      <c r="I269" s="328">
        <f t="shared" si="133"/>
        <v>39.60033</v>
      </c>
      <c r="J269" s="328">
        <f ca="1">I269*(1+Dados!$C$17)</f>
        <v>57.262077179999999</v>
      </c>
      <c r="K269" s="418" t="s">
        <v>667</v>
      </c>
      <c r="L269" s="333" t="s">
        <v>566</v>
      </c>
    </row>
    <row r="270" spans="1:17">
      <c r="A270" s="442" t="str">
        <f t="shared" si="127"/>
        <v>4.4</v>
      </c>
      <c r="B270" s="338"/>
      <c r="C270" s="339" t="str">
        <f>'4.4.EMA'!$B$31</f>
        <v>MTSF001</v>
      </c>
      <c r="D270" s="324" t="s">
        <v>448</v>
      </c>
      <c r="E270" s="325" t="str">
        <f>IF(D270="PESSOAL",VLOOKUP($C270,'TC 10-2023'!$B:$Z,2,FALSE), IF(D270="EQUIPAMENTOS",VLOOKUP($C270,Equip.Info!A:I,2,FALSE),VLOOKUP($C270,Mat.Info!A:H,2,FALSE)))</f>
        <v>Pacote Microsoft 365 Business Basic</v>
      </c>
      <c r="F270" s="413" t="str">
        <f t="shared" si="130"/>
        <v>h</v>
      </c>
      <c r="G270" s="326">
        <f>IF($D270="PESSOAL",VLOOKUP($C270,'TC 10-2023'!$B:$Z,25,FALSE), IF($D270="EQUIPAMENTOS",VLOOKUP($C270,Equip.Info!$A:$I,8,FALSE),VLOOKUP($C270,Mat.Info!$A:$H,8,FALSE)))</f>
        <v>0.16250000000000001</v>
      </c>
      <c r="H270" s="329">
        <f>'4.4.EMA'!$I$31</f>
        <v>912.45</v>
      </c>
      <c r="I270" s="328">
        <f t="shared" si="133"/>
        <v>148.27312500000002</v>
      </c>
      <c r="J270" s="328">
        <f ca="1">I270*(1+Dados!$C$17)</f>
        <v>214.40293875000003</v>
      </c>
      <c r="K270" s="418" t="s">
        <v>667</v>
      </c>
      <c r="L270" s="333" t="s">
        <v>691</v>
      </c>
    </row>
    <row r="271" spans="1:17">
      <c r="A271" s="442" t="str">
        <f t="shared" si="127"/>
        <v>4.4</v>
      </c>
      <c r="B271" s="338"/>
      <c r="C271" s="339" t="str">
        <f>'4.4.EMA'!$B$32</f>
        <v>MTSF003</v>
      </c>
      <c r="D271" s="324" t="s">
        <v>448</v>
      </c>
      <c r="E271" s="325" t="str">
        <f>IF(D271="PESSOAL",VLOOKUP($C271,'TC 10-2023'!$B:$Z,2,FALSE), IF(D271="EQUIPAMENTOS",VLOOKUP($C271,Equip.Info!A:I,2,FALSE),VLOOKUP($C271,Mat.Info!A:H,2,FALSE)))</f>
        <v>Software SIG para MAC/Windows 64bits</v>
      </c>
      <c r="F271" s="413" t="str">
        <f t="shared" si="130"/>
        <v>h</v>
      </c>
      <c r="G271" s="326">
        <f>IF($D271="PESSOAL",VLOOKUP($C271,'TC 10-2023'!$B:$Z,25,FALSE), IF($D271="EQUIPAMENTOS",VLOOKUP($C271,Equip.Info!$A:$I,8,FALSE),VLOOKUP($C271,Mat.Info!$A:$H,8,FALSE)))</f>
        <v>4.4630000000000001</v>
      </c>
      <c r="H271" s="329">
        <f>'4.4.EMA'!$I$32</f>
        <v>364.98</v>
      </c>
      <c r="I271" s="328">
        <f t="shared" si="133"/>
        <v>1628.9057400000002</v>
      </c>
      <c r="J271" s="328">
        <f ca="1">I271*(1+Dados!$C$17)</f>
        <v>2355.39770004</v>
      </c>
      <c r="K271" s="418" t="s">
        <v>667</v>
      </c>
      <c r="L271" s="333" t="s">
        <v>568</v>
      </c>
    </row>
    <row r="272" spans="1:17" ht="33.75">
      <c r="A272" s="442" t="str">
        <f t="shared" si="127"/>
        <v>4.4</v>
      </c>
      <c r="B272" s="340"/>
      <c r="C272" s="428" t="s">
        <v>550</v>
      </c>
      <c r="D272" s="324" t="s">
        <v>526</v>
      </c>
      <c r="E272" s="325" t="s">
        <v>574</v>
      </c>
      <c r="F272" s="413" t="s">
        <v>544</v>
      </c>
      <c r="G272" s="326">
        <f>I272/H272</f>
        <v>497.33333333333331</v>
      </c>
      <c r="H272" s="327">
        <f>IF(D272="PASSAGENS",SUMIFS('Diárias e Passagens'!K:K,'Diárias e Passagens'!A:A,A272),SUMIFS('Diárias e Passagens'!N:N,'Diárias e Passagens'!A:A,A272))</f>
        <v>2</v>
      </c>
      <c r="I272" s="328">
        <f>IF(D272="PASSAGENS",SUMIFS('Diárias e Passagens'!M:M,'Diárias e Passagens'!A:A,A272),SUMIFS('Diárias e Passagens'!P:P,'Diárias e Passagens'!A:A,A272))</f>
        <v>994.66666666666663</v>
      </c>
      <c r="J272" s="328">
        <f ca="1">I272*(1+Dados!$C$17)</f>
        <v>1438.288</v>
      </c>
      <c r="K272" s="419" t="s">
        <v>546</v>
      </c>
      <c r="L272" s="333" t="s">
        <v>563</v>
      </c>
    </row>
    <row r="273" spans="1:13" ht="33.75">
      <c r="A273" s="442" t="str">
        <f t="shared" si="127"/>
        <v>4.4</v>
      </c>
      <c r="B273" s="340"/>
      <c r="C273" s="428" t="s">
        <v>550</v>
      </c>
      <c r="D273" s="324" t="s">
        <v>351</v>
      </c>
      <c r="E273" s="325" t="s">
        <v>548</v>
      </c>
      <c r="F273" s="413" t="s">
        <v>543</v>
      </c>
      <c r="G273" s="326">
        <f>I273/H273</f>
        <v>600</v>
      </c>
      <c r="H273" s="327">
        <f>IF(D273="PASSAGENS",SUMIFS('Diárias e Passagens'!K:K,'Diárias e Passagens'!A:A,A273),SUMIFS('Diárias e Passagens'!N:N,'Diárias e Passagens'!A:A,A273))</f>
        <v>5</v>
      </c>
      <c r="I273" s="328">
        <f>IF(D273="PASSAGENS",SUMIFS('Diárias e Passagens'!M:M,'Diárias e Passagens'!A:A,A273),SUMIFS('Diárias e Passagens'!P:P,'Diárias e Passagens'!A:A,A273))</f>
        <v>3000</v>
      </c>
      <c r="J273" s="328">
        <f ca="1">I273*(1+Dados!$C$17)</f>
        <v>4338</v>
      </c>
      <c r="K273" s="419" t="str">
        <f>Diárias!$I$6</f>
        <v>DECRETO Nº 11.872, DE 29 DE DEZEMBRO DE 2023</v>
      </c>
      <c r="L273" s="333" t="s">
        <v>564</v>
      </c>
    </row>
    <row r="274" spans="1:13" s="331" customFormat="1" ht="15">
      <c r="A274" s="442" t="str">
        <f>B274</f>
        <v>4.5</v>
      </c>
      <c r="B274" s="342" t="str">
        <f>'Cronograma'!B42</f>
        <v>4.5</v>
      </c>
      <c r="C274" s="342" t="str">
        <f>'Cronograma'!C42</f>
        <v>Dimensão Econômico-Financeira (MEF)</v>
      </c>
      <c r="D274" s="319"/>
      <c r="E274" s="320"/>
      <c r="F274" s="412"/>
      <c r="G274" s="321"/>
      <c r="H274" s="322"/>
      <c r="I274" s="323">
        <f>SUM(I275:I280)</f>
        <v>27107.123117166666</v>
      </c>
      <c r="J274" s="323">
        <f ca="1">SUM(J275:J280)</f>
        <v>39196.900027422998</v>
      </c>
      <c r="K274" s="420"/>
      <c r="L274" s="427"/>
    </row>
    <row r="275" spans="1:13" s="331" customFormat="1" ht="15">
      <c r="A275" s="442" t="str">
        <f>A274</f>
        <v>4.5</v>
      </c>
      <c r="B275" s="338"/>
      <c r="C275" s="339" t="str">
        <f>'4.5.MEF'!B18</f>
        <v>P8047</v>
      </c>
      <c r="D275" s="324" t="s">
        <v>350</v>
      </c>
      <c r="E275" s="325" t="str">
        <f>IF(D275="PESSOAL",VLOOKUP($C275,'TC 10-2023'!$B:$Z,2,FALSE), IF(D275="EQUIPAMENTOS",VLOOKUP($C275,Equip.Info!A:I,2,FALSE),VLOOKUP($C275,Mat.Info!A:H,2,FALSE)))</f>
        <v>Economista sênior</v>
      </c>
      <c r="F275" s="413" t="str">
        <f t="shared" ref="F275:F278" si="134">IF(D275="PESSOAL","mês", IF(OR(D275="EQUIPAMENTOS",D275="MATERIAL"),"h",""))</f>
        <v>mês</v>
      </c>
      <c r="G275" s="326">
        <f>IF($D275="PESSOAL",VLOOKUP($C275,'TC 10-2023'!$B:$Z,25,FALSE), IF($D275="EQUIPAMENTOS",VLOOKUP($C275,Equip.Info!$A:$I,8,FALSE),VLOOKUP($C275,Mat.Info!$A:$H,8,FALSE)))</f>
        <v>19860.28</v>
      </c>
      <c r="H275" s="326">
        <f>'4.5.MEF'!H18</f>
        <v>1</v>
      </c>
      <c r="I275" s="328">
        <f t="shared" ref="I275:I278" si="135">G275*H275</f>
        <v>19860.28</v>
      </c>
      <c r="J275" s="328">
        <f ca="1">I275*(1+Dados!$C$17)</f>
        <v>28717.964879999996</v>
      </c>
      <c r="K275" s="418" t="str">
        <f>"DNIT "&amp;TEXT(Dados!$C$16,"mmm/aa")</f>
        <v>DNIT out/23</v>
      </c>
      <c r="L275" s="333" t="str">
        <f>'4.5.MEF'!G18&amp;" "&amp;E275&amp;" por mês"</f>
        <v>1 Economista sênior por mês</v>
      </c>
    </row>
    <row r="276" spans="1:13" s="331" customFormat="1" ht="15">
      <c r="A276" s="442" t="str">
        <f>A275</f>
        <v>4.5</v>
      </c>
      <c r="B276" s="338"/>
      <c r="C276" s="339" t="str">
        <f>'4.5.MEF'!B19</f>
        <v>P8061</v>
      </c>
      <c r="D276" s="324" t="s">
        <v>350</v>
      </c>
      <c r="E276" s="325" t="str">
        <f>IF(D276="PESSOAL",VLOOKUP($C276,'TC 10-2023'!$B:$Z,2,FALSE), IF(D276="EQUIPAMENTOS",VLOOKUP($C276,Equip.Info!A:I,2,FALSE),VLOOKUP($C276,Mat.Info!A:H,2,FALSE)))</f>
        <v>Engenheiro coordenador</v>
      </c>
      <c r="F276" s="413" t="str">
        <f t="shared" ref="F276" si="136">IF(D276="PESSOAL","mês", IF(OR(D276="EQUIPAMENTOS",D276="MATERIAL"),"h",""))</f>
        <v>mês</v>
      </c>
      <c r="G276" s="326">
        <f>IF($D276="PESSOAL",VLOOKUP($C276,'TC 10-2023'!$B:$Z,25,FALSE), IF($D276="EQUIPAMENTOS",VLOOKUP($C276,Equip.Info!$A:$I,8,FALSE),VLOOKUP($C276,Mat.Info!$A:$H,8,FALSE)))</f>
        <v>31759.96</v>
      </c>
      <c r="H276" s="326">
        <f>'4.5.MEF'!H19</f>
        <v>0.1</v>
      </c>
      <c r="I276" s="328">
        <f t="shared" ref="I276" si="137">G276*H276</f>
        <v>3175.9960000000001</v>
      </c>
      <c r="J276" s="328">
        <f ca="1">I276*(1+Dados!$C$17)</f>
        <v>4592.4902160000001</v>
      </c>
      <c r="K276" s="418" t="str">
        <f>"DNIT "&amp;TEXT(Dados!$C$16,"mmm/aa")</f>
        <v>DNIT out/23</v>
      </c>
      <c r="L276" s="333" t="str">
        <f>'4.5.MEF'!G19&amp;" "&amp;E276&amp;" por mês"</f>
        <v>1 Engenheiro coordenador por mês</v>
      </c>
    </row>
    <row r="277" spans="1:13" s="331" customFormat="1" ht="25.5">
      <c r="A277" s="442" t="str">
        <f t="shared" si="127"/>
        <v>4.5</v>
      </c>
      <c r="B277" s="338"/>
      <c r="C277" s="339" t="str">
        <f>'4.5.MEF'!$B$12</f>
        <v>EQSF002</v>
      </c>
      <c r="D277" s="324" t="s">
        <v>352</v>
      </c>
      <c r="E277" s="325" t="str">
        <f>IF(D277="PESSOAL",VLOOKUP($C277,'TC 10-2023'!$B:$Z,2,FALSE), IF(D277="EQUIPAMENTOS",VLOOKUP($C277,Equip.Info!A:I,2,FALSE),VLOOKUP($C277,Mat.Info!A:H,2,FALSE)))</f>
        <v>Laptop completo, processador Intel Core i5, 16GB memória, Resolução 3.840x2.160 (4K), PV GPU de 4GB e Sistema Operacional.</v>
      </c>
      <c r="F277" s="413" t="str">
        <f t="shared" si="134"/>
        <v>h</v>
      </c>
      <c r="G277" s="326">
        <f>IF($D277="PESSOAL",VLOOKUP($C277,'TC 10-2023'!$B:$Z,25,FALSE), IF($D277="EQUIPAMENTOS",VLOOKUP($C277,Equip.Info!$A:$I,8,FALSE),VLOOKUP($C277,Mat.Info!$A:$H,8,FALSE)))</f>
        <v>0.217</v>
      </c>
      <c r="H277" s="329">
        <f>'4.5.MEF'!$F$12</f>
        <v>200.739</v>
      </c>
      <c r="I277" s="328">
        <f t="shared" si="135"/>
        <v>43.560363000000002</v>
      </c>
      <c r="J277" s="328">
        <f ca="1">I277*(1+Dados!$C$17)</f>
        <v>62.988284898000003</v>
      </c>
      <c r="K277" s="418" t="s">
        <v>667</v>
      </c>
      <c r="L277" s="333" t="s">
        <v>567</v>
      </c>
    </row>
    <row r="278" spans="1:13" s="331" customFormat="1" ht="15">
      <c r="A278" s="442" t="str">
        <f t="shared" si="127"/>
        <v>4.5</v>
      </c>
      <c r="B278" s="338"/>
      <c r="C278" s="339" t="str">
        <f>'4.5.MEF'!$B$31</f>
        <v>MTSF001</v>
      </c>
      <c r="D278" s="324" t="s">
        <v>448</v>
      </c>
      <c r="E278" s="325" t="str">
        <f>IF(D278="PESSOAL",VLOOKUP($C278,'TC 10-2023'!$B:$Z,2,FALSE), IF(D278="EQUIPAMENTOS",VLOOKUP($C278,Equip.Info!A:I,2,FALSE),VLOOKUP($C278,Mat.Info!A:H,2,FALSE)))</f>
        <v>Pacote Microsoft 365 Business Basic</v>
      </c>
      <c r="F278" s="413" t="str">
        <f t="shared" si="134"/>
        <v>h</v>
      </c>
      <c r="G278" s="326">
        <f>IF($D278="PESSOAL",VLOOKUP($C278,'TC 10-2023'!$B:$Z,25,FALSE), IF($D278="EQUIPAMENTOS",VLOOKUP($C278,Equip.Info!$A:$I,8,FALSE),VLOOKUP($C278,Mat.Info!$A:$H,8,FALSE)))</f>
        <v>0.16250000000000001</v>
      </c>
      <c r="H278" s="329">
        <f>'4.5.MEF'!$I$31</f>
        <v>200.739</v>
      </c>
      <c r="I278" s="328">
        <f t="shared" si="135"/>
        <v>32.620087500000004</v>
      </c>
      <c r="J278" s="328">
        <f ca="1">I278*(1+Dados!$C$17)</f>
        <v>47.168646525000007</v>
      </c>
      <c r="K278" s="418" t="s">
        <v>667</v>
      </c>
      <c r="L278" s="333" t="s">
        <v>691</v>
      </c>
    </row>
    <row r="279" spans="1:13" s="331" customFormat="1" ht="33.75">
      <c r="A279" s="442" t="str">
        <f t="shared" si="127"/>
        <v>4.5</v>
      </c>
      <c r="B279" s="340"/>
      <c r="C279" s="428" t="s">
        <v>550</v>
      </c>
      <c r="D279" s="324" t="s">
        <v>526</v>
      </c>
      <c r="E279" s="325" t="s">
        <v>547</v>
      </c>
      <c r="F279" s="413" t="s">
        <v>544</v>
      </c>
      <c r="G279" s="326">
        <f>I279/H279</f>
        <v>497.33333333333331</v>
      </c>
      <c r="H279" s="327">
        <f>IF(D279="PASSAGENS",SUMIFS('Diárias e Passagens'!K:K,'Diárias e Passagens'!A:A,A279),SUMIFS('Diárias e Passagens'!N:N,'Diárias e Passagens'!A:A,A279))</f>
        <v>2</v>
      </c>
      <c r="I279" s="328">
        <f>IF(D279="PASSAGENS",SUMIFS('Diárias e Passagens'!M:M,'Diárias e Passagens'!A:A,A279),SUMIFS('Diárias e Passagens'!P:P,'Diárias e Passagens'!A:A,A279))</f>
        <v>994.66666666666663</v>
      </c>
      <c r="J279" s="328">
        <f ca="1">I279*(1+Dados!$C$17)</f>
        <v>1438.288</v>
      </c>
      <c r="K279" s="419" t="s">
        <v>546</v>
      </c>
      <c r="L279" s="333" t="s">
        <v>563</v>
      </c>
    </row>
    <row r="280" spans="1:13" ht="33.75">
      <c r="A280" s="442" t="str">
        <f t="shared" si="127"/>
        <v>4.5</v>
      </c>
      <c r="B280" s="340"/>
      <c r="C280" s="428" t="s">
        <v>550</v>
      </c>
      <c r="D280" s="324" t="s">
        <v>351</v>
      </c>
      <c r="E280" s="325" t="s">
        <v>548</v>
      </c>
      <c r="F280" s="413" t="s">
        <v>543</v>
      </c>
      <c r="G280" s="326">
        <f>I280/H280</f>
        <v>600</v>
      </c>
      <c r="H280" s="327">
        <f>IF(D280="PASSAGENS",SUMIFS('Diárias e Passagens'!K:K,'Diárias e Passagens'!A:A,A280),SUMIFS('Diárias e Passagens'!N:N,'Diárias e Passagens'!A:A,A280))</f>
        <v>5</v>
      </c>
      <c r="I280" s="328">
        <f>IF(D280="PASSAGENS",SUMIFS('Diárias e Passagens'!M:M,'Diárias e Passagens'!A:A,A280),SUMIFS('Diárias e Passagens'!P:P,'Diárias e Passagens'!A:A,A280))</f>
        <v>3000</v>
      </c>
      <c r="J280" s="328">
        <f ca="1">I280*(1+Dados!$C$17)</f>
        <v>4338</v>
      </c>
      <c r="K280" s="419" t="str">
        <f>Diárias!$I$6</f>
        <v>DECRETO Nº 11.872, DE 29 DE DEZEMBRO DE 2023</v>
      </c>
      <c r="L280" s="333" t="s">
        <v>564</v>
      </c>
      <c r="M280" s="331"/>
    </row>
    <row r="281" spans="1:13" s="331" customFormat="1" ht="15">
      <c r="A281" s="442" t="str">
        <f>B281</f>
        <v>4.6</v>
      </c>
      <c r="B281" s="342" t="str">
        <f>'Cronograma'!B43</f>
        <v>4.6</v>
      </c>
      <c r="C281" s="342" t="str">
        <f>'Cronograma'!C43</f>
        <v>Apoio e revisão pós Audiência Pública</v>
      </c>
      <c r="D281" s="319"/>
      <c r="E281" s="320"/>
      <c r="F281" s="412"/>
      <c r="G281" s="321"/>
      <c r="H281" s="322"/>
      <c r="I281" s="323">
        <f>SUM(I282:I292)</f>
        <v>109779.08868666667</v>
      </c>
      <c r="J281" s="323">
        <f ca="1">SUM(J282:J292)</f>
        <v>158740.56224091997</v>
      </c>
      <c r="K281" s="420"/>
      <c r="L281" s="425"/>
    </row>
    <row r="282" spans="1:13" s="331" customFormat="1" ht="15">
      <c r="A282" s="442" t="str">
        <f>A281</f>
        <v>4.6</v>
      </c>
      <c r="B282" s="338"/>
      <c r="C282" s="339" t="str">
        <f>'4.6.AP'!B18</f>
        <v>P8044</v>
      </c>
      <c r="D282" s="324" t="s">
        <v>350</v>
      </c>
      <c r="E282" s="325" t="str">
        <f>IF(D282="PESSOAL",VLOOKUP($C282,'TC 10-2023'!$B:$Z,2,FALSE), IF(D282="EQUIPAMENTOS",VLOOKUP($C282,Equip.Info!A:I,2,FALSE),VLOOKUP($C282,Mat.Info!A:H,2,FALSE)))</f>
        <v xml:space="preserve">Coordenador ambiental </v>
      </c>
      <c r="F282" s="413" t="str">
        <f t="shared" ref="F282:F289" si="138">IF(D282="PESSOAL","mês", IF(OR(D282="EQUIPAMENTOS",D282="MATERIAL"),"h",""))</f>
        <v>mês</v>
      </c>
      <c r="G282" s="326">
        <f>IF($D282="PESSOAL",VLOOKUP($C282,'TC 10-2023'!$B:$Z,25,FALSE), IF($D282="EQUIPAMENTOS",VLOOKUP($C282,Equip.Info!$A:$I,8,FALSE),VLOOKUP($C282,Mat.Info!$A:$H,8,FALSE)))</f>
        <v>31481.62</v>
      </c>
      <c r="H282" s="326">
        <f>'4.6.AP'!H18</f>
        <v>0.25</v>
      </c>
      <c r="I282" s="328">
        <f>G282*H282</f>
        <v>7870.4049999999997</v>
      </c>
      <c r="J282" s="328">
        <f ca="1">I282*(1+Dados!$C$17)</f>
        <v>11380.60563</v>
      </c>
      <c r="K282" s="418" t="str">
        <f>"DNIT "&amp;TEXT(Dados!$C$16,"mmm/aa")</f>
        <v>DNIT out/23</v>
      </c>
      <c r="L282" s="333" t="str">
        <f>'4.6.AP'!G18&amp;" "&amp;E282&amp;" por mês"</f>
        <v>1 Coordenador ambiental  por mês</v>
      </c>
    </row>
    <row r="283" spans="1:13" s="331" customFormat="1" ht="15">
      <c r="A283" s="442" t="str">
        <f t="shared" si="127"/>
        <v>4.6</v>
      </c>
      <c r="B283" s="338"/>
      <c r="C283" s="339" t="str">
        <f>'4.6.AP'!B19</f>
        <v>P8061</v>
      </c>
      <c r="D283" s="324" t="s">
        <v>350</v>
      </c>
      <c r="E283" s="325" t="str">
        <f>IF(D283="PESSOAL",VLOOKUP($C283,'TC 10-2023'!$B:$Z,2,FALSE), IF(D283="EQUIPAMENTOS",VLOOKUP($C283,Equip.Info!A:I,2,FALSE),VLOOKUP($C283,Mat.Info!A:H,2,FALSE)))</f>
        <v>Engenheiro coordenador</v>
      </c>
      <c r="F283" s="413" t="str">
        <f t="shared" ref="F283:F287" si="139">IF(D283="PESSOAL","mês", IF(OR(D283="EQUIPAMENTOS",D283="MATERIAL"),"h",""))</f>
        <v>mês</v>
      </c>
      <c r="G283" s="326">
        <f>IF($D283="PESSOAL",VLOOKUP($C283,'TC 10-2023'!$B:$Z,25,FALSE), IF($D283="EQUIPAMENTOS",VLOOKUP($C283,Equip.Info!$A:$I,8,FALSE),VLOOKUP($C283,Mat.Info!$A:$H,8,FALSE)))</f>
        <v>31759.96</v>
      </c>
      <c r="H283" s="326">
        <f>'4.6.AP'!H19</f>
        <v>0.25</v>
      </c>
      <c r="I283" s="328">
        <f t="shared" ref="I283:I287" si="140">G283*H283</f>
        <v>7939.99</v>
      </c>
      <c r="J283" s="328">
        <f ca="1">I283*(1+Dados!$C$17)</f>
        <v>11481.225539999999</v>
      </c>
      <c r="K283" s="418" t="str">
        <f>"DNIT "&amp;TEXT(Dados!$C$16,"mmm/aa")</f>
        <v>DNIT out/23</v>
      </c>
      <c r="L283" s="333" t="str">
        <f>'4.6.AP'!G19&amp;" "&amp;E283&amp;" por mês"</f>
        <v>1 Engenheiro coordenador por mês</v>
      </c>
    </row>
    <row r="284" spans="1:13" ht="15">
      <c r="A284" s="442" t="str">
        <f t="shared" si="127"/>
        <v>4.6</v>
      </c>
      <c r="B284" s="338"/>
      <c r="C284" s="339" t="str">
        <f>'4.6.AP'!B20</f>
        <v>P8003</v>
      </c>
      <c r="D284" s="324" t="s">
        <v>350</v>
      </c>
      <c r="E284" s="325" t="str">
        <f>IF(D284="PESSOAL",VLOOKUP($C284,'TC 10-2023'!$B:$Z,2,FALSE), IF(D284="EQUIPAMENTOS",VLOOKUP($C284,Equip.Info!A:I,2,FALSE),VLOOKUP($C284,Mat.Info!A:H,2,FALSE)))</f>
        <v>Advogado sênior</v>
      </c>
      <c r="F284" s="413" t="str">
        <f t="shared" si="139"/>
        <v>mês</v>
      </c>
      <c r="G284" s="326">
        <f>IF($D284="PESSOAL",VLOOKUP($C284,'TC 10-2023'!$B:$Z,25,FALSE), IF($D284="EQUIPAMENTOS",VLOOKUP($C284,Equip.Info!$A:$I,8,FALSE),VLOOKUP($C284,Mat.Info!$A:$H,8,FALSE)))</f>
        <v>19214.900000000001</v>
      </c>
      <c r="H284" s="326">
        <f>'4.6.AP'!H20</f>
        <v>1</v>
      </c>
      <c r="I284" s="328">
        <f t="shared" si="140"/>
        <v>19214.900000000001</v>
      </c>
      <c r="J284" s="328">
        <f ca="1">I284*(1+Dados!$C$17)</f>
        <v>27784.7454</v>
      </c>
      <c r="K284" s="418" t="str">
        <f>"DNIT "&amp;TEXT(Dados!$C$16,"mmm/aa")</f>
        <v>DNIT out/23</v>
      </c>
      <c r="L284" s="333" t="str">
        <f>'4.6.AP'!G20&amp;" "&amp;E284&amp;" por mês"</f>
        <v>1 Advogado sênior por mês</v>
      </c>
      <c r="M284" s="331"/>
    </row>
    <row r="285" spans="1:13" ht="15">
      <c r="A285" s="442" t="str">
        <f t="shared" si="127"/>
        <v>4.6</v>
      </c>
      <c r="B285" s="338"/>
      <c r="C285" s="339" t="str">
        <f>'4.6.AP'!B21</f>
        <v>P8047</v>
      </c>
      <c r="D285" s="324" t="s">
        <v>350</v>
      </c>
      <c r="E285" s="325" t="str">
        <f>IF(D285="PESSOAL",VLOOKUP($C285,'TC 10-2023'!$B:$Z,2,FALSE), IF(D285="EQUIPAMENTOS",VLOOKUP($C285,Equip.Info!A:I,2,FALSE),VLOOKUP($C285,Mat.Info!A:H,2,FALSE)))</f>
        <v>Economista sênior</v>
      </c>
      <c r="F285" s="413" t="str">
        <f t="shared" si="139"/>
        <v>mês</v>
      </c>
      <c r="G285" s="326">
        <f>IF($D285="PESSOAL",VLOOKUP($C285,'TC 10-2023'!$B:$Z,25,FALSE), IF($D285="EQUIPAMENTOS",VLOOKUP($C285,Equip.Info!$A:$I,8,FALSE),VLOOKUP($C285,Mat.Info!$A:$H,8,FALSE)))</f>
        <v>19860.28</v>
      </c>
      <c r="H285" s="326">
        <f>'4.6.AP'!H21</f>
        <v>1</v>
      </c>
      <c r="I285" s="328">
        <f t="shared" si="140"/>
        <v>19860.28</v>
      </c>
      <c r="J285" s="328">
        <f ca="1">I285*(1+Dados!$C$17)</f>
        <v>28717.964879999996</v>
      </c>
      <c r="K285" s="418" t="str">
        <f>"DNIT "&amp;TEXT(Dados!$C$16,"mmm/aa")</f>
        <v>DNIT out/23</v>
      </c>
      <c r="L285" s="333" t="str">
        <f>'4.6.AP'!G21&amp;" "&amp;E285&amp;" por mês"</f>
        <v>1 Economista sênior por mês</v>
      </c>
      <c r="M285" s="331"/>
    </row>
    <row r="286" spans="1:13" s="331" customFormat="1" ht="15">
      <c r="A286" s="442" t="str">
        <f t="shared" si="127"/>
        <v>4.6</v>
      </c>
      <c r="B286" s="338"/>
      <c r="C286" s="339" t="str">
        <f>'4.6.AP'!B22</f>
        <v>P8060</v>
      </c>
      <c r="D286" s="324" t="s">
        <v>350</v>
      </c>
      <c r="E286" s="325" t="str">
        <f>IF(D286="PESSOAL",VLOOKUP($C286,'TC 10-2023'!$B:$Z,2,FALSE), IF(D286="EQUIPAMENTOS",VLOOKUP($C286,Equip.Info!A:I,2,FALSE),VLOOKUP($C286,Mat.Info!A:H,2,FALSE)))</f>
        <v>Engenheiro consultor especial</v>
      </c>
      <c r="F286" s="413" t="str">
        <f t="shared" si="139"/>
        <v>mês</v>
      </c>
      <c r="G286" s="326">
        <f>IF($D286="PESSOAL",VLOOKUP($C286,'TC 10-2023'!$B:$Z,25,FALSE), IF($D286="EQUIPAMENTOS",VLOOKUP($C286,Equip.Info!$A:$I,8,FALSE),VLOOKUP($C286,Mat.Info!$A:$H,8,FALSE)))</f>
        <v>37906.68</v>
      </c>
      <c r="H286" s="326">
        <f>'4.6.AP'!H22</f>
        <v>0.5</v>
      </c>
      <c r="I286" s="328">
        <f t="shared" si="140"/>
        <v>18953.34</v>
      </c>
      <c r="J286" s="328">
        <f ca="1">I286*(1+Dados!$C$17)</f>
        <v>27406.529640000001</v>
      </c>
      <c r="K286" s="418" t="str">
        <f>"DNIT "&amp;TEXT(Dados!$C$16,"mmm/aa")</f>
        <v>DNIT out/23</v>
      </c>
      <c r="L286" s="333" t="str">
        <f>'4.6.AP'!G22&amp;" "&amp;E286&amp;" por mês"</f>
        <v>1 Engenheiro consultor especial por mês</v>
      </c>
    </row>
    <row r="287" spans="1:13" s="331" customFormat="1" ht="15">
      <c r="A287" s="442" t="str">
        <f t="shared" si="127"/>
        <v>4.6</v>
      </c>
      <c r="B287" s="338"/>
      <c r="C287" s="339" t="str">
        <f>'4.6.AP'!B23</f>
        <v>P8067</v>
      </c>
      <c r="D287" s="324" t="s">
        <v>350</v>
      </c>
      <c r="E287" s="325" t="str">
        <f>IF(D287="PESSOAL",VLOOKUP($C287,'TC 10-2023'!$B:$Z,2,FALSE), IF(D287="EQUIPAMENTOS",VLOOKUP($C287,Equip.Info!A:I,2,FALSE),VLOOKUP($C287,Mat.Info!A:H,2,FALSE)))</f>
        <v>Engenheiro de projetos sênior</v>
      </c>
      <c r="F287" s="413" t="str">
        <f t="shared" si="139"/>
        <v>mês</v>
      </c>
      <c r="G287" s="326">
        <f>IF($D287="PESSOAL",VLOOKUP($C287,'TC 10-2023'!$B:$Z,25,FALSE), IF($D287="EQUIPAMENTOS",VLOOKUP($C287,Equip.Info!$A:$I,8,FALSE),VLOOKUP($C287,Mat.Info!$A:$H,8,FALSE)))</f>
        <v>27604.86</v>
      </c>
      <c r="H287" s="326">
        <f>'4.6.AP'!H23</f>
        <v>1</v>
      </c>
      <c r="I287" s="328">
        <f t="shared" si="140"/>
        <v>27604.86</v>
      </c>
      <c r="J287" s="328">
        <f ca="1">I287*(1+Dados!$C$17)</f>
        <v>39916.627560000001</v>
      </c>
      <c r="K287" s="418" t="str">
        <f>"DNIT "&amp;TEXT(Dados!$C$16,"mmm/aa")</f>
        <v>DNIT out/23</v>
      </c>
      <c r="L287" s="333" t="str">
        <f>'4.6.AP'!G23&amp;" "&amp;E287&amp;" por mês"</f>
        <v>2 Engenheiro de projetos sênior por mês</v>
      </c>
    </row>
    <row r="288" spans="1:13" s="331" customFormat="1" ht="25.5">
      <c r="A288" s="442" t="str">
        <f>A287</f>
        <v>4.6</v>
      </c>
      <c r="B288" s="340"/>
      <c r="C288" s="339" t="str">
        <f>'2.9.ADJR'!$B$12</f>
        <v>EQSF002</v>
      </c>
      <c r="D288" s="324" t="s">
        <v>352</v>
      </c>
      <c r="E288" s="325" t="str">
        <f>IF(D288="PESSOAL",VLOOKUP($C288,'TC 10-2023'!$B:$Z,2,FALSE), IF(D288="EQUIPAMENTOS",VLOOKUP($C288,Equip.Info!A:I,2,FALSE),VLOOKUP($C288,Mat.Info!A:H,2,FALSE)))</f>
        <v>Laptop completo, processador Intel Core i5, 16GB memória, Resolução 3.840x2.160 (4K), PV GPU de 4GB e Sistema Operacional.</v>
      </c>
      <c r="F288" s="413" t="str">
        <f t="shared" si="138"/>
        <v>h</v>
      </c>
      <c r="G288" s="326">
        <f>IF($D288="PESSOAL",VLOOKUP($C288,'TC 10-2023'!$B:$Z,25,FALSE), IF($D288="EQUIPAMENTOS",VLOOKUP($C288,Equip.Info!$A:$I,8,FALSE),VLOOKUP($C288,Mat.Info!$A:$H,8,FALSE)))</f>
        <v>0.217</v>
      </c>
      <c r="H288" s="329">
        <f>'4.6.AP'!$F$12</f>
        <v>729.96</v>
      </c>
      <c r="I288" s="328">
        <f t="shared" ref="I288:I289" si="141">G288*H288</f>
        <v>158.40132</v>
      </c>
      <c r="J288" s="328">
        <f ca="1">I288*(1+Dados!$C$17)</f>
        <v>229.04830871999999</v>
      </c>
      <c r="K288" s="418" t="s">
        <v>667</v>
      </c>
      <c r="L288" s="333" t="s">
        <v>567</v>
      </c>
    </row>
    <row r="289" spans="1:13" s="331" customFormat="1" ht="15">
      <c r="A289" s="442" t="str">
        <f t="shared" si="127"/>
        <v>4.6</v>
      </c>
      <c r="B289" s="340"/>
      <c r="C289" s="339" t="str">
        <f>'2.9.ADJR'!$B$31</f>
        <v>MTSF001</v>
      </c>
      <c r="D289" s="324" t="s">
        <v>448</v>
      </c>
      <c r="E289" s="325" t="str">
        <f>IF(D289="PESSOAL",VLOOKUP($C289,'TC 10-2023'!$B:$Z,2,FALSE), IF(D289="EQUIPAMENTOS",VLOOKUP($C289,Equip.Info!A:I,2,FALSE),VLOOKUP($C289,Mat.Info!A:H,2,FALSE)))</f>
        <v>Pacote Microsoft 365 Business Basic</v>
      </c>
      <c r="F289" s="413" t="str">
        <f t="shared" si="138"/>
        <v>h</v>
      </c>
      <c r="G289" s="326">
        <f>IF($D289="PESSOAL",VLOOKUP($C289,'TC 10-2023'!$B:$Z,25,FALSE), IF($D289="EQUIPAMENTOS",VLOOKUP($C289,Equip.Info!$A:$I,8,FALSE),VLOOKUP($C289,Mat.Info!$A:$H,8,FALSE)))</f>
        <v>0.16250000000000001</v>
      </c>
      <c r="H289" s="329">
        <f>'4.6.AP'!$I$31</f>
        <v>729.96</v>
      </c>
      <c r="I289" s="328">
        <f t="shared" si="141"/>
        <v>118.61850000000001</v>
      </c>
      <c r="J289" s="328">
        <f ca="1">I289*(1+Dados!$C$17)</f>
        <v>171.52235100000001</v>
      </c>
      <c r="K289" s="418" t="s">
        <v>667</v>
      </c>
      <c r="L289" s="333" t="s">
        <v>691</v>
      </c>
    </row>
    <row r="290" spans="1:13" s="331" customFormat="1" ht="33.75">
      <c r="A290" s="442" t="str">
        <f t="shared" si="127"/>
        <v>4.6</v>
      </c>
      <c r="B290" s="340"/>
      <c r="C290" s="428" t="s">
        <v>550</v>
      </c>
      <c r="D290" s="324" t="s">
        <v>526</v>
      </c>
      <c r="E290" s="325" t="s">
        <v>547</v>
      </c>
      <c r="F290" s="413" t="s">
        <v>544</v>
      </c>
      <c r="G290" s="326">
        <f>I290/H290</f>
        <v>564.66666666666663</v>
      </c>
      <c r="H290" s="327">
        <f>IF(D290="PASSAGENS",SUMIFS('Diárias e Passagens'!K:K,'Diárias e Passagens'!A:A,A290),SUMIFS('Diárias e Passagens'!N:N,'Diárias e Passagens'!A:A,A290))</f>
        <v>4</v>
      </c>
      <c r="I290" s="328">
        <f>IF(D290="PASSAGENS",SUMIFS('Diárias e Passagens'!M:M,'Diárias e Passagens'!A:A,A290),SUMIFS('Diárias e Passagens'!P:P,'Diárias e Passagens'!A:A,A290))</f>
        <v>2258.6666666666665</v>
      </c>
      <c r="J290" s="328">
        <f ca="1">I290*(1+Dados!$C$17)</f>
        <v>3266.0319999999997</v>
      </c>
      <c r="K290" s="419" t="s">
        <v>546</v>
      </c>
      <c r="L290" s="333" t="s">
        <v>563</v>
      </c>
    </row>
    <row r="291" spans="1:13" ht="33.75">
      <c r="A291" s="442" t="str">
        <f t="shared" si="127"/>
        <v>4.6</v>
      </c>
      <c r="B291" s="340"/>
      <c r="C291" s="428" t="s">
        <v>550</v>
      </c>
      <c r="D291" s="324" t="s">
        <v>351</v>
      </c>
      <c r="E291" s="325" t="s">
        <v>548</v>
      </c>
      <c r="F291" s="413" t="s">
        <v>543</v>
      </c>
      <c r="G291" s="326">
        <f>I291/H291</f>
        <v>516.5</v>
      </c>
      <c r="H291" s="327">
        <f>IF(D291="PASSAGENS",SUMIFS('Diárias e Passagens'!K:K,'Diárias e Passagens'!A:A,A291),SUMIFS('Diárias e Passagens'!N:N,'Diárias e Passagens'!A:A,A291))</f>
        <v>10</v>
      </c>
      <c r="I291" s="328">
        <f>IF(D291="PASSAGENS",SUMIFS('Diárias e Passagens'!M:M,'Diárias e Passagens'!A:A,A291),SUMIFS('Diárias e Passagens'!P:P,'Diárias e Passagens'!A:A,A291))</f>
        <v>5165</v>
      </c>
      <c r="J291" s="328">
        <f ca="1">I291*(1+Dados!$C$17)</f>
        <v>7468.59</v>
      </c>
      <c r="K291" s="419" t="str">
        <f>Diárias!$I$6</f>
        <v>DECRETO Nº 11.872, DE 29 DE DEZEMBRO DE 2023</v>
      </c>
      <c r="L291" s="333" t="s">
        <v>564</v>
      </c>
      <c r="M291" s="331"/>
    </row>
    <row r="292" spans="1:13">
      <c r="A292" s="442" t="str">
        <f>A291</f>
        <v>4.6</v>
      </c>
      <c r="B292" s="340"/>
      <c r="C292" s="440" t="str">
        <f>'Inspeção-Veículo'!B17</f>
        <v>E8889</v>
      </c>
      <c r="D292" s="324" t="s">
        <v>561</v>
      </c>
      <c r="E292" s="325" t="str">
        <f>VLOOKUP(A292,'Inspeção-Veículo'!$A$9:$O$17,4,0)</f>
        <v>Veículo leve - 53 kW (sem motorista)</v>
      </c>
      <c r="F292" s="413" t="s">
        <v>299</v>
      </c>
      <c r="G292" s="326"/>
      <c r="H292" s="329"/>
      <c r="I292" s="328">
        <f>VLOOKUP(A292,'Inspeção-Veículo'!$A$9:$O$17,15,0)</f>
        <v>634.62720000000002</v>
      </c>
      <c r="J292" s="328">
        <f ca="1">I292*(1+Dados!$C$17)</f>
        <v>917.67093120000004</v>
      </c>
      <c r="K292" s="418" t="str">
        <f>"DNIT "&amp;TEXT(Dados!$C$16,"mmm/aa")</f>
        <v>DNIT out/23</v>
      </c>
      <c r="L292" s="333" t="str">
        <f>"Custo produtivo e improdutivo DNIT, considerando "&amp;'Inspeção-Veículo'!I242&amp;" de utilização produtiva."</f>
        <v>Custo produtivo e improdutivo DNIT, considerando  de utilização produtiva.</v>
      </c>
    </row>
    <row r="293" spans="1:13" s="331" customFormat="1" ht="15">
      <c r="A293" s="442" t="str">
        <f>B293</f>
        <v>4.7</v>
      </c>
      <c r="B293" s="342" t="str">
        <f>'Cronograma'!B44</f>
        <v>4.7</v>
      </c>
      <c r="C293" s="342" t="str">
        <f>'Cronograma'!C44</f>
        <v>Apoio a subsídios a questionamentos do órgão de controle externo</v>
      </c>
      <c r="D293" s="319"/>
      <c r="E293" s="320"/>
      <c r="F293" s="412"/>
      <c r="G293" s="321"/>
      <c r="H293" s="322"/>
      <c r="I293" s="323">
        <f>SUM(I294:I301)</f>
        <v>52444.899657749993</v>
      </c>
      <c r="J293" s="323">
        <f ca="1">SUM(J294:J301)</f>
        <v>75835.324905106492</v>
      </c>
      <c r="K293" s="420"/>
      <c r="L293" s="425"/>
    </row>
    <row r="294" spans="1:13" s="331" customFormat="1" ht="15">
      <c r="A294" s="442" t="str">
        <f>A293</f>
        <v>4.7</v>
      </c>
      <c r="B294" s="338"/>
      <c r="C294" s="339" t="str">
        <f>'4.7.TCU'!B18</f>
        <v>P8044</v>
      </c>
      <c r="D294" s="324" t="s">
        <v>350</v>
      </c>
      <c r="E294" s="325" t="str">
        <f>IF(D294="PESSOAL",VLOOKUP($C294,'TC 10-2023'!$B:$Z,2,FALSE), IF(D294="EQUIPAMENTOS",VLOOKUP($C294,Equip.Info!A:I,2,FALSE),VLOOKUP($C294,Mat.Info!A:H,2,FALSE)))</f>
        <v xml:space="preserve">Coordenador ambiental </v>
      </c>
      <c r="F294" s="413" t="str">
        <f t="shared" ref="F294:F301" si="142">IF(D294="PESSOAL","mês", IF(OR(D294="EQUIPAMENTOS",D294="MATERIAL"),"h",""))</f>
        <v>mês</v>
      </c>
      <c r="G294" s="326">
        <f>IF($D294="PESSOAL",VLOOKUP($C294,'TC 10-2023'!$B:$Z,25,FALSE), IF($D294="EQUIPAMENTOS",VLOOKUP($C294,Equip.Info!$A:$I,8,FALSE),VLOOKUP($C294,Mat.Info!$A:$H,8,FALSE)))</f>
        <v>31481.62</v>
      </c>
      <c r="H294" s="326">
        <f>'4.7.TCU'!H18</f>
        <v>0.15</v>
      </c>
      <c r="I294" s="328">
        <f>G294*H294</f>
        <v>4722.2429999999995</v>
      </c>
      <c r="J294" s="328">
        <f ca="1">I294*(1+Dados!$C$17)</f>
        <v>6828.3633779999991</v>
      </c>
      <c r="K294" s="418" t="str">
        <f>"DNIT "&amp;TEXT(Dados!$C$16,"mmm/aa")</f>
        <v>DNIT out/23</v>
      </c>
      <c r="L294" s="333" t="str">
        <f>'4.7.TCU'!G18&amp;" "&amp;E294&amp;" por mês"</f>
        <v>1 Coordenador ambiental  por mês</v>
      </c>
    </row>
    <row r="295" spans="1:13" s="331" customFormat="1" ht="15">
      <c r="A295" s="442" t="str">
        <f t="shared" si="127"/>
        <v>4.7</v>
      </c>
      <c r="B295" s="338"/>
      <c r="C295" s="339" t="str">
        <f>'4.7.TCU'!B19</f>
        <v>P8061</v>
      </c>
      <c r="D295" s="324" t="s">
        <v>350</v>
      </c>
      <c r="E295" s="325" t="str">
        <f>IF(D295="PESSOAL",VLOOKUP($C295,'TC 10-2023'!$B:$Z,2,FALSE), IF(D295="EQUIPAMENTOS",VLOOKUP($C295,Equip.Info!A:I,2,FALSE),VLOOKUP($C295,Mat.Info!A:H,2,FALSE)))</f>
        <v>Engenheiro coordenador</v>
      </c>
      <c r="F295" s="413" t="str">
        <f t="shared" ref="F295:F299" si="143">IF(D295="PESSOAL","mês", IF(OR(D295="EQUIPAMENTOS",D295="MATERIAL"),"h",""))</f>
        <v>mês</v>
      </c>
      <c r="G295" s="326">
        <f>IF($D295="PESSOAL",VLOOKUP($C295,'TC 10-2023'!$B:$Z,25,FALSE), IF($D295="EQUIPAMENTOS",VLOOKUP($C295,Equip.Info!$A:$I,8,FALSE),VLOOKUP($C295,Mat.Info!$A:$H,8,FALSE)))</f>
        <v>31759.96</v>
      </c>
      <c r="H295" s="326">
        <f>'4.7.TCU'!H19</f>
        <v>0.15</v>
      </c>
      <c r="I295" s="328">
        <f t="shared" ref="I295:I299" si="144">G295*H295</f>
        <v>4763.9939999999997</v>
      </c>
      <c r="J295" s="328">
        <f ca="1">I295*(1+Dados!$C$17)</f>
        <v>6888.7353239999993</v>
      </c>
      <c r="K295" s="418" t="str">
        <f>"DNIT "&amp;TEXT(Dados!$C$16,"mmm/aa")</f>
        <v>DNIT out/23</v>
      </c>
      <c r="L295" s="333" t="str">
        <f>'4.7.TCU'!G19&amp;" "&amp;E295&amp;" por mês"</f>
        <v>1 Engenheiro coordenador por mês</v>
      </c>
    </row>
    <row r="296" spans="1:13" ht="15">
      <c r="A296" s="442" t="str">
        <f t="shared" si="127"/>
        <v>4.7</v>
      </c>
      <c r="B296" s="338"/>
      <c r="C296" s="339" t="str">
        <f>'4.7.TCU'!B20</f>
        <v>P8003</v>
      </c>
      <c r="D296" s="324" t="s">
        <v>350</v>
      </c>
      <c r="E296" s="325" t="str">
        <f>IF(D296="PESSOAL",VLOOKUP($C296,'TC 10-2023'!$B:$Z,2,FALSE), IF(D296="EQUIPAMENTOS",VLOOKUP($C296,Equip.Info!A:I,2,FALSE),VLOOKUP($C296,Mat.Info!A:H,2,FALSE)))</f>
        <v>Advogado sênior</v>
      </c>
      <c r="F296" s="413" t="str">
        <f t="shared" si="143"/>
        <v>mês</v>
      </c>
      <c r="G296" s="326">
        <f>IF($D296="PESSOAL",VLOOKUP($C296,'TC 10-2023'!$B:$Z,25,FALSE), IF($D296="EQUIPAMENTOS",VLOOKUP($C296,Equip.Info!$A:$I,8,FALSE),VLOOKUP($C296,Mat.Info!$A:$H,8,FALSE)))</f>
        <v>19214.900000000001</v>
      </c>
      <c r="H296" s="326">
        <f>'4.7.TCU'!H20</f>
        <v>0.5</v>
      </c>
      <c r="I296" s="328">
        <f t="shared" si="144"/>
        <v>9607.4500000000007</v>
      </c>
      <c r="J296" s="328">
        <f ca="1">I296*(1+Dados!$C$17)</f>
        <v>13892.3727</v>
      </c>
      <c r="K296" s="418" t="str">
        <f>"DNIT "&amp;TEXT(Dados!$C$16,"mmm/aa")</f>
        <v>DNIT out/23</v>
      </c>
      <c r="L296" s="333" t="str">
        <f>'4.7.TCU'!G20&amp;" "&amp;E296&amp;" por mês"</f>
        <v>1 Advogado sênior por mês</v>
      </c>
      <c r="M296" s="331"/>
    </row>
    <row r="297" spans="1:13" ht="15">
      <c r="A297" s="442" t="str">
        <f t="shared" si="127"/>
        <v>4.7</v>
      </c>
      <c r="B297" s="338"/>
      <c r="C297" s="339" t="str">
        <f>'4.7.TCU'!B21</f>
        <v>P8047</v>
      </c>
      <c r="D297" s="324" t="s">
        <v>350</v>
      </c>
      <c r="E297" s="325" t="str">
        <f>IF(D297="PESSOAL",VLOOKUP($C297,'TC 10-2023'!$B:$Z,2,FALSE), IF(D297="EQUIPAMENTOS",VLOOKUP($C297,Equip.Info!A:I,2,FALSE),VLOOKUP($C297,Mat.Info!A:H,2,FALSE)))</f>
        <v>Economista sênior</v>
      </c>
      <c r="F297" s="413" t="str">
        <f t="shared" si="143"/>
        <v>mês</v>
      </c>
      <c r="G297" s="326">
        <f>IF($D297="PESSOAL",VLOOKUP($C297,'TC 10-2023'!$B:$Z,25,FALSE), IF($D297="EQUIPAMENTOS",VLOOKUP($C297,Equip.Info!$A:$I,8,FALSE),VLOOKUP($C297,Mat.Info!$A:$H,8,FALSE)))</f>
        <v>19860.28</v>
      </c>
      <c r="H297" s="326">
        <f>'4.7.TCU'!H21</f>
        <v>0.5</v>
      </c>
      <c r="I297" s="328">
        <f t="shared" si="144"/>
        <v>9930.14</v>
      </c>
      <c r="J297" s="328">
        <f ca="1">I297*(1+Dados!$C$17)</f>
        <v>14358.982439999998</v>
      </c>
      <c r="K297" s="418" t="str">
        <f>"DNIT "&amp;TEXT(Dados!$C$16,"mmm/aa")</f>
        <v>DNIT out/23</v>
      </c>
      <c r="L297" s="333" t="str">
        <f>'4.7.TCU'!G21&amp;" "&amp;E297&amp;" por mês"</f>
        <v>1 Economista sênior por mês</v>
      </c>
      <c r="M297" s="331"/>
    </row>
    <row r="298" spans="1:13" s="331" customFormat="1" ht="15">
      <c r="A298" s="442" t="str">
        <f t="shared" si="127"/>
        <v>4.7</v>
      </c>
      <c r="B298" s="338"/>
      <c r="C298" s="339" t="str">
        <f>'4.7.TCU'!B22</f>
        <v>P8060</v>
      </c>
      <c r="D298" s="324" t="s">
        <v>350</v>
      </c>
      <c r="E298" s="325" t="str">
        <f>IF(D298="PESSOAL",VLOOKUP($C298,'TC 10-2023'!$B:$Z,2,FALSE), IF(D298="EQUIPAMENTOS",VLOOKUP($C298,Equip.Info!A:I,2,FALSE),VLOOKUP($C298,Mat.Info!A:H,2,FALSE)))</f>
        <v>Engenheiro consultor especial</v>
      </c>
      <c r="F298" s="413" t="str">
        <f t="shared" si="143"/>
        <v>mês</v>
      </c>
      <c r="G298" s="326">
        <f>IF($D298="PESSOAL",VLOOKUP($C298,'TC 10-2023'!$B:$Z,25,FALSE), IF($D298="EQUIPAMENTOS",VLOOKUP($C298,Equip.Info!$A:$I,8,FALSE),VLOOKUP($C298,Mat.Info!$A:$H,8,FALSE)))</f>
        <v>37906.68</v>
      </c>
      <c r="H298" s="326">
        <f>'4.7.TCU'!H22</f>
        <v>0.25</v>
      </c>
      <c r="I298" s="328">
        <f t="shared" si="144"/>
        <v>9476.67</v>
      </c>
      <c r="J298" s="328">
        <f ca="1">I298*(1+Dados!$C$17)</f>
        <v>13703.26482</v>
      </c>
      <c r="K298" s="418" t="str">
        <f>"DNIT "&amp;TEXT(Dados!$C$16,"mmm/aa")</f>
        <v>DNIT out/23</v>
      </c>
      <c r="L298" s="333" t="str">
        <f>'4.7.TCU'!G22&amp;" "&amp;E298&amp;" por mês"</f>
        <v>1 Engenheiro consultor especial por mês</v>
      </c>
    </row>
    <row r="299" spans="1:13" s="331" customFormat="1" ht="15">
      <c r="A299" s="442" t="str">
        <f t="shared" si="127"/>
        <v>4.7</v>
      </c>
      <c r="B299" s="338"/>
      <c r="C299" s="339" t="str">
        <f>'4.7.TCU'!B23</f>
        <v>P8067</v>
      </c>
      <c r="D299" s="324" t="s">
        <v>350</v>
      </c>
      <c r="E299" s="325" t="str">
        <f>IF(D299="PESSOAL",VLOOKUP($C299,'TC 10-2023'!$B:$Z,2,FALSE), IF(D299="EQUIPAMENTOS",VLOOKUP($C299,Equip.Info!A:I,2,FALSE),VLOOKUP($C299,Mat.Info!A:H,2,FALSE)))</f>
        <v>Engenheiro de projetos sênior</v>
      </c>
      <c r="F299" s="413" t="str">
        <f t="shared" si="143"/>
        <v>mês</v>
      </c>
      <c r="G299" s="326">
        <f>IF($D299="PESSOAL",VLOOKUP($C299,'TC 10-2023'!$B:$Z,25,FALSE), IF($D299="EQUIPAMENTOS",VLOOKUP($C299,Equip.Info!$A:$I,8,FALSE),VLOOKUP($C299,Mat.Info!$A:$H,8,FALSE)))</f>
        <v>27604.86</v>
      </c>
      <c r="H299" s="326">
        <f>'4.7.TCU'!H23</f>
        <v>0.5</v>
      </c>
      <c r="I299" s="328">
        <f t="shared" si="144"/>
        <v>13802.43</v>
      </c>
      <c r="J299" s="328">
        <f ca="1">I299*(1+Dados!$C$17)</f>
        <v>19958.31378</v>
      </c>
      <c r="K299" s="418" t="str">
        <f>"DNIT "&amp;TEXT(Dados!$C$16,"mmm/aa")</f>
        <v>DNIT out/23</v>
      </c>
      <c r="L299" s="333" t="str">
        <f>'4.7.TCU'!G23&amp;" "&amp;E299&amp;" por mês"</f>
        <v>2 Engenheiro de projetos sênior por mês</v>
      </c>
    </row>
    <row r="300" spans="1:13" s="331" customFormat="1" ht="25.5">
      <c r="A300" s="442" t="str">
        <f>A299</f>
        <v>4.7</v>
      </c>
      <c r="B300" s="340"/>
      <c r="C300" s="339" t="str">
        <f>'2.9.ADJR'!$B$12</f>
        <v>EQSF002</v>
      </c>
      <c r="D300" s="324" t="s">
        <v>352</v>
      </c>
      <c r="E300" s="325" t="str">
        <f>IF(D300="PESSOAL",VLOOKUP($C300,'TC 10-2023'!$B:$Z,2,FALSE), IF(D300="EQUIPAMENTOS",VLOOKUP($C300,Equip.Info!A:I,2,FALSE),VLOOKUP($C300,Mat.Info!A:H,2,FALSE)))</f>
        <v>Laptop completo, processador Intel Core i5, 16GB memória, Resolução 3.840x2.160 (4K), PV GPU de 4GB e Sistema Operacional.</v>
      </c>
      <c r="F300" s="413" t="str">
        <f t="shared" si="142"/>
        <v>h</v>
      </c>
      <c r="G300" s="326">
        <f>IF($D300="PESSOAL",VLOOKUP($C300,'TC 10-2023'!$B:$Z,25,FALSE), IF($D300="EQUIPAMENTOS",VLOOKUP($C300,Equip.Info!$A:$I,8,FALSE),VLOOKUP($C300,Mat.Info!$A:$H,8,FALSE)))</f>
        <v>0.217</v>
      </c>
      <c r="H300" s="329">
        <f>'4.7.TCU'!$F$12</f>
        <v>374.10450000000003</v>
      </c>
      <c r="I300" s="328">
        <f t="shared" ref="I300:I301" si="145">G300*H300</f>
        <v>81.180676500000004</v>
      </c>
      <c r="J300" s="328">
        <f ca="1">I300*(1+Dados!$C$17)</f>
        <v>117.387258219</v>
      </c>
      <c r="K300" s="418" t="s">
        <v>667</v>
      </c>
      <c r="L300" s="333" t="s">
        <v>567</v>
      </c>
    </row>
    <row r="301" spans="1:13" s="331" customFormat="1" ht="15">
      <c r="A301" s="442" t="str">
        <f t="shared" si="127"/>
        <v>4.7</v>
      </c>
      <c r="B301" s="340"/>
      <c r="C301" s="339" t="str">
        <f>'2.9.ADJR'!$B$31</f>
        <v>MTSF001</v>
      </c>
      <c r="D301" s="324" t="s">
        <v>448</v>
      </c>
      <c r="E301" s="325" t="str">
        <f>IF(D301="PESSOAL",VLOOKUP($C301,'TC 10-2023'!$B:$Z,2,FALSE), IF(D301="EQUIPAMENTOS",VLOOKUP($C301,Equip.Info!A:I,2,FALSE),VLOOKUP($C301,Mat.Info!A:H,2,FALSE)))</f>
        <v>Pacote Microsoft 365 Business Basic</v>
      </c>
      <c r="F301" s="413" t="str">
        <f t="shared" si="142"/>
        <v>h</v>
      </c>
      <c r="G301" s="326">
        <f>IF($D301="PESSOAL",VLOOKUP($C301,'TC 10-2023'!$B:$Z,25,FALSE), IF($D301="EQUIPAMENTOS",VLOOKUP($C301,Equip.Info!$A:$I,8,FALSE),VLOOKUP($C301,Mat.Info!$A:$H,8,FALSE)))</f>
        <v>0.16250000000000001</v>
      </c>
      <c r="H301" s="329">
        <f>'4.7.TCU'!$I$31</f>
        <v>374.10450000000003</v>
      </c>
      <c r="I301" s="328">
        <f t="shared" si="145"/>
        <v>60.791981250000006</v>
      </c>
      <c r="J301" s="328">
        <f ca="1">I301*(1+Dados!$C$17)</f>
        <v>87.905204887500005</v>
      </c>
      <c r="K301" s="418" t="s">
        <v>667</v>
      </c>
      <c r="L301" s="333" t="s">
        <v>691</v>
      </c>
    </row>
    <row r="302" spans="1:13" s="331" customFormat="1" ht="15">
      <c r="A302" s="442" t="str">
        <f>B302</f>
        <v>4.8</v>
      </c>
      <c r="B302" s="342" t="str">
        <f>'Cronograma'!B45</f>
        <v>4.8</v>
      </c>
      <c r="C302" s="342" t="str">
        <f>'Cronograma'!C45</f>
        <v>Apoio a subsídios a questionamentos do processo licitatório</v>
      </c>
      <c r="D302" s="319"/>
      <c r="E302" s="320"/>
      <c r="F302" s="412"/>
      <c r="G302" s="321"/>
      <c r="H302" s="322"/>
      <c r="I302" s="323">
        <f>SUM(I303:I310)</f>
        <v>32553.943945999999</v>
      </c>
      <c r="J302" s="323">
        <f ca="1">SUM(J303:J310)</f>
        <v>47073.002945916</v>
      </c>
      <c r="K302" s="420"/>
      <c r="L302" s="425"/>
    </row>
    <row r="303" spans="1:13" s="331" customFormat="1" ht="15">
      <c r="A303" s="442" t="str">
        <f>A302</f>
        <v>4.8</v>
      </c>
      <c r="B303" s="338"/>
      <c r="C303" s="339" t="str">
        <f>'4.8.Edital'!B18</f>
        <v>P8044</v>
      </c>
      <c r="D303" s="324" t="s">
        <v>350</v>
      </c>
      <c r="E303" s="325" t="str">
        <f>IF(D303="PESSOAL",VLOOKUP($C303,'TC 10-2023'!$B:$Z,2,FALSE), IF(D303="EQUIPAMENTOS",VLOOKUP($C303,Equip.Info!A:I,2,FALSE),VLOOKUP($C303,Mat.Info!A:H,2,FALSE)))</f>
        <v xml:space="preserve">Coordenador ambiental </v>
      </c>
      <c r="F303" s="413" t="str">
        <f t="shared" ref="F303:F310" si="146">IF(D303="PESSOAL","mês", IF(OR(D303="EQUIPAMENTOS",D303="MATERIAL"),"h",""))</f>
        <v>mês</v>
      </c>
      <c r="G303" s="326">
        <f>IF($D303="PESSOAL",VLOOKUP($C303,'TC 10-2023'!$B:$Z,25,FALSE), IF($D303="EQUIPAMENTOS",VLOOKUP($C303,Equip.Info!$A:$I,8,FALSE),VLOOKUP($C303,Mat.Info!$A:$H,8,FALSE)))</f>
        <v>31481.62</v>
      </c>
      <c r="H303" s="326">
        <f>'4.8.Edital'!H18</f>
        <v>0.1</v>
      </c>
      <c r="I303" s="328">
        <f>G303*H303</f>
        <v>3148.1620000000003</v>
      </c>
      <c r="J303" s="328">
        <f ca="1">I303*(1+Dados!$C$17)</f>
        <v>4552.242252</v>
      </c>
      <c r="K303" s="418" t="str">
        <f>"DNIT "&amp;TEXT(Dados!$C$16,"mmm/aa")</f>
        <v>DNIT out/23</v>
      </c>
      <c r="L303" s="333" t="str">
        <f>'4.8.Edital'!G18&amp;" "&amp;E303&amp;" por mês"</f>
        <v>1 Coordenador ambiental  por mês</v>
      </c>
    </row>
    <row r="304" spans="1:13" s="331" customFormat="1" ht="15">
      <c r="A304" s="442" t="str">
        <f t="shared" si="127"/>
        <v>4.8</v>
      </c>
      <c r="B304" s="338"/>
      <c r="C304" s="339" t="str">
        <f>'4.8.Edital'!B19</f>
        <v>P8061</v>
      </c>
      <c r="D304" s="324" t="s">
        <v>350</v>
      </c>
      <c r="E304" s="325" t="str">
        <f>IF(D304="PESSOAL",VLOOKUP($C304,'TC 10-2023'!$B:$Z,2,FALSE), IF(D304="EQUIPAMENTOS",VLOOKUP($C304,Equip.Info!A:I,2,FALSE),VLOOKUP($C304,Mat.Info!A:H,2,FALSE)))</f>
        <v>Engenheiro coordenador</v>
      </c>
      <c r="F304" s="413" t="str">
        <f t="shared" ref="F304:F308" si="147">IF(D304="PESSOAL","mês", IF(OR(D304="EQUIPAMENTOS",D304="MATERIAL"),"h",""))</f>
        <v>mês</v>
      </c>
      <c r="G304" s="326">
        <f>IF($D304="PESSOAL",VLOOKUP($C304,'TC 10-2023'!$B:$Z,25,FALSE), IF($D304="EQUIPAMENTOS",VLOOKUP($C304,Equip.Info!$A:$I,8,FALSE),VLOOKUP($C304,Mat.Info!$A:$H,8,FALSE)))</f>
        <v>31759.96</v>
      </c>
      <c r="H304" s="326">
        <f>'4.8.Edital'!H19</f>
        <v>0.1</v>
      </c>
      <c r="I304" s="328">
        <f t="shared" ref="I304:I308" si="148">G304*H304</f>
        <v>3175.9960000000001</v>
      </c>
      <c r="J304" s="328">
        <f ca="1">I304*(1+Dados!$C$17)</f>
        <v>4592.4902160000001</v>
      </c>
      <c r="K304" s="418" t="str">
        <f>"DNIT "&amp;TEXT(Dados!$C$16,"mmm/aa")</f>
        <v>DNIT out/23</v>
      </c>
      <c r="L304" s="333" t="str">
        <f>'4.8.Edital'!G19&amp;" "&amp;E304&amp;" por mês"</f>
        <v>1 Engenheiro coordenador por mês</v>
      </c>
    </row>
    <row r="305" spans="1:13" ht="15">
      <c r="A305" s="442" t="str">
        <f t="shared" si="127"/>
        <v>4.8</v>
      </c>
      <c r="B305" s="338"/>
      <c r="C305" s="339" t="str">
        <f>'4.8.Edital'!B20</f>
        <v>P8003</v>
      </c>
      <c r="D305" s="324" t="s">
        <v>350</v>
      </c>
      <c r="E305" s="325" t="str">
        <f>IF(D305="PESSOAL",VLOOKUP($C305,'TC 10-2023'!$B:$Z,2,FALSE), IF(D305="EQUIPAMENTOS",VLOOKUP($C305,Equip.Info!A:I,2,FALSE),VLOOKUP($C305,Mat.Info!A:H,2,FALSE)))</f>
        <v>Advogado sênior</v>
      </c>
      <c r="F305" s="413" t="str">
        <f t="shared" si="147"/>
        <v>mês</v>
      </c>
      <c r="G305" s="326">
        <f>IF($D305="PESSOAL",VLOOKUP($C305,'TC 10-2023'!$B:$Z,25,FALSE), IF($D305="EQUIPAMENTOS",VLOOKUP($C305,Equip.Info!$A:$I,8,FALSE),VLOOKUP($C305,Mat.Info!$A:$H,8,FALSE)))</f>
        <v>19214.900000000001</v>
      </c>
      <c r="H305" s="326">
        <f>'4.8.Edital'!H20</f>
        <v>0.25</v>
      </c>
      <c r="I305" s="328">
        <f t="shared" si="148"/>
        <v>4803.7250000000004</v>
      </c>
      <c r="J305" s="328">
        <f ca="1">I305*(1+Dados!$C$17)</f>
        <v>6946.1863499999999</v>
      </c>
      <c r="K305" s="418" t="str">
        <f>"DNIT "&amp;TEXT(Dados!$C$16,"mmm/aa")</f>
        <v>DNIT out/23</v>
      </c>
      <c r="L305" s="333" t="str">
        <f>'4.8.Edital'!G20&amp;" "&amp;E305&amp;" por mês"</f>
        <v>1 Advogado sênior por mês</v>
      </c>
      <c r="M305" s="331"/>
    </row>
    <row r="306" spans="1:13" ht="15">
      <c r="A306" s="442" t="str">
        <f t="shared" si="127"/>
        <v>4.8</v>
      </c>
      <c r="B306" s="338"/>
      <c r="C306" s="339" t="str">
        <f>'4.8.Edital'!B21</f>
        <v>P8047</v>
      </c>
      <c r="D306" s="324" t="s">
        <v>350</v>
      </c>
      <c r="E306" s="325" t="str">
        <f>IF(D306="PESSOAL",VLOOKUP($C306,'TC 10-2023'!$B:$Z,2,FALSE), IF(D306="EQUIPAMENTOS",VLOOKUP($C306,Equip.Info!A:I,2,FALSE),VLOOKUP($C306,Mat.Info!A:H,2,FALSE)))</f>
        <v>Economista sênior</v>
      </c>
      <c r="F306" s="413" t="str">
        <f t="shared" si="147"/>
        <v>mês</v>
      </c>
      <c r="G306" s="326">
        <f>IF($D306="PESSOAL",VLOOKUP($C306,'TC 10-2023'!$B:$Z,25,FALSE), IF($D306="EQUIPAMENTOS",VLOOKUP($C306,Equip.Info!$A:$I,8,FALSE),VLOOKUP($C306,Mat.Info!$A:$H,8,FALSE)))</f>
        <v>19860.28</v>
      </c>
      <c r="H306" s="326">
        <f>'4.8.Edital'!H21</f>
        <v>0.25</v>
      </c>
      <c r="I306" s="328">
        <f t="shared" si="148"/>
        <v>4965.07</v>
      </c>
      <c r="J306" s="328">
        <f ca="1">I306*(1+Dados!$C$17)</f>
        <v>7179.491219999999</v>
      </c>
      <c r="K306" s="418" t="str">
        <f>"DNIT "&amp;TEXT(Dados!$C$16,"mmm/aa")</f>
        <v>DNIT out/23</v>
      </c>
      <c r="L306" s="333" t="str">
        <f>'4.8.Edital'!G21&amp;" "&amp;E306&amp;" por mês"</f>
        <v>1 Economista sênior por mês</v>
      </c>
      <c r="M306" s="331"/>
    </row>
    <row r="307" spans="1:13" s="331" customFormat="1" ht="15">
      <c r="A307" s="442" t="str">
        <f t="shared" si="127"/>
        <v>4.8</v>
      </c>
      <c r="B307" s="338"/>
      <c r="C307" s="339" t="str">
        <f>'4.8.Edital'!B22</f>
        <v>P8060</v>
      </c>
      <c r="D307" s="324" t="s">
        <v>350</v>
      </c>
      <c r="E307" s="325" t="str">
        <f>IF(D307="PESSOAL",VLOOKUP($C307,'TC 10-2023'!$B:$Z,2,FALSE), IF(D307="EQUIPAMENTOS",VLOOKUP($C307,Equip.Info!A:I,2,FALSE),VLOOKUP($C307,Mat.Info!A:H,2,FALSE)))</f>
        <v>Engenheiro consultor especial</v>
      </c>
      <c r="F307" s="413" t="str">
        <f t="shared" si="147"/>
        <v>mês</v>
      </c>
      <c r="G307" s="326">
        <f>IF($D307="PESSOAL",VLOOKUP($C307,'TC 10-2023'!$B:$Z,25,FALSE), IF($D307="EQUIPAMENTOS",VLOOKUP($C307,Equip.Info!$A:$I,8,FALSE),VLOOKUP($C307,Mat.Info!$A:$H,8,FALSE)))</f>
        <v>37906.68</v>
      </c>
      <c r="H307" s="326">
        <f>'4.8.Edital'!H22</f>
        <v>0.25</v>
      </c>
      <c r="I307" s="328">
        <f t="shared" si="148"/>
        <v>9476.67</v>
      </c>
      <c r="J307" s="328">
        <f ca="1">I307*(1+Dados!$C$17)</f>
        <v>13703.26482</v>
      </c>
      <c r="K307" s="418" t="str">
        <f>"DNIT "&amp;TEXT(Dados!$C$16,"mmm/aa")</f>
        <v>DNIT out/23</v>
      </c>
      <c r="L307" s="333" t="str">
        <f>'4.8.Edital'!G22&amp;" "&amp;E307&amp;" por mês"</f>
        <v>1 Engenheiro consultor especial por mês</v>
      </c>
    </row>
    <row r="308" spans="1:13" s="331" customFormat="1" ht="15">
      <c r="A308" s="442" t="str">
        <f t="shared" si="127"/>
        <v>4.8</v>
      </c>
      <c r="B308" s="338"/>
      <c r="C308" s="339" t="str">
        <f>'4.8.Edital'!B23</f>
        <v>P8067</v>
      </c>
      <c r="D308" s="324" t="s">
        <v>350</v>
      </c>
      <c r="E308" s="325" t="str">
        <f>IF(D308="PESSOAL",VLOOKUP($C308,'TC 10-2023'!$B:$Z,2,FALSE), IF(D308="EQUIPAMENTOS",VLOOKUP($C308,Equip.Info!A:I,2,FALSE),VLOOKUP($C308,Mat.Info!A:H,2,FALSE)))</f>
        <v>Engenheiro de projetos sênior</v>
      </c>
      <c r="F308" s="413" t="str">
        <f t="shared" si="147"/>
        <v>mês</v>
      </c>
      <c r="G308" s="326">
        <f>IF($D308="PESSOAL",VLOOKUP($C308,'TC 10-2023'!$B:$Z,25,FALSE), IF($D308="EQUIPAMENTOS",VLOOKUP($C308,Equip.Info!$A:$I,8,FALSE),VLOOKUP($C308,Mat.Info!$A:$H,8,FALSE)))</f>
        <v>27604.86</v>
      </c>
      <c r="H308" s="326">
        <f>'4.8.Edital'!H23</f>
        <v>0.25</v>
      </c>
      <c r="I308" s="328">
        <f t="shared" si="148"/>
        <v>6901.2150000000001</v>
      </c>
      <c r="J308" s="328">
        <f ca="1">I308*(1+Dados!$C$17)</f>
        <v>9979.1568900000002</v>
      </c>
      <c r="K308" s="418" t="str">
        <f>"DNIT "&amp;TEXT(Dados!$C$16,"mmm/aa")</f>
        <v>DNIT out/23</v>
      </c>
      <c r="L308" s="333" t="str">
        <f>'4.8.Edital'!G23&amp;" "&amp;E308&amp;" por mês"</f>
        <v>1 Engenheiro de projetos sênior por mês</v>
      </c>
    </row>
    <row r="309" spans="1:13" s="331" customFormat="1" ht="25.5">
      <c r="A309" s="442" t="str">
        <f t="shared" si="127"/>
        <v>4.8</v>
      </c>
      <c r="B309" s="340"/>
      <c r="C309" s="339" t="str">
        <f>'2.9.ADJR'!$B$12</f>
        <v>EQSF002</v>
      </c>
      <c r="D309" s="324" t="s">
        <v>352</v>
      </c>
      <c r="E309" s="325" t="str">
        <f>IF(D309="PESSOAL",VLOOKUP($C309,'TC 10-2023'!$B:$Z,2,FALSE), IF(D309="EQUIPAMENTOS",VLOOKUP($C309,Equip.Info!A:I,2,FALSE),VLOOKUP($C309,Mat.Info!A:H,2,FALSE)))</f>
        <v>Laptop completo, processador Intel Core i5, 16GB memória, Resolução 3.840x2.160 (4K), PV GPU de 4GB e Sistema Operacional.</v>
      </c>
      <c r="F309" s="413" t="str">
        <f t="shared" si="146"/>
        <v>h</v>
      </c>
      <c r="G309" s="326">
        <f>IF($D309="PESSOAL",VLOOKUP($C309,'TC 10-2023'!$B:$Z,25,FALSE), IF($D309="EQUIPAMENTOS",VLOOKUP($C309,Equip.Info!$A:$I,8,FALSE),VLOOKUP($C309,Mat.Info!$A:$H,8,FALSE)))</f>
        <v>0.217</v>
      </c>
      <c r="H309" s="329">
        <f>'4.8.Edital'!$F$12</f>
        <v>218.988</v>
      </c>
      <c r="I309" s="328">
        <f t="shared" ref="I309:I310" si="149">G309*H309</f>
        <v>47.520395999999998</v>
      </c>
      <c r="J309" s="328">
        <f ca="1">I309*(1+Dados!$C$17)</f>
        <v>68.714492616000001</v>
      </c>
      <c r="K309" s="418" t="s">
        <v>667</v>
      </c>
      <c r="L309" s="333" t="s">
        <v>567</v>
      </c>
    </row>
    <row r="310" spans="1:13" s="331" customFormat="1" ht="15">
      <c r="A310" s="442" t="str">
        <f t="shared" si="127"/>
        <v>4.8</v>
      </c>
      <c r="B310" s="340"/>
      <c r="C310" s="339" t="str">
        <f>'2.9.ADJR'!$B$31</f>
        <v>MTSF001</v>
      </c>
      <c r="D310" s="324" t="s">
        <v>448</v>
      </c>
      <c r="E310" s="325" t="str">
        <f>IF(D310="PESSOAL",VLOOKUP($C310,'TC 10-2023'!$B:$Z,2,FALSE), IF(D310="EQUIPAMENTOS",VLOOKUP($C310,Equip.Info!A:I,2,FALSE),VLOOKUP($C310,Mat.Info!A:H,2,FALSE)))</f>
        <v>Pacote Microsoft 365 Business Basic</v>
      </c>
      <c r="F310" s="413" t="str">
        <f t="shared" si="146"/>
        <v>h</v>
      </c>
      <c r="G310" s="326">
        <f>IF($D310="PESSOAL",VLOOKUP($C310,'TC 10-2023'!$B:$Z,25,FALSE), IF($D310="EQUIPAMENTOS",VLOOKUP($C310,Equip.Info!$A:$I,8,FALSE),VLOOKUP($C310,Mat.Info!$A:$H,8,FALSE)))</f>
        <v>0.16250000000000001</v>
      </c>
      <c r="H310" s="329">
        <f>'4.8.Edital'!$I$31</f>
        <v>218.988</v>
      </c>
      <c r="I310" s="328">
        <f t="shared" si="149"/>
        <v>35.585549999999998</v>
      </c>
      <c r="J310" s="328">
        <f ca="1">I310*(1+Dados!$C$17)</f>
        <v>51.456705299999996</v>
      </c>
      <c r="K310" s="418" t="s">
        <v>667</v>
      </c>
      <c r="L310" s="333" t="s">
        <v>691</v>
      </c>
    </row>
    <row r="311" spans="1:13" s="331" customFormat="1" ht="15">
      <c r="A311" s="442" t="str">
        <f>B311</f>
        <v>4.9</v>
      </c>
      <c r="B311" s="342" t="str">
        <f>'Cronograma'!B46</f>
        <v>4.9</v>
      </c>
      <c r="C311" s="342" t="str">
        <f>'Cronograma'!C46</f>
        <v>Apoio Documental Jurídico-Regulatório (ADJR)</v>
      </c>
      <c r="D311" s="319"/>
      <c r="E311" s="320"/>
      <c r="F311" s="412"/>
      <c r="G311" s="321"/>
      <c r="H311" s="322"/>
      <c r="I311" s="323">
        <f>SUM(I312:I315)</f>
        <v>14528.9464505</v>
      </c>
      <c r="J311" s="323">
        <f ca="1">SUM(J312:J315)</f>
        <v>21008.856567422998</v>
      </c>
      <c r="K311" s="420"/>
      <c r="L311" s="425"/>
    </row>
    <row r="312" spans="1:13" s="331" customFormat="1" ht="15">
      <c r="A312" s="442" t="str">
        <f>A311</f>
        <v>4.9</v>
      </c>
      <c r="B312" s="338"/>
      <c r="C312" s="339" t="str">
        <f>'4.9.ADJR'!B18</f>
        <v>P8002</v>
      </c>
      <c r="D312" s="324" t="s">
        <v>350</v>
      </c>
      <c r="E312" s="325" t="str">
        <f>IF(D312="PESSOAL",VLOOKUP($C312,'TC 10-2023'!$B:$Z,2,FALSE), IF(D312="EQUIPAMENTOS",VLOOKUP($C312,Equip.Info!A:I,2,FALSE),VLOOKUP($C312,Mat.Info!A:H,2,FALSE)))</f>
        <v>Advogado pleno</v>
      </c>
      <c r="F312" s="413" t="str">
        <f t="shared" ref="F312:F315" si="150">IF(D312="PESSOAL","mês", IF(OR(D312="EQUIPAMENTOS",D312="MATERIAL"),"h",""))</f>
        <v>mês</v>
      </c>
      <c r="G312" s="326">
        <f>IF($D312="PESSOAL",VLOOKUP($C312,'TC 10-2023'!$B:$Z,25,FALSE), IF($D312="EQUIPAMENTOS",VLOOKUP($C312,Equip.Info!$A:$I,8,FALSE),VLOOKUP($C312,Mat.Info!$A:$H,8,FALSE)))</f>
        <v>11276.77</v>
      </c>
      <c r="H312" s="326">
        <f>'4.9.ADJR'!H18</f>
        <v>1</v>
      </c>
      <c r="I312" s="328">
        <f>G312*H312</f>
        <v>11276.77</v>
      </c>
      <c r="J312" s="328">
        <f ca="1">I312*(1+Dados!$C$17)</f>
        <v>16306.209419999999</v>
      </c>
      <c r="K312" s="418" t="str">
        <f>"DNIT "&amp;TEXT(Dados!$C$16,"mmm/aa")</f>
        <v>DNIT out/23</v>
      </c>
      <c r="L312" s="333" t="str">
        <f>'4.9.ADJR'!G18&amp;" "&amp;E312&amp;" por mês"</f>
        <v>1 Advogado pleno por mês</v>
      </c>
    </row>
    <row r="313" spans="1:13" s="331" customFormat="1" ht="15">
      <c r="A313" s="442" t="str">
        <f t="shared" ref="A313:A315" si="151">A312</f>
        <v>4.9</v>
      </c>
      <c r="B313" s="338"/>
      <c r="C313" s="339" t="str">
        <f>'4.9.ADJR'!B19</f>
        <v>P8061</v>
      </c>
      <c r="D313" s="324" t="s">
        <v>350</v>
      </c>
      <c r="E313" s="325" t="str">
        <f>IF(D313="PESSOAL",VLOOKUP($C313,'TC 10-2023'!$B:$Z,2,FALSE), IF(D313="EQUIPAMENTOS",VLOOKUP($C313,Equip.Info!A:I,2,FALSE),VLOOKUP($C313,Mat.Info!A:H,2,FALSE)))</f>
        <v>Engenheiro coordenador</v>
      </c>
      <c r="F313" s="413" t="str">
        <f t="shared" ref="F313" si="152">IF(D313="PESSOAL","mês", IF(OR(D313="EQUIPAMENTOS",D313="MATERIAL"),"h",""))</f>
        <v>mês</v>
      </c>
      <c r="G313" s="326">
        <f>IF($D313="PESSOAL",VLOOKUP($C313,'TC 10-2023'!$B:$Z,25,FALSE), IF($D313="EQUIPAMENTOS",VLOOKUP($C313,Equip.Info!$A:$I,8,FALSE),VLOOKUP($C313,Mat.Info!$A:$H,8,FALSE)))</f>
        <v>31759.96</v>
      </c>
      <c r="H313" s="326">
        <f>'4.9.ADJR'!H19</f>
        <v>0.1</v>
      </c>
      <c r="I313" s="328">
        <f t="shared" ref="I313" si="153">G313*H313</f>
        <v>3175.9960000000001</v>
      </c>
      <c r="J313" s="328">
        <f ca="1">I313*(1+Dados!$C$17)</f>
        <v>4592.4902160000001</v>
      </c>
      <c r="K313" s="418" t="str">
        <f>"DNIT "&amp;TEXT(Dados!$C$16,"mmm/aa")</f>
        <v>DNIT out/23</v>
      </c>
      <c r="L313" s="333" t="str">
        <f>'4.9.ADJR'!G19&amp;" "&amp;E313&amp;" por mês"</f>
        <v>1 Engenheiro coordenador por mês</v>
      </c>
    </row>
    <row r="314" spans="1:13" ht="25.5">
      <c r="A314" s="442" t="str">
        <f t="shared" si="151"/>
        <v>4.9</v>
      </c>
      <c r="B314" s="338"/>
      <c r="C314" s="339" t="str">
        <f>'4.9.ADJR'!$B$12</f>
        <v>EQSF002</v>
      </c>
      <c r="D314" s="324" t="s">
        <v>352</v>
      </c>
      <c r="E314" s="325" t="str">
        <f>IF(D314="PESSOAL",VLOOKUP($C314,'TC 10-2023'!$B:$Z,2,FALSE), IF(D314="EQUIPAMENTOS",VLOOKUP($C314,Equip.Info!A:I,2,FALSE),VLOOKUP($C314,Mat.Info!A:H,2,FALSE)))</f>
        <v>Laptop completo, processador Intel Core i5, 16GB memória, Resolução 3.840x2.160 (4K), PV GPU de 4GB e Sistema Operacional.</v>
      </c>
      <c r="F314" s="413" t="str">
        <f t="shared" si="150"/>
        <v>h</v>
      </c>
      <c r="G314" s="326">
        <f>IF($D314="PESSOAL",VLOOKUP($C314,'TC 10-2023'!$B:$Z,25,FALSE), IF($D314="EQUIPAMENTOS",VLOOKUP($C314,Equip.Info!$A:$I,8,FALSE),VLOOKUP($C314,Mat.Info!$A:$H,8,FALSE)))</f>
        <v>0.217</v>
      </c>
      <c r="H314" s="329">
        <f>'4.9.ADJR'!$F$12</f>
        <v>200.739</v>
      </c>
      <c r="I314" s="328">
        <f t="shared" ref="I314:I315" si="154">G314*H314</f>
        <v>43.560363000000002</v>
      </c>
      <c r="J314" s="328">
        <f ca="1">I314*(1+Dados!$C$17)</f>
        <v>62.988284898000003</v>
      </c>
      <c r="K314" s="418" t="s">
        <v>667</v>
      </c>
      <c r="L314" s="333" t="s">
        <v>567</v>
      </c>
      <c r="M314" s="331"/>
    </row>
    <row r="315" spans="1:13" ht="15">
      <c r="A315" s="442" t="str">
        <f t="shared" si="151"/>
        <v>4.9</v>
      </c>
      <c r="B315" s="338"/>
      <c r="C315" s="339" t="str">
        <f>'4.9.ADJR'!$B$31</f>
        <v>MTSF001</v>
      </c>
      <c r="D315" s="324" t="s">
        <v>448</v>
      </c>
      <c r="E315" s="325" t="str">
        <f>IF(D315="PESSOAL",VLOOKUP($C315,'TC 10-2023'!$B:$Z,2,FALSE), IF(D315="EQUIPAMENTOS",VLOOKUP($C315,Equip.Info!A:I,2,FALSE),VLOOKUP($C315,Mat.Info!A:H,2,FALSE)))</f>
        <v>Pacote Microsoft 365 Business Basic</v>
      </c>
      <c r="F315" s="413" t="str">
        <f t="shared" si="150"/>
        <v>h</v>
      </c>
      <c r="G315" s="326">
        <f>IF($D315="PESSOAL",VLOOKUP($C315,'TC 10-2023'!$B:$Z,25,FALSE), IF($D315="EQUIPAMENTOS",VLOOKUP($C315,Equip.Info!$A:$I,8,FALSE),VLOOKUP($C315,Mat.Info!$A:$H,8,FALSE)))</f>
        <v>0.16250000000000001</v>
      </c>
      <c r="H315" s="329">
        <f>'4.9.ADJR'!$I$31</f>
        <v>200.739</v>
      </c>
      <c r="I315" s="328">
        <f t="shared" si="154"/>
        <v>32.620087500000004</v>
      </c>
      <c r="J315" s="328">
        <f ca="1">I315*(1+Dados!$C$17)</f>
        <v>47.168646525000007</v>
      </c>
      <c r="K315" s="418" t="s">
        <v>667</v>
      </c>
      <c r="L315" s="333" t="s">
        <v>691</v>
      </c>
      <c r="M315" s="331"/>
    </row>
    <row r="320" spans="1:13">
      <c r="K320" s="518" t="s">
        <v>320</v>
      </c>
    </row>
  </sheetData>
  <autoFilter ref="C6:L315" xr:uid="{D96E24BC-CE36-4C36-A48E-FB18C10F71A1}"/>
  <mergeCells count="1">
    <mergeCell ref="B6:C6"/>
  </mergeCells>
  <phoneticPr fontId="19" type="noConversion"/>
  <pageMargins left="0.51181102362204722" right="0.51181102362204722" top="0.78740157480314965" bottom="0.78740157480314965" header="0.31496062992125984" footer="0.31496062992125984"/>
  <pageSetup paperSize="8" scale="80" fitToHeight="2" orientation="landscape" errors="blank"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63D-9B48-4E72-917F-C4FC26007B4D}">
  <sheetPr>
    <tabColor rgb="FF00B050"/>
  </sheetPr>
  <dimension ref="A1:B105"/>
  <sheetViews>
    <sheetView workbookViewId="0">
      <selection sqref="A1:A3"/>
    </sheetView>
  </sheetViews>
  <sheetFormatPr defaultRowHeight="15"/>
  <cols>
    <col min="1" max="1" width="46.140625" style="78" customWidth="1"/>
    <col min="2" max="2" width="21.7109375" style="79" customWidth="1"/>
  </cols>
  <sheetData>
    <row r="1" spans="1:2" ht="15" customHeight="1">
      <c r="A1" s="784" t="s">
        <v>147</v>
      </c>
      <c r="B1" s="784" t="s">
        <v>146</v>
      </c>
    </row>
    <row r="2" spans="1:2">
      <c r="A2" s="784"/>
      <c r="B2" s="784"/>
    </row>
    <row r="3" spans="1:2">
      <c r="A3" s="784"/>
      <c r="B3" s="784"/>
    </row>
    <row r="4" spans="1:2">
      <c r="A4" s="81" t="str">
        <f>'TC 10-2023'!C4</f>
        <v>Advogado júnior</v>
      </c>
      <c r="B4" s="80" t="str">
        <f>'TC 10-2023'!B4</f>
        <v>P8001</v>
      </c>
    </row>
    <row r="5" spans="1:2">
      <c r="A5" s="81" t="str">
        <f>'TC 10-2023'!C5</f>
        <v>Advogado pleno</v>
      </c>
      <c r="B5" s="80" t="str">
        <f>'TC 10-2023'!B5</f>
        <v>P8002</v>
      </c>
    </row>
    <row r="6" spans="1:2">
      <c r="A6" s="81" t="str">
        <f>'TC 10-2023'!C6</f>
        <v>Advogado sênior</v>
      </c>
      <c r="B6" s="80" t="str">
        <f>'TC 10-2023'!B6</f>
        <v>P8003</v>
      </c>
    </row>
    <row r="7" spans="1:2">
      <c r="A7" s="81" t="str">
        <f>'TC 10-2023'!C7</f>
        <v>Analista de desenvolvimento de sistemas júnior</v>
      </c>
      <c r="B7" s="80" t="str">
        <f>'TC 10-2023'!B7</f>
        <v>P8007</v>
      </c>
    </row>
    <row r="8" spans="1:2">
      <c r="A8" s="81" t="str">
        <f>'TC 10-2023'!C8</f>
        <v>Analista de desenvolvimento de sistemas pleno</v>
      </c>
      <c r="B8" s="80" t="str">
        <f>'TC 10-2023'!B8</f>
        <v>P8008</v>
      </c>
    </row>
    <row r="9" spans="1:2">
      <c r="A9" s="81" t="str">
        <f>'TC 10-2023'!C9</f>
        <v>Analista de desenvolvimento de sistemas sênior</v>
      </c>
      <c r="B9" s="80" t="str">
        <f>'TC 10-2023'!B9</f>
        <v>P8009</v>
      </c>
    </row>
    <row r="10" spans="1:2">
      <c r="A10" s="81" t="str">
        <f>'TC 10-2023'!C10</f>
        <v>Arquiteto júnior</v>
      </c>
      <c r="B10" s="80" t="str">
        <f>'TC 10-2023'!B10</f>
        <v>P8013</v>
      </c>
    </row>
    <row r="11" spans="1:2">
      <c r="A11" s="81" t="str">
        <f>'TC 10-2023'!C11</f>
        <v>Arquiteto pleno</v>
      </c>
      <c r="B11" s="80" t="str">
        <f>'TC 10-2023'!B11</f>
        <v>P8014</v>
      </c>
    </row>
    <row r="12" spans="1:2">
      <c r="A12" s="81" t="str">
        <f>'TC 10-2023'!C12</f>
        <v>Arquiteto sênior</v>
      </c>
      <c r="B12" s="80" t="str">
        <f>'TC 10-2023'!B12</f>
        <v>P8015</v>
      </c>
    </row>
    <row r="13" spans="1:2">
      <c r="A13" s="81" t="str">
        <f>'TC 10-2023'!C13</f>
        <v>Assistente social júnior</v>
      </c>
      <c r="B13" s="80" t="str">
        <f>'TC 10-2023'!B13</f>
        <v>P8019</v>
      </c>
    </row>
    <row r="14" spans="1:2">
      <c r="A14" s="81" t="str">
        <f>'TC 10-2023'!C14</f>
        <v>Assistente social pleno</v>
      </c>
      <c r="B14" s="80" t="str">
        <f>'TC 10-2023'!B14</f>
        <v>P8020</v>
      </c>
    </row>
    <row r="15" spans="1:2">
      <c r="A15" s="81" t="str">
        <f>'TC 10-2023'!C15</f>
        <v>Assistente social sênior</v>
      </c>
      <c r="B15" s="80" t="str">
        <f>'TC 10-2023'!B15</f>
        <v>P8021</v>
      </c>
    </row>
    <row r="16" spans="1:2">
      <c r="A16" s="81" t="str">
        <f>'TC 10-2023'!C16</f>
        <v>Auxiliar</v>
      </c>
      <c r="B16" s="80" t="str">
        <f>'TC 10-2023'!B16</f>
        <v>P8025</v>
      </c>
    </row>
    <row r="17" spans="1:2">
      <c r="A17" s="81" t="str">
        <f>'TC 10-2023'!C17</f>
        <v>Auxiliar administrativo</v>
      </c>
      <c r="B17" s="80" t="str">
        <f>'TC 10-2023'!B17</f>
        <v>P8026</v>
      </c>
    </row>
    <row r="18" spans="1:2">
      <c r="A18" s="81" t="str">
        <f>'TC 10-2023'!C18</f>
        <v>Auxiliar de laboratório</v>
      </c>
      <c r="B18" s="80" t="str">
        <f>'TC 10-2023'!B18</f>
        <v>P8027</v>
      </c>
    </row>
    <row r="19" spans="1:2">
      <c r="A19" s="81" t="str">
        <f>'TC 10-2023'!C19</f>
        <v>Auxiliar de topografia</v>
      </c>
      <c r="B19" s="80" t="str">
        <f>'TC 10-2023'!B19</f>
        <v>P8028</v>
      </c>
    </row>
    <row r="20" spans="1:2">
      <c r="A20" s="81" t="str">
        <f>'TC 10-2023'!C20</f>
        <v>Biólogo júnior</v>
      </c>
      <c r="B20" s="80" t="str">
        <f>'TC 10-2023'!B20</f>
        <v>P8032</v>
      </c>
    </row>
    <row r="21" spans="1:2">
      <c r="A21" s="81" t="str">
        <f>'TC 10-2023'!C21</f>
        <v>Biólogo pleno</v>
      </c>
      <c r="B21" s="80" t="str">
        <f>'TC 10-2023'!B21</f>
        <v>P8033</v>
      </c>
    </row>
    <row r="22" spans="1:2">
      <c r="A22" s="81" t="str">
        <f>'TC 10-2023'!C22</f>
        <v>Biólogo sênior</v>
      </c>
      <c r="B22" s="80" t="str">
        <f>'TC 10-2023'!B22</f>
        <v>P8034</v>
      </c>
    </row>
    <row r="23" spans="1:2">
      <c r="A23" s="81" t="str">
        <f>'TC 10-2023'!C23</f>
        <v>Chefe de escritório</v>
      </c>
      <c r="B23" s="80" t="str">
        <f>'TC 10-2023'!B23</f>
        <v>P8038</v>
      </c>
    </row>
    <row r="24" spans="1:2">
      <c r="A24" s="81" t="str">
        <f>'TC 10-2023'!C24</f>
        <v>Contador júnior</v>
      </c>
      <c r="B24" s="80" t="str">
        <f>'TC 10-2023'!B24</f>
        <v>P8040</v>
      </c>
    </row>
    <row r="25" spans="1:2">
      <c r="A25" s="81" t="str">
        <f>'TC 10-2023'!C25</f>
        <v>Contador pleno</v>
      </c>
      <c r="B25" s="80" t="str">
        <f>'TC 10-2023'!B25</f>
        <v>P8041</v>
      </c>
    </row>
    <row r="26" spans="1:2">
      <c r="A26" s="81" t="str">
        <f>'TC 10-2023'!C26</f>
        <v>Contador sênior</v>
      </c>
      <c r="B26" s="80" t="str">
        <f>'TC 10-2023'!B26</f>
        <v>P8042</v>
      </c>
    </row>
    <row r="27" spans="1:2">
      <c r="A27" s="81" t="str">
        <f>'TC 10-2023'!C27</f>
        <v xml:space="preserve">Coordenador ambiental </v>
      </c>
      <c r="B27" s="80" t="str">
        <f>'TC 10-2023'!B27</f>
        <v>P8044</v>
      </c>
    </row>
    <row r="28" spans="1:2">
      <c r="A28" s="81" t="str">
        <f>'TC 10-2023'!C28</f>
        <v>Economista júnior</v>
      </c>
      <c r="B28" s="80" t="str">
        <f>'TC 10-2023'!B28</f>
        <v>P8045</v>
      </c>
    </row>
    <row r="29" spans="1:2">
      <c r="A29" s="81" t="str">
        <f>'TC 10-2023'!C29</f>
        <v>Economista pleno</v>
      </c>
      <c r="B29" s="80" t="str">
        <f>'TC 10-2023'!B29</f>
        <v>P8046</v>
      </c>
    </row>
    <row r="30" spans="1:2">
      <c r="A30" s="81" t="str">
        <f>'TC 10-2023'!C30</f>
        <v>Economista sênior</v>
      </c>
      <c r="B30" s="80" t="str">
        <f>'TC 10-2023'!B30</f>
        <v>P8047</v>
      </c>
    </row>
    <row r="31" spans="1:2">
      <c r="A31" s="81" t="str">
        <f>'TC 10-2023'!C31</f>
        <v>Engenheiro agrônomo júnior</v>
      </c>
      <c r="B31" s="80" t="str">
        <f>'TC 10-2023'!B31</f>
        <v>P8054</v>
      </c>
    </row>
    <row r="32" spans="1:2">
      <c r="A32" s="81" t="str">
        <f>'TC 10-2023'!C32</f>
        <v>Engenheiro agrônomo pleno</v>
      </c>
      <c r="B32" s="80" t="str">
        <f>'TC 10-2023'!B32</f>
        <v>P8055</v>
      </c>
    </row>
    <row r="33" spans="1:2">
      <c r="A33" s="81" t="str">
        <f>'TC 10-2023'!C33</f>
        <v>Engenheiro agrônomo sênior</v>
      </c>
      <c r="B33" s="80" t="str">
        <f>'TC 10-2023'!B33</f>
        <v>P8056</v>
      </c>
    </row>
    <row r="34" spans="1:2">
      <c r="A34" s="81" t="str">
        <f>'TC 10-2023'!C34</f>
        <v>Engenheiro ambiental júnior</v>
      </c>
      <c r="B34" s="80" t="str">
        <f>'TC 10-2023'!B34</f>
        <v>P8057</v>
      </c>
    </row>
    <row r="35" spans="1:2">
      <c r="A35" s="81" t="str">
        <f>'TC 10-2023'!C35</f>
        <v>Engenheiro ambiental pleno</v>
      </c>
      <c r="B35" s="80" t="str">
        <f>'TC 10-2023'!B35</f>
        <v>P8058</v>
      </c>
    </row>
    <row r="36" spans="1:2">
      <c r="A36" s="81" t="str">
        <f>'TC 10-2023'!C36</f>
        <v>Engenheiro ambiental sênior</v>
      </c>
      <c r="B36" s="80" t="str">
        <f>'TC 10-2023'!B36</f>
        <v>P8059</v>
      </c>
    </row>
    <row r="37" spans="1:2">
      <c r="A37" s="81" t="str">
        <f>'TC 10-2023'!C37</f>
        <v>Engenheiro consultor especial</v>
      </c>
      <c r="B37" s="80" t="str">
        <f>'TC 10-2023'!B37</f>
        <v>P8060</v>
      </c>
    </row>
    <row r="38" spans="1:2">
      <c r="A38" s="81" t="str">
        <f>'TC 10-2023'!C38</f>
        <v>Engenheiro coordenador</v>
      </c>
      <c r="B38" s="80" t="str">
        <f>'TC 10-2023'!B38</f>
        <v>P8061</v>
      </c>
    </row>
    <row r="39" spans="1:2">
      <c r="A39" s="81" t="str">
        <f>'TC 10-2023'!C39</f>
        <v>Engenheiro de pesca júnior</v>
      </c>
      <c r="B39" s="80" t="str">
        <f>'TC 10-2023'!B39</f>
        <v>P8062</v>
      </c>
    </row>
    <row r="40" spans="1:2">
      <c r="A40" s="81" t="str">
        <f>'TC 10-2023'!C40</f>
        <v>Engenheiro de pesca pleno</v>
      </c>
      <c r="B40" s="80" t="str">
        <f>'TC 10-2023'!B40</f>
        <v>P8063</v>
      </c>
    </row>
    <row r="41" spans="1:2">
      <c r="A41" s="81" t="str">
        <f>'TC 10-2023'!C41</f>
        <v>Engenheiro de pesca sênior</v>
      </c>
      <c r="B41" s="80" t="str">
        <f>'TC 10-2023'!B41</f>
        <v>P8064</v>
      </c>
    </row>
    <row r="42" spans="1:2">
      <c r="A42" s="81" t="str">
        <f>'TC 10-2023'!C42</f>
        <v>Engenheiro de projetos júnior</v>
      </c>
      <c r="B42" s="80" t="str">
        <f>'TC 10-2023'!B42</f>
        <v>P8065</v>
      </c>
    </row>
    <row r="43" spans="1:2">
      <c r="A43" s="81" t="str">
        <f>'TC 10-2023'!C43</f>
        <v>Engenheiro de projetos pleno</v>
      </c>
      <c r="B43" s="80" t="str">
        <f>'TC 10-2023'!B43</f>
        <v>P8066</v>
      </c>
    </row>
    <row r="44" spans="1:2">
      <c r="A44" s="81" t="str">
        <f>'TC 10-2023'!C44</f>
        <v>Engenheiro de projetos sênior</v>
      </c>
      <c r="B44" s="80" t="str">
        <f>'TC 10-2023'!B44</f>
        <v>P8067</v>
      </c>
    </row>
    <row r="45" spans="1:2">
      <c r="A45" s="81" t="str">
        <f>'TC 10-2023'!C45</f>
        <v>Engenheiro florestal júnior</v>
      </c>
      <c r="B45" s="80" t="str">
        <f>'TC 10-2023'!B45</f>
        <v>P8068</v>
      </c>
    </row>
    <row r="46" spans="1:2">
      <c r="A46" s="81" t="str">
        <f>'TC 10-2023'!C46</f>
        <v>Engenheiro florestal pleno</v>
      </c>
      <c r="B46" s="80" t="str">
        <f>'TC 10-2023'!B46</f>
        <v>P8069</v>
      </c>
    </row>
    <row r="47" spans="1:2">
      <c r="A47" s="81" t="str">
        <f>'TC 10-2023'!C47</f>
        <v>Engenheiro florestal sênior</v>
      </c>
      <c r="B47" s="80" t="str">
        <f>'TC 10-2023'!B47</f>
        <v>P8070</v>
      </c>
    </row>
    <row r="48" spans="1:2">
      <c r="A48" s="81" t="str">
        <f>'TC 10-2023'!C48</f>
        <v>Geólogo júnior</v>
      </c>
      <c r="B48" s="80" t="str">
        <f>'TC 10-2023'!B48</f>
        <v>P8080</v>
      </c>
    </row>
    <row r="49" spans="1:2">
      <c r="A49" s="81" t="str">
        <f>'TC 10-2023'!C49</f>
        <v>Geólogo pleno</v>
      </c>
      <c r="B49" s="80" t="str">
        <f>'TC 10-2023'!B49</f>
        <v>P8081</v>
      </c>
    </row>
    <row r="50" spans="1:2">
      <c r="A50" s="81" t="str">
        <f>'TC 10-2023'!C50</f>
        <v>Geólogo sênior</v>
      </c>
      <c r="B50" s="80" t="str">
        <f>'TC 10-2023'!B50</f>
        <v>P8082</v>
      </c>
    </row>
    <row r="51" spans="1:2">
      <c r="A51" s="81" t="str">
        <f>'TC 10-2023'!C51</f>
        <v>Jornalista júnior</v>
      </c>
      <c r="B51" s="80" t="str">
        <f>'TC 10-2023'!B51</f>
        <v>P8092</v>
      </c>
    </row>
    <row r="52" spans="1:2">
      <c r="A52" s="81" t="str">
        <f>'TC 10-2023'!C52</f>
        <v>Jornalista pleno</v>
      </c>
      <c r="B52" s="80" t="str">
        <f>'TC 10-2023'!B52</f>
        <v>P8093</v>
      </c>
    </row>
    <row r="53" spans="1:2">
      <c r="A53" s="81" t="str">
        <f>'TC 10-2023'!C53</f>
        <v>Jornalista sênior</v>
      </c>
      <c r="B53" s="80" t="str">
        <f>'TC 10-2023'!B53</f>
        <v>P8094</v>
      </c>
    </row>
    <row r="54" spans="1:2">
      <c r="A54" s="81" t="str">
        <f>'TC 10-2023'!C54</f>
        <v>Laboratorista</v>
      </c>
      <c r="B54" s="80" t="str">
        <f>'TC 10-2023'!B54</f>
        <v>P8098</v>
      </c>
    </row>
    <row r="55" spans="1:2">
      <c r="A55" s="81" t="str">
        <f>'TC 10-2023'!C55</f>
        <v>Médico veterinário</v>
      </c>
      <c r="B55" s="80" t="str">
        <f>'TC 10-2023'!B55</f>
        <v>P8102</v>
      </c>
    </row>
    <row r="56" spans="1:2">
      <c r="A56" s="81" t="str">
        <f>'TC 10-2023'!C56</f>
        <v>Meteorologista júnior</v>
      </c>
      <c r="B56" s="80" t="str">
        <f>'TC 10-2023'!B56</f>
        <v>P8106</v>
      </c>
    </row>
    <row r="57" spans="1:2">
      <c r="A57" s="81" t="str">
        <f>'TC 10-2023'!C57</f>
        <v>Meteorologista pleno</v>
      </c>
      <c r="B57" s="80" t="str">
        <f>'TC 10-2023'!B57</f>
        <v>P8107</v>
      </c>
    </row>
    <row r="58" spans="1:2">
      <c r="A58" s="81" t="str">
        <f>'TC 10-2023'!C58</f>
        <v>Meteorologista sênior</v>
      </c>
      <c r="B58" s="80" t="str">
        <f>'TC 10-2023'!B58</f>
        <v>P8108</v>
      </c>
    </row>
    <row r="59" spans="1:2">
      <c r="A59" s="81" t="str">
        <f>'TC 10-2023'!C59</f>
        <v>Motorista de caminhão</v>
      </c>
      <c r="B59" s="80" t="str">
        <f>'TC 10-2023'!B59</f>
        <v>P8112</v>
      </c>
    </row>
    <row r="60" spans="1:2">
      <c r="A60" s="81" t="str">
        <f>'TC 10-2023'!C60</f>
        <v>Motorista de veículo leve</v>
      </c>
      <c r="B60" s="80" t="str">
        <f>'TC 10-2023'!B60</f>
        <v>P8113</v>
      </c>
    </row>
    <row r="61" spans="1:2">
      <c r="A61" s="81" t="str">
        <f>'TC 10-2023'!C61</f>
        <v>Oceanógrafo júnior</v>
      </c>
      <c r="B61" s="80" t="str">
        <f>'TC 10-2023'!B61</f>
        <v>P8117</v>
      </c>
    </row>
    <row r="62" spans="1:2">
      <c r="A62" s="81" t="str">
        <f>'TC 10-2023'!C62</f>
        <v>Oceanógrafo pleno</v>
      </c>
      <c r="B62" s="80" t="str">
        <f>'TC 10-2023'!B62</f>
        <v>P8118</v>
      </c>
    </row>
    <row r="63" spans="1:2">
      <c r="A63" s="81" t="str">
        <f>'TC 10-2023'!C63</f>
        <v>Oceanógrafo sênior</v>
      </c>
      <c r="B63" s="80" t="str">
        <f>'TC 10-2023'!B63</f>
        <v>P8119</v>
      </c>
    </row>
    <row r="64" spans="1:2">
      <c r="A64" s="81" t="str">
        <f>'TC 10-2023'!C64</f>
        <v>Pedagogo júnior</v>
      </c>
      <c r="B64" s="80" t="str">
        <f>'TC 10-2023'!B64</f>
        <v>P8129</v>
      </c>
    </row>
    <row r="65" spans="1:2">
      <c r="A65" s="81" t="str">
        <f>'TC 10-2023'!C65</f>
        <v>Pedagogo pleno</v>
      </c>
      <c r="B65" s="80" t="str">
        <f>'TC 10-2023'!B65</f>
        <v>P8130</v>
      </c>
    </row>
    <row r="66" spans="1:2">
      <c r="A66" s="81" t="str">
        <f>'TC 10-2023'!C66</f>
        <v>Pedagogo sênior</v>
      </c>
      <c r="B66" s="80" t="str">
        <f>'TC 10-2023'!B66</f>
        <v>P8131</v>
      </c>
    </row>
    <row r="67" spans="1:2">
      <c r="A67" s="81" t="str">
        <f>'TC 10-2023'!C67</f>
        <v>Secretária</v>
      </c>
      <c r="B67" s="80" t="str">
        <f>'TC 10-2023'!B67</f>
        <v>P8135</v>
      </c>
    </row>
    <row r="68" spans="1:2">
      <c r="A68" s="81" t="str">
        <f>'TC 10-2023'!C68</f>
        <v>Sondador</v>
      </c>
      <c r="B68" s="80" t="str">
        <f>'TC 10-2023'!B68</f>
        <v>P8139</v>
      </c>
    </row>
    <row r="69" spans="1:2">
      <c r="A69" s="81" t="str">
        <f>'TC 10-2023'!C69</f>
        <v>Técnico ambiental</v>
      </c>
      <c r="B69" s="80" t="str">
        <f>'TC 10-2023'!B69</f>
        <v>P8143</v>
      </c>
    </row>
    <row r="70" spans="1:2">
      <c r="A70" s="81" t="str">
        <f>'TC 10-2023'!C70</f>
        <v>Técnico de obras</v>
      </c>
      <c r="B70" s="80" t="str">
        <f>'TC 10-2023'!B70</f>
        <v>P8147</v>
      </c>
    </row>
    <row r="71" spans="1:2">
      <c r="A71" s="81" t="str">
        <f>'TC 10-2023'!C71</f>
        <v>Técnico de segurança do trabalho</v>
      </c>
      <c r="B71" s="80" t="str">
        <f>'TC 10-2023'!B71</f>
        <v>P8151</v>
      </c>
    </row>
    <row r="72" spans="1:2">
      <c r="A72" s="81" t="str">
        <f>'TC 10-2023'!C72</f>
        <v>Técnico em geoprocessamento</v>
      </c>
      <c r="B72" s="80" t="str">
        <f>'TC 10-2023'!B72</f>
        <v>P8155</v>
      </c>
    </row>
    <row r="73" spans="1:2">
      <c r="A73" s="81" t="str">
        <f>'TC 10-2023'!C73</f>
        <v>Técnico em informática - programador</v>
      </c>
      <c r="B73" s="80" t="str">
        <f>'TC 10-2023'!B73</f>
        <v>P8159</v>
      </c>
    </row>
    <row r="74" spans="1:2">
      <c r="A74" s="81" t="str">
        <f>'TC 10-2023'!C74</f>
        <v>Topógrafo</v>
      </c>
      <c r="B74" s="80" t="str">
        <f>'TC 10-2023'!B74</f>
        <v>P8163</v>
      </c>
    </row>
    <row r="75" spans="1:2">
      <c r="A75" s="81" t="str">
        <f>'TC 10-2023'!C75</f>
        <v>Arquivista júnior</v>
      </c>
      <c r="B75" s="80" t="str">
        <f>'TC 10-2023'!B75</f>
        <v>P8167</v>
      </c>
    </row>
    <row r="76" spans="1:2">
      <c r="A76" s="81" t="str">
        <f>'TC 10-2023'!C76</f>
        <v>Arquivista pleno</v>
      </c>
      <c r="B76" s="80" t="str">
        <f>'TC 10-2023'!B76</f>
        <v>P8168</v>
      </c>
    </row>
    <row r="77" spans="1:2">
      <c r="A77" s="81" t="str">
        <f>'TC 10-2023'!C77</f>
        <v>Arquivista sênior</v>
      </c>
      <c r="B77" s="80" t="str">
        <f>'TC 10-2023'!B77</f>
        <v>P8169</v>
      </c>
    </row>
    <row r="78" spans="1:2">
      <c r="A78" s="81" t="str">
        <f>'TC 10-2023'!C78</f>
        <v>Administrador júnior</v>
      </c>
      <c r="B78" s="80" t="str">
        <f>'TC 10-2023'!B78</f>
        <v>P8173</v>
      </c>
    </row>
    <row r="79" spans="1:2">
      <c r="A79" s="81" t="str">
        <f>'TC 10-2023'!C79</f>
        <v>Administrador pleno</v>
      </c>
      <c r="B79" s="80" t="str">
        <f>'TC 10-2023'!B79</f>
        <v>P8174</v>
      </c>
    </row>
    <row r="80" spans="1:2">
      <c r="A80" s="81" t="str">
        <f>'TC 10-2023'!C80</f>
        <v>Administrador sênior</v>
      </c>
      <c r="B80" s="80" t="str">
        <f>'TC 10-2023'!B80</f>
        <v>P8175</v>
      </c>
    </row>
    <row r="81" spans="1:2">
      <c r="A81" s="81" t="str">
        <f>'TC 10-2023'!C81</f>
        <v>Engenheiro agrimensor júnior</v>
      </c>
      <c r="B81" s="80" t="str">
        <f>'TC 10-2023'!B81</f>
        <v>P8180</v>
      </c>
    </row>
    <row r="82" spans="1:2">
      <c r="A82" s="81" t="str">
        <f>'TC 10-2023'!C82</f>
        <v>Engenheiro agrimensor pleno</v>
      </c>
      <c r="B82" s="80" t="str">
        <f>'TC 10-2023'!B82</f>
        <v>P8181</v>
      </c>
    </row>
    <row r="83" spans="1:2">
      <c r="A83" s="81" t="str">
        <f>'TC 10-2023'!C83</f>
        <v>Engenheiro agrimensor sênior</v>
      </c>
      <c r="B83" s="80" t="str">
        <f>'TC 10-2023'!B83</f>
        <v>P8182</v>
      </c>
    </row>
    <row r="84" spans="1:2">
      <c r="A84" s="81" t="str">
        <f>'TC 10-2023'!C84</f>
        <v>Geógrafo júnior</v>
      </c>
      <c r="B84" s="80" t="str">
        <f>'TC 10-2023'!B84</f>
        <v>P8183</v>
      </c>
    </row>
    <row r="85" spans="1:2">
      <c r="A85" s="81" t="str">
        <f>'TC 10-2023'!C85</f>
        <v>Geógrafo pleno</v>
      </c>
      <c r="B85" s="80" t="str">
        <f>'TC 10-2023'!B85</f>
        <v>P8184</v>
      </c>
    </row>
    <row r="86" spans="1:2">
      <c r="A86" s="81" t="str">
        <f>'TC 10-2023'!C86</f>
        <v>Geógrafo sênior</v>
      </c>
      <c r="B86" s="80" t="str">
        <f>'TC 10-2023'!B86</f>
        <v>P8185</v>
      </c>
    </row>
    <row r="87" spans="1:2">
      <c r="A87" s="81" t="str">
        <f>'TC 10-2023'!C87</f>
        <v>Antropólogo júnior</v>
      </c>
      <c r="B87" s="80" t="str">
        <f>'TC 10-2023'!B87</f>
        <v>P8186</v>
      </c>
    </row>
    <row r="88" spans="1:2">
      <c r="A88" s="81" t="str">
        <f>'TC 10-2023'!C88</f>
        <v>Antropólogo pleno</v>
      </c>
      <c r="B88" s="80" t="str">
        <f>'TC 10-2023'!B88</f>
        <v>P8187</v>
      </c>
    </row>
    <row r="89" spans="1:2">
      <c r="A89" s="81" t="str">
        <f>'TC 10-2023'!C89</f>
        <v>Antropólogo sênior</v>
      </c>
      <c r="B89" s="80" t="str">
        <f>'TC 10-2023'!B89</f>
        <v>P8188</v>
      </c>
    </row>
    <row r="90" spans="1:2">
      <c r="A90" s="81" t="str">
        <f>'TC 10-2023'!C90</f>
        <v>Arqueólogo júnior</v>
      </c>
      <c r="B90" s="80" t="str">
        <f>'TC 10-2023'!B90</f>
        <v>P8189</v>
      </c>
    </row>
    <row r="91" spans="1:2">
      <c r="A91" s="81" t="str">
        <f>'TC 10-2023'!C91</f>
        <v>Arqueólogo pleno</v>
      </c>
      <c r="B91" s="80" t="str">
        <f>'TC 10-2023'!B91</f>
        <v>P8190</v>
      </c>
    </row>
    <row r="92" spans="1:2">
      <c r="A92" s="81" t="str">
        <f>'TC 10-2023'!C92</f>
        <v>Arqueólogo sênior</v>
      </c>
      <c r="B92" s="80" t="str">
        <f>'TC 10-2023'!B92</f>
        <v>P8191</v>
      </c>
    </row>
    <row r="93" spans="1:2">
      <c r="A93" s="81" t="str">
        <f>'TC 10-2023'!C93</f>
        <v>Historiador júnior</v>
      </c>
      <c r="B93" s="80" t="str">
        <f>'TC 10-2023'!B93</f>
        <v>P8192</v>
      </c>
    </row>
    <row r="94" spans="1:2">
      <c r="A94" s="81" t="str">
        <f>'TC 10-2023'!C94</f>
        <v>Historiador pleno</v>
      </c>
      <c r="B94" s="80" t="str">
        <f>'TC 10-2023'!B94</f>
        <v>P8193</v>
      </c>
    </row>
    <row r="95" spans="1:2">
      <c r="A95" s="81" t="str">
        <f>'TC 10-2023'!C95</f>
        <v>Historiador sênior</v>
      </c>
      <c r="B95" s="80" t="str">
        <f>'TC 10-2023'!B95</f>
        <v>P8194</v>
      </c>
    </row>
    <row r="96" spans="1:2">
      <c r="A96" s="81" t="str">
        <f>'TC 10-2023'!C96</f>
        <v>Paleontólogo júnior</v>
      </c>
      <c r="B96" s="80" t="str">
        <f>'TC 10-2023'!B96</f>
        <v>P8195</v>
      </c>
    </row>
    <row r="97" spans="1:2">
      <c r="A97" s="81" t="str">
        <f>'TC 10-2023'!C97</f>
        <v>Paleontólogo pleno</v>
      </c>
      <c r="B97" s="80" t="str">
        <f>'TC 10-2023'!B97</f>
        <v>P8196</v>
      </c>
    </row>
    <row r="98" spans="1:2">
      <c r="A98" s="81" t="str">
        <f>'TC 10-2023'!C98</f>
        <v>Paleontólogo sênior</v>
      </c>
      <c r="B98" s="80" t="str">
        <f>'TC 10-2023'!B98</f>
        <v>P8197</v>
      </c>
    </row>
    <row r="99" spans="1:2">
      <c r="A99" s="81" t="str">
        <f>'TC 10-2023'!C99</f>
        <v>Sociólogo júnior</v>
      </c>
      <c r="B99" s="80" t="str">
        <f>'TC 10-2023'!B99</f>
        <v>P8198</v>
      </c>
    </row>
    <row r="100" spans="1:2">
      <c r="A100" s="81" t="str">
        <f>'TC 10-2023'!C100</f>
        <v>Sociólogo pleno</v>
      </c>
      <c r="B100" s="80" t="str">
        <f>'TC 10-2023'!B100</f>
        <v>P8199</v>
      </c>
    </row>
    <row r="101" spans="1:2">
      <c r="A101" s="81" t="str">
        <f>'TC 10-2023'!C101</f>
        <v>Sociólogo sênior</v>
      </c>
      <c r="B101" s="80" t="str">
        <f>'TC 10-2023'!B101</f>
        <v>P8200</v>
      </c>
    </row>
    <row r="102" spans="1:2">
      <c r="A102" s="85"/>
      <c r="B102" s="86"/>
    </row>
    <row r="105" spans="1:2" ht="15" customHeight="1"/>
  </sheetData>
  <mergeCells count="2">
    <mergeCell ref="A1:A3"/>
    <mergeCell ref="B1:B3"/>
  </mergeCell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855C-19FB-420B-8CE7-3B374F56867D}">
  <sheetPr>
    <tabColor rgb="FF00B050"/>
  </sheetPr>
  <dimension ref="A1:I7"/>
  <sheetViews>
    <sheetView workbookViewId="0">
      <selection sqref="A1:A2"/>
    </sheetView>
  </sheetViews>
  <sheetFormatPr defaultRowHeight="15"/>
  <cols>
    <col min="1" max="1" width="9.140625" style="110"/>
    <col min="2" max="2" width="64.140625" style="110" customWidth="1"/>
    <col min="3" max="3" width="11.5703125" style="110" customWidth="1"/>
    <col min="4" max="7" width="12.42578125" style="110" customWidth="1"/>
    <col min="8" max="9" width="13" style="110" customWidth="1"/>
    <col min="10" max="16384" width="9.140625" style="110"/>
  </cols>
  <sheetData>
    <row r="1" spans="1:9" ht="41.25" customHeight="1">
      <c r="A1" s="743" t="s">
        <v>291</v>
      </c>
      <c r="B1" s="743" t="s">
        <v>292</v>
      </c>
      <c r="C1" s="744" t="s">
        <v>326</v>
      </c>
      <c r="D1" s="743" t="s">
        <v>293</v>
      </c>
      <c r="E1" s="743" t="s">
        <v>294</v>
      </c>
      <c r="F1" s="743" t="s">
        <v>295</v>
      </c>
      <c r="G1" s="743" t="s">
        <v>296</v>
      </c>
      <c r="H1" s="743" t="str">
        <f>"Custo Horário (R$/h)
Data base: "&amp;TEXT(Dados!$C$16,"mmm/aa")</f>
        <v>Custo Horário (R$/h)
Data base: out/23</v>
      </c>
      <c r="I1" s="743"/>
    </row>
    <row r="2" spans="1:9" ht="22.5" customHeight="1">
      <c r="A2" s="743"/>
      <c r="B2" s="743"/>
      <c r="C2" s="745"/>
      <c r="D2" s="743"/>
      <c r="E2" s="743"/>
      <c r="F2" s="743"/>
      <c r="G2" s="743"/>
      <c r="H2" s="109" t="s">
        <v>297</v>
      </c>
      <c r="I2" s="109" t="s">
        <v>268</v>
      </c>
    </row>
    <row r="3" spans="1:9" ht="33.75" customHeight="1">
      <c r="A3" s="111" t="s">
        <v>656</v>
      </c>
      <c r="B3" s="112" t="s">
        <v>662</v>
      </c>
      <c r="C3" s="114" t="s">
        <v>299</v>
      </c>
      <c r="D3" s="113">
        <v>3671.9830999999999</v>
      </c>
      <c r="E3" s="114">
        <v>0.29380000000000001</v>
      </c>
      <c r="F3" s="114">
        <v>6.6100000000000006E-2</v>
      </c>
      <c r="G3" s="114">
        <v>0.18360000000000001</v>
      </c>
      <c r="H3" s="111">
        <v>0.54349999999999998</v>
      </c>
      <c r="I3" s="111">
        <v>0.3599</v>
      </c>
    </row>
    <row r="4" spans="1:9" ht="33.75" customHeight="1">
      <c r="A4" s="111" t="s">
        <v>655</v>
      </c>
      <c r="B4" s="112" t="s">
        <v>663</v>
      </c>
      <c r="C4" s="114" t="s">
        <v>299</v>
      </c>
      <c r="D4" s="113">
        <v>1465.6578999999999</v>
      </c>
      <c r="E4" s="114">
        <v>0.1173</v>
      </c>
      <c r="F4" s="114">
        <v>2.64E-2</v>
      </c>
      <c r="G4" s="114">
        <v>7.3300000000000004E-2</v>
      </c>
      <c r="H4" s="111">
        <v>0.217</v>
      </c>
      <c r="I4" s="111">
        <v>0.14369999999999999</v>
      </c>
    </row>
    <row r="5" spans="1:9">
      <c r="B5" s="115"/>
      <c r="C5" s="115"/>
    </row>
    <row r="6" spans="1:9" ht="15.75">
      <c r="B6" s="116"/>
      <c r="C6" s="116"/>
    </row>
    <row r="7" spans="1:9">
      <c r="B7" s="117"/>
      <c r="C7" s="117"/>
    </row>
  </sheetData>
  <mergeCells count="8">
    <mergeCell ref="H1:I1"/>
    <mergeCell ref="A1:A2"/>
    <mergeCell ref="B1:B2"/>
    <mergeCell ref="D1:D2"/>
    <mergeCell ref="E1:E2"/>
    <mergeCell ref="F1:F2"/>
    <mergeCell ref="G1:G2"/>
    <mergeCell ref="C1:C2"/>
  </mergeCells>
  <pageMargins left="0.511811024" right="0.511811024" top="0.78740157499999996" bottom="0.78740157499999996" header="0.31496062000000002" footer="0.31496062000000002"/>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C673-3C77-481C-802A-FA7CC29131B8}">
  <sheetPr>
    <tabColor rgb="FF00B050"/>
  </sheetPr>
  <dimension ref="A1:H9"/>
  <sheetViews>
    <sheetView workbookViewId="0"/>
  </sheetViews>
  <sheetFormatPr defaultRowHeight="15"/>
  <cols>
    <col min="1" max="1" width="13.5703125" style="110" customWidth="1"/>
    <col min="2" max="2" width="38" style="110" customWidth="1"/>
    <col min="3" max="3" width="35.5703125" style="110" customWidth="1"/>
    <col min="4" max="5" width="11.28515625" style="110" customWidth="1"/>
    <col min="6" max="6" width="9.7109375" style="110" bestFit="1" customWidth="1"/>
    <col min="7" max="7" width="12.42578125" style="110" customWidth="1"/>
    <col min="8" max="8" width="18.140625" style="110" customWidth="1"/>
    <col min="9" max="16384" width="9.140625" style="110"/>
  </cols>
  <sheetData>
    <row r="1" spans="1:8" ht="54.75" customHeight="1">
      <c r="A1" s="109" t="s">
        <v>146</v>
      </c>
      <c r="B1" s="109" t="s">
        <v>298</v>
      </c>
      <c r="C1" s="109" t="s">
        <v>659</v>
      </c>
      <c r="D1" s="785" t="s">
        <v>736</v>
      </c>
      <c r="E1" s="786"/>
      <c r="F1" s="109" t="s">
        <v>322</v>
      </c>
      <c r="G1" s="109" t="s">
        <v>326</v>
      </c>
      <c r="H1" s="109" t="str">
        <f>"Custo Horário (R$/h)
Data base: "&amp;TEXT(Dados!$C$16,"mmm/aa")</f>
        <v>Custo Horário (R$/h)
Data base: out/23</v>
      </c>
    </row>
    <row r="2" spans="1:8" ht="33.75" customHeight="1">
      <c r="A2" s="111" t="s">
        <v>664</v>
      </c>
      <c r="B2" s="112" t="s">
        <v>658</v>
      </c>
      <c r="C2" s="481" t="s">
        <v>661</v>
      </c>
      <c r="D2" s="541">
        <v>29.66</v>
      </c>
      <c r="E2" s="541" t="s">
        <v>737</v>
      </c>
      <c r="F2" s="542">
        <v>1</v>
      </c>
      <c r="G2" s="114" t="s">
        <v>299</v>
      </c>
      <c r="H2" s="111">
        <f>ROUND(D2/Dados!$C$18,4)</f>
        <v>0.16250000000000001</v>
      </c>
    </row>
    <row r="3" spans="1:8" ht="33.75" customHeight="1">
      <c r="A3" s="111" t="s">
        <v>665</v>
      </c>
      <c r="B3" s="112" t="s">
        <v>300</v>
      </c>
      <c r="C3" s="482" t="s">
        <v>657</v>
      </c>
      <c r="D3" s="541">
        <v>7388.56</v>
      </c>
      <c r="E3" s="541" t="s">
        <v>738</v>
      </c>
      <c r="F3" s="542">
        <v>0.5</v>
      </c>
      <c r="G3" s="114" t="s">
        <v>299</v>
      </c>
      <c r="H3" s="111">
        <f>ROUND(D3/12/Dados!$C$18,4)</f>
        <v>3.3740000000000001</v>
      </c>
    </row>
    <row r="4" spans="1:8" ht="33.75" customHeight="1">
      <c r="A4" s="111" t="s">
        <v>666</v>
      </c>
      <c r="B4" s="112" t="s">
        <v>301</v>
      </c>
      <c r="C4" s="482" t="s">
        <v>660</v>
      </c>
      <c r="D4" s="541">
        <v>9773.5400000000009</v>
      </c>
      <c r="E4" s="541" t="s">
        <v>738</v>
      </c>
      <c r="F4" s="542">
        <v>0.5</v>
      </c>
      <c r="G4" s="114" t="s">
        <v>299</v>
      </c>
      <c r="H4" s="111">
        <f>ROUND(D4/12/Dados!$C$18,4)</f>
        <v>4.4630000000000001</v>
      </c>
    </row>
    <row r="5" spans="1:8">
      <c r="B5" s="115"/>
      <c r="C5" s="115"/>
      <c r="D5" s="537"/>
      <c r="E5" s="537"/>
      <c r="F5" s="537"/>
      <c r="G5" s="115"/>
    </row>
    <row r="6" spans="1:8" ht="15.75">
      <c r="A6" s="536" t="s">
        <v>739</v>
      </c>
      <c r="B6" s="116"/>
      <c r="C6" s="116"/>
      <c r="D6" s="538"/>
      <c r="E6" s="538"/>
      <c r="F6" s="538"/>
      <c r="G6" s="116"/>
    </row>
    <row r="7" spans="1:8">
      <c r="A7" s="432" t="str">
        <f>"1) Considerou-se a utilização do "&amp;B2&amp;" em "&amp;F2*100&amp;"%, haja vista a utilização deste software em todo o desenvolvimento dos trabalhos."</f>
        <v>1) Considerou-se a utilização do Pacote Microsoft 365 Business Basic em 100%, haja vista a utilização deste software em todo o desenvolvimento dos trabalhos.</v>
      </c>
      <c r="B7" s="117"/>
      <c r="C7" s="117"/>
      <c r="D7" s="117"/>
      <c r="E7" s="117"/>
      <c r="F7" s="117"/>
      <c r="G7" s="117"/>
    </row>
    <row r="8" spans="1:8">
      <c r="A8" s="432" t="str">
        <f>"2) Considerou-se a utilização do "&amp;B3&amp;" em "&amp;F3*100&amp;"%, haja vista a utilização na produção de parte do serviço no desenvolvimento dos trabalhos."</f>
        <v>2) Considerou-se a utilização do Software CAD para MAC/Windows 64bits em 50%, haja vista a utilização na produção de parte do serviço no desenvolvimento dos trabalhos.</v>
      </c>
    </row>
    <row r="9" spans="1:8">
      <c r="A9" s="432" t="str">
        <f>"3) Considerou-se a utilização do "&amp;B4&amp;" em "&amp;F4*100&amp;"%, haja vista a utilização na produção de parte do serviço no desenvolvimento dos trabalhos."</f>
        <v>3) Considerou-se a utilização do Software SIG para MAC/Windows 64bits em 50%, haja vista a utilização na produção de parte do serviço no desenvolvimento dos trabalhos.</v>
      </c>
    </row>
  </sheetData>
  <mergeCells count="1">
    <mergeCell ref="D1:E1"/>
  </mergeCells>
  <phoneticPr fontId="19" type="noConversion"/>
  <hyperlinks>
    <hyperlink ref="C3" r:id="rId1" xr:uid="{FC994295-E99E-472A-A490-6A1F20AD62FD}"/>
    <hyperlink ref="C4" r:id="rId2" xr:uid="{BA7E859C-60C2-4160-922B-388E767F43C6}"/>
  </hyperlinks>
  <pageMargins left="0.511811024" right="0.511811024" top="0.78740157499999996" bottom="0.78740157499999996" header="0.31496062000000002" footer="0.31496062000000002"/>
  <pageSetup paperSize="9" orientation="portrait" horizontalDpi="4294967295" verticalDpi="4294967295"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DB35-BD22-4A66-AC7D-F516C35B5A1B}">
  <sheetPr>
    <tabColor rgb="FF002060"/>
    <pageSetUpPr fitToPage="1"/>
  </sheetPr>
  <dimension ref="B2:P9"/>
  <sheetViews>
    <sheetView showGridLines="0" zoomScaleNormal="100" workbookViewId="0">
      <selection activeCell="O9" sqref="O9"/>
    </sheetView>
  </sheetViews>
  <sheetFormatPr defaultRowHeight="15"/>
  <cols>
    <col min="1" max="1" width="3.28515625" style="120" customWidth="1"/>
    <col min="2" max="2" width="4.42578125" style="120" customWidth="1"/>
    <col min="3" max="3" width="32.140625" style="120" customWidth="1"/>
    <col min="4" max="4" width="7.28515625" style="120" customWidth="1"/>
    <col min="5" max="5" width="14.140625" style="120" customWidth="1"/>
    <col min="6" max="6" width="11.85546875" style="120" customWidth="1"/>
    <col min="7" max="7" width="14" style="120" customWidth="1"/>
    <col min="8" max="8" width="11" style="120" customWidth="1"/>
    <col min="9" max="9" width="14.85546875" style="120" customWidth="1"/>
    <col min="10" max="10" width="16.85546875" style="120" hidden="1" customWidth="1"/>
    <col min="11" max="11" width="13.7109375" style="120" customWidth="1"/>
    <col min="12" max="12" width="11.42578125" style="120" customWidth="1"/>
    <col min="13" max="13" width="12" style="120" customWidth="1"/>
    <col min="14" max="14" width="12.140625" style="120" customWidth="1"/>
    <col min="15" max="15" width="12.42578125" style="120" customWidth="1"/>
    <col min="16" max="16" width="14.85546875" style="120" customWidth="1"/>
    <col min="17" max="17" width="14.28515625" style="120" bestFit="1" customWidth="1"/>
    <col min="18" max="16384" width="9.140625" style="120"/>
  </cols>
  <sheetData>
    <row r="2" spans="2:16" ht="54" customHeight="1"/>
    <row r="4" spans="2:16" ht="36">
      <c r="B4" s="695" t="s">
        <v>777</v>
      </c>
      <c r="C4" s="695"/>
      <c r="D4" s="568" t="s">
        <v>587</v>
      </c>
      <c r="E4" s="568" t="s">
        <v>581</v>
      </c>
      <c r="F4" s="568" t="s">
        <v>582</v>
      </c>
      <c r="G4" s="568" t="s">
        <v>583</v>
      </c>
      <c r="H4" s="568" t="s">
        <v>584</v>
      </c>
      <c r="I4" s="568" t="s">
        <v>585</v>
      </c>
      <c r="J4" s="568" t="s">
        <v>589</v>
      </c>
      <c r="K4" s="568" t="s">
        <v>586</v>
      </c>
      <c r="L4" s="568" t="s">
        <v>669</v>
      </c>
      <c r="M4" s="568" t="s">
        <v>668</v>
      </c>
      <c r="N4" s="568" t="s">
        <v>670</v>
      </c>
      <c r="O4" s="568" t="s">
        <v>740</v>
      </c>
      <c r="P4" s="568" t="s">
        <v>588</v>
      </c>
    </row>
    <row r="5" spans="2:16" ht="26.25" customHeight="1">
      <c r="B5" s="433">
        <f>'Cronograma'!B4</f>
        <v>1</v>
      </c>
      <c r="C5" s="567" t="str">
        <f>'Cronograma'!C4</f>
        <v>Plano de Trabalho</v>
      </c>
      <c r="D5" s="569">
        <f>'Cronograma'!D4</f>
        <v>1</v>
      </c>
      <c r="E5" s="570">
        <f>'1.PdT'!$K$26</f>
        <v>165977.49000000002</v>
      </c>
      <c r="F5" s="570">
        <f>'1.PdT'!$K$16</f>
        <v>247.50210000000001</v>
      </c>
      <c r="G5" s="570">
        <f>E5+F5</f>
        <v>166224.99210000003</v>
      </c>
      <c r="H5" s="570">
        <f>'1.PdT'!$K$39</f>
        <v>185.34139999999999</v>
      </c>
      <c r="I5" s="570">
        <f>H5+G5</f>
        <v>166410.33350000004</v>
      </c>
      <c r="J5" s="570">
        <f ca="1">I5*(1+BDI!$E$23)</f>
        <v>240629.34224100003</v>
      </c>
      <c r="K5" s="571">
        <f ca="1">'1.PdT'!$K$51</f>
        <v>240629.34</v>
      </c>
      <c r="L5" s="570">
        <f ca="1">SUMIFS('Diárias e Passagens'!M:M,'Diárias e Passagens'!R:R,B5)*(1+BDI!$E$23)</f>
        <v>2157.4319999999998</v>
      </c>
      <c r="M5" s="570">
        <f ca="1">SUMIFS('Diárias e Passagens'!P:P,'Diárias e Passagens'!R:R,B5)*(1+BDI!$E$23)</f>
        <v>9109.7999999999993</v>
      </c>
      <c r="N5" s="570">
        <f ca="1">SUMIFS('Inspeção-Veículo'!O:O,'Inspeção-Veículo'!P:P,B5)*(1+BDI!$E$23)</f>
        <v>0</v>
      </c>
      <c r="O5" s="571">
        <f ca="1">SUM(L5:N5)</f>
        <v>11267.232</v>
      </c>
      <c r="P5" s="637">
        <f ca="1">SUM(K5,O5)</f>
        <v>251896.57199999999</v>
      </c>
    </row>
    <row r="6" spans="2:16" ht="34.5" customHeight="1">
      <c r="B6" s="433">
        <f>'Cronograma'!B5</f>
        <v>2</v>
      </c>
      <c r="C6" s="567" t="str">
        <f>'Cronograma'!C5</f>
        <v>EVTEA - Segmento 1 - Brasília (DF) - Luziânia (GO)</v>
      </c>
      <c r="D6" s="569">
        <f>'Cronograma'!D5</f>
        <v>6</v>
      </c>
      <c r="E6" s="570">
        <f>'2.1.1.EMD.Campo'!$K$26+'2.1.2.EMD'!$K$26+'2.2.EEN'!$K$26+'2.3.EOP'!$K$26+'2.4.EMA'!$K$26+'2.5.MEF'!$K$26+'2.6.AP'!$K$26+'2.7.TCU'!$K$26+'2.8.Edital'!$K$26+'2.9.ADJR'!$K$26</f>
        <v>1231091.8469999998</v>
      </c>
      <c r="F6" s="570">
        <f>'2.1.1.EMD.Campo'!$K$16+'2.1.2.EMD'!$K$16+'2.2.EEN'!$K$16+'2.3.EOP'!$K$16+'2.4.EMA'!$K$16+'2.5.MEF'!$K$16+'2.6.AP'!$K$16+'2.7.TCU'!$K$16+'2.8.Edital'!$K$16+'2.9.ADJR'!$K$16</f>
        <v>5031.0030000000006</v>
      </c>
      <c r="G6" s="570">
        <f>E6+F6</f>
        <v>1236122.8499999999</v>
      </c>
      <c r="H6" s="570">
        <f>'2.1.1.EMD.Campo'!$K$39+'2.1.2.EMD'!$K$39+'2.2.EEN'!$K$39+'2.3.EOP'!$K$39+'2.4.EMA'!$K$39+'2.5.MEF'!$K$39+'2.6.AP'!$K$39+'2.7.TCU'!$K$39+'2.8.Edital'!$K$39+'2.9.ADJR'!$K$39</f>
        <v>5509.5099000000009</v>
      </c>
      <c r="I6" s="570">
        <f t="shared" ref="I6" si="0">H6+G6</f>
        <v>1241632.3598999998</v>
      </c>
      <c r="J6" s="570">
        <f ca="1">I6*(1+BDI!$E$23)</f>
        <v>1795400.3924153997</v>
      </c>
      <c r="K6" s="571">
        <f ca="1">'2.1.1.EMD.Campo'!$K$51+'2.1.2.EMD'!$K$51+'2.2.EEN'!$K$51+'2.3.EOP'!$K$51+'2.4.EMA'!$K$51+'2.5.MEF'!$K$51+'2.6.AP'!$K$51+'2.7.TCU'!$K$51+'2.8.Edital'!$K$51+'2.9.ADJR'!$K$51</f>
        <v>1795400.3900000004</v>
      </c>
      <c r="L6" s="570">
        <f ca="1">SUMIFS('Diárias e Passagens'!M:M,'Diárias e Passagens'!R:R,B6)*(1+BDI!$E$23)</f>
        <v>17100.727375000002</v>
      </c>
      <c r="M6" s="570">
        <f ca="1">SUMIFS('Diárias e Passagens'!P:P,'Diárias e Passagens'!R:R,B6)*(1+BDI!$E$23)</f>
        <v>70091.235000000001</v>
      </c>
      <c r="N6" s="570">
        <f ca="1">SUMIFS('Inspeção-Veículo'!O:O,'Inspeção-Veículo'!P:P,B6)*(1+BDI!$E$23)</f>
        <v>45677.4107286</v>
      </c>
      <c r="O6" s="571">
        <f t="shared" ref="O6:O8" ca="1" si="1">SUM(L6:N6)</f>
        <v>132869.3731036</v>
      </c>
      <c r="P6" s="637">
        <f t="shared" ref="P6:P8" ca="1" si="2">SUM(K6,O6)</f>
        <v>1928269.7631036004</v>
      </c>
    </row>
    <row r="7" spans="2:16" ht="34.5" customHeight="1">
      <c r="B7" s="433">
        <f>'Cronograma'!B6</f>
        <v>3</v>
      </c>
      <c r="C7" s="567" t="str">
        <f>'Cronograma'!C6</f>
        <v>EVTEA - Segmento 2 - Rio Grande (RS) - Pelotas (RS)</v>
      </c>
      <c r="D7" s="569">
        <f>'Cronograma'!D6</f>
        <v>6</v>
      </c>
      <c r="E7" s="570">
        <f>'3.1.1.EMD.Campo'!$K$26+'3.1.2.EMD'!$K$26+'3.2.EEN'!$K$26+'3.3.EOP'!$K$26+'3.4.EMA'!$K$26+'3.5.MEF'!$K$26+'3.6.AP'!$K$26+'3.7.TCU'!$K$26+'3.8.Edital'!$K$26+'3.9.ADJR'!$K$26</f>
        <v>1231091.8469999998</v>
      </c>
      <c r="F7" s="570">
        <f>'3.1.1.EMD.Campo'!$K$16+'3.1.2.EMD'!$K$16+'3.2.EEN'!$K$16+'3.3.EOP'!$K$16+'3.4.EMA'!$K$16+'3.5.MEF'!$K$16+'3.6.AP'!$K$16+'3.7.TCU'!$K$16+'3.8.Edital'!$K$16+'3.9.ADJR'!$K$16</f>
        <v>5031.0030000000006</v>
      </c>
      <c r="G7" s="570">
        <f t="shared" ref="G7:G8" si="3">E7+F7</f>
        <v>1236122.8499999999</v>
      </c>
      <c r="H7" s="570">
        <f>'3.1.1.EMD.Campo'!$K$39+'3.1.2.EMD'!$K$39+'3.2.EEN'!$K$39+'3.3.EOP'!$K$39+'3.4.EMA'!$K$39+'3.5.MEF'!$K$39+'3.6.AP'!$K$39+'3.7.TCU'!$K$39+'3.8.Edital'!$K$39+'3.9.ADJR'!$K$39</f>
        <v>5509.5099000000009</v>
      </c>
      <c r="I7" s="570">
        <f t="shared" ref="I7:I8" si="4">H7+G7</f>
        <v>1241632.3598999998</v>
      </c>
      <c r="J7" s="570">
        <f ca="1">I7*(1+BDI!$E$23)</f>
        <v>1795400.3924153997</v>
      </c>
      <c r="K7" s="571">
        <f ca="1">'3.1.1.EMD.Campo'!$K$51+'3.1.2.EMD'!$K$51+'3.2.EEN'!$K$51+'3.3.EOP'!$K$51+'3.4.EMA'!$K$51+'3.5.MEF'!$K$51+'3.6.AP'!$K$51+'3.7.TCU'!$K$51+'3.8.Edital'!$K$51+'3.9.ADJR'!$K$51</f>
        <v>1795400.3900000004</v>
      </c>
      <c r="L7" s="570">
        <f ca="1">SUMIFS('Diárias e Passagens'!M:M,'Diárias e Passagens'!R:R,B7)*(1+BDI!$E$23)</f>
        <v>17930.490375000001</v>
      </c>
      <c r="M7" s="570">
        <f ca="1">SUMIFS('Diárias e Passagens'!P:P,'Diárias e Passagens'!R:R,B7)*(1+BDI!$E$23)</f>
        <v>70619.024999999994</v>
      </c>
      <c r="N7" s="570">
        <f ca="1">SUMIFS('Inspeção-Veículo'!O:O,'Inspeção-Veículo'!P:P,B7)*(1+BDI!$E$23)</f>
        <v>45983.301038999998</v>
      </c>
      <c r="O7" s="571">
        <f t="shared" ca="1" si="1"/>
        <v>134532.816414</v>
      </c>
      <c r="P7" s="637">
        <f t="shared" ca="1" si="2"/>
        <v>1929933.2064140004</v>
      </c>
    </row>
    <row r="8" spans="2:16" ht="34.5" customHeight="1">
      <c r="B8" s="433">
        <f>'Cronograma'!B7</f>
        <v>4</v>
      </c>
      <c r="C8" s="567" t="str">
        <f>'Cronograma'!C7</f>
        <v>EVTEA - Segmento 3 - Londrina (PR) - Maringá (PR)</v>
      </c>
      <c r="D8" s="569">
        <f>'Cronograma'!D7</f>
        <v>7</v>
      </c>
      <c r="E8" s="570">
        <f>'4.1.1.EMD.Campo'!$K$26+'4.1.2.EMD'!$K$26+'4.2.EEN'!$K$26+'4.3.EOP'!$K$26+'4.4.EMA'!$K$26+'4.5.MEF'!$K$26+'4.6.AP'!$K$26+'4.7.TCU'!$K$26+'4.8.Edital'!$K$26+'4.9.ADJR'!$K$26</f>
        <v>1396733.2120000001</v>
      </c>
      <c r="F8" s="570">
        <f>'4.1.1.EMD.Campo'!$K$16+'4.1.2.EMD'!$K$16+'4.2.EEN'!$K$16+'4.3.EOP'!$K$16+'4.4.EMA'!$K$16+'4.5.MEF'!$K$16+'4.6.AP'!$K$16+'4.7.TCU'!$K$16+'4.8.Edital'!$K$16+'4.9.ADJR'!$K$16</f>
        <v>5536.7283000000007</v>
      </c>
      <c r="G8" s="570">
        <f t="shared" si="3"/>
        <v>1402269.9403000001</v>
      </c>
      <c r="H8" s="570">
        <f>'4.1.1.EMD.Campo'!$K$39+'4.1.2.EMD'!$K$39+'4.2.EEN'!$K$39+'4.3.EOP'!$K$39+'4.4.EMA'!$K$39+'4.5.MEF'!$K$39+'4.6.AP'!$K$39+'4.7.TCU'!$K$39+'4.8.Edital'!$K$39+'4.9.ADJR'!$K$39</f>
        <v>6506.7723000000005</v>
      </c>
      <c r="I8" s="570">
        <f t="shared" si="4"/>
        <v>1408776.7126000002</v>
      </c>
      <c r="J8" s="570">
        <f ca="1">I8*(1+BDI!$E$23)</f>
        <v>2037091.1264196003</v>
      </c>
      <c r="K8" s="571">
        <f ca="1">'4.1.1.EMD.Campo'!$K$51+'4.1.2.EMD'!$K$51+'4.2.EEN'!$K$51+'4.3.EOP'!$K$51+'4.4.EMA'!$K$51+'4.5.MEF'!$K$51+'4.6.AP'!$K$51+'4.7.TCU'!$K$51+'4.8.Edital'!$K$51+'4.9.ADJR'!$K$51</f>
        <v>2037091.1200000003</v>
      </c>
      <c r="L8" s="570">
        <f ca="1">SUMIFS('Diárias e Passagens'!M:M,'Diárias e Passagens'!R:R,B8)*(1+BDI!$E$23)</f>
        <v>17490.183375000001</v>
      </c>
      <c r="M8" s="570">
        <f ca="1">SUMIFS('Diárias e Passagens'!P:P,'Diárias e Passagens'!R:R,B8)*(1+BDI!$E$23)</f>
        <v>70619.024999999994</v>
      </c>
      <c r="N8" s="570">
        <f ca="1">SUMIFS('Inspeção-Veículo'!O:O,'Inspeção-Veículo'!P:P,B8)*(1+BDI!$E$23)</f>
        <v>45983.301038999998</v>
      </c>
      <c r="O8" s="571">
        <f t="shared" ca="1" si="1"/>
        <v>134092.50941399997</v>
      </c>
      <c r="P8" s="637">
        <f t="shared" ca="1" si="2"/>
        <v>2171183.6294140005</v>
      </c>
    </row>
    <row r="9" spans="2:16" ht="25.5" customHeight="1">
      <c r="B9" s="696" t="str">
        <f>Resumo!B15</f>
        <v>SubTotal</v>
      </c>
      <c r="C9" s="697"/>
      <c r="D9" s="697"/>
      <c r="E9" s="572">
        <f t="shared" ref="E9:O9" si="5">SUM(E5:E8)</f>
        <v>4024894.3959999997</v>
      </c>
      <c r="F9" s="572">
        <f t="shared" si="5"/>
        <v>15846.236400000002</v>
      </c>
      <c r="G9" s="572">
        <f t="shared" si="5"/>
        <v>4040740.6323999995</v>
      </c>
      <c r="H9" s="572">
        <f t="shared" si="5"/>
        <v>17711.133500000004</v>
      </c>
      <c r="I9" s="572">
        <f t="shared" si="5"/>
        <v>4058451.7659</v>
      </c>
      <c r="J9" s="572">
        <f t="shared" ca="1" si="5"/>
        <v>5868521.2534913998</v>
      </c>
      <c r="K9" s="572">
        <f t="shared" ca="1" si="5"/>
        <v>5868521.2400000012</v>
      </c>
      <c r="L9" s="572">
        <f t="shared" ca="1" si="5"/>
        <v>54678.833125000005</v>
      </c>
      <c r="M9" s="572">
        <f t="shared" ca="1" si="5"/>
        <v>220439.08499999999</v>
      </c>
      <c r="N9" s="572">
        <f t="shared" ca="1" si="5"/>
        <v>137644.01280660002</v>
      </c>
      <c r="O9" s="572">
        <f t="shared" ca="1" si="5"/>
        <v>412761.93093159993</v>
      </c>
      <c r="P9" s="572">
        <f ca="1">SUM(P5:P8)</f>
        <v>6281283.170931601</v>
      </c>
    </row>
  </sheetData>
  <mergeCells count="2">
    <mergeCell ref="B4:C4"/>
    <mergeCell ref="B9:D9"/>
  </mergeCells>
  <pageMargins left="0.51181102362204722" right="0.51181102362204722" top="0.78740157480314965" bottom="0.78740157480314965" header="0.31496062992125984" footer="0.31496062992125984"/>
  <pageSetup paperSize="9" scale="7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C883-0FE5-45CF-A66C-E7896B29EF72}">
  <sheetPr>
    <tabColor theme="1"/>
  </sheetPr>
  <dimension ref="A1:J9"/>
  <sheetViews>
    <sheetView workbookViewId="0"/>
  </sheetViews>
  <sheetFormatPr defaultRowHeight="15"/>
  <cols>
    <col min="10" max="10" width="23.85546875" customWidth="1"/>
  </cols>
  <sheetData>
    <row r="1" spans="1:10" ht="21.75" customHeight="1">
      <c r="A1" s="201"/>
      <c r="B1" s="201"/>
      <c r="C1" s="201"/>
      <c r="D1" s="201"/>
      <c r="E1" s="201"/>
      <c r="F1" s="201"/>
      <c r="G1" s="201"/>
      <c r="H1" s="201"/>
      <c r="I1" s="201"/>
      <c r="J1" s="201"/>
    </row>
    <row r="2" spans="1:10" ht="21.75" customHeight="1">
      <c r="A2" s="201"/>
      <c r="B2" s="201" t="s">
        <v>484</v>
      </c>
      <c r="C2" s="201"/>
      <c r="D2" s="201"/>
      <c r="E2" s="201"/>
      <c r="F2" s="201"/>
      <c r="G2" s="201"/>
      <c r="H2" s="201"/>
      <c r="I2" s="201"/>
      <c r="J2" s="201"/>
    </row>
    <row r="3" spans="1:10" ht="32.25" customHeight="1">
      <c r="A3" s="201"/>
      <c r="B3" s="200" t="s">
        <v>489</v>
      </c>
      <c r="C3" s="200"/>
      <c r="D3" s="200"/>
      <c r="E3" s="200"/>
      <c r="F3" s="200"/>
      <c r="G3" s="200"/>
      <c r="H3" s="200"/>
      <c r="I3" s="200"/>
      <c r="J3" s="200"/>
    </row>
    <row r="4" spans="1:10" ht="21.75" customHeight="1">
      <c r="A4" s="201"/>
      <c r="B4" s="200" t="s">
        <v>487</v>
      </c>
      <c r="C4" s="200"/>
      <c r="D4" s="200"/>
      <c r="E4" s="200"/>
      <c r="F4" s="200"/>
      <c r="G4" s="200"/>
      <c r="H4" s="200"/>
      <c r="I4" s="200"/>
      <c r="J4" s="200"/>
    </row>
    <row r="5" spans="1:10" ht="21.75" customHeight="1">
      <c r="A5" s="201"/>
      <c r="B5" s="200" t="s">
        <v>488</v>
      </c>
      <c r="C5" s="200"/>
      <c r="D5" s="200"/>
      <c r="E5" s="200"/>
      <c r="F5" s="200"/>
      <c r="G5" s="200"/>
      <c r="H5" s="200"/>
      <c r="I5" s="200"/>
      <c r="J5" s="200"/>
    </row>
    <row r="6" spans="1:10" ht="21.75" customHeight="1">
      <c r="A6" s="201"/>
      <c r="B6" s="200" t="s">
        <v>597</v>
      </c>
      <c r="C6" s="201"/>
      <c r="D6" s="201"/>
      <c r="E6" s="201"/>
      <c r="F6" s="201"/>
      <c r="G6" s="201"/>
      <c r="H6" s="201"/>
      <c r="I6" s="201"/>
      <c r="J6" s="201"/>
    </row>
    <row r="7" spans="1:10" ht="21.75" customHeight="1">
      <c r="A7" s="201"/>
      <c r="B7" s="200" t="s">
        <v>592</v>
      </c>
      <c r="C7" s="201"/>
      <c r="D7" s="201"/>
      <c r="E7" s="201"/>
      <c r="F7" s="201"/>
      <c r="G7" s="201"/>
      <c r="H7" s="201"/>
      <c r="I7" s="201"/>
      <c r="J7" s="201"/>
    </row>
    <row r="8" spans="1:10" ht="21.75" customHeight="1">
      <c r="A8" s="201"/>
      <c r="B8" s="200" t="s">
        <v>490</v>
      </c>
      <c r="C8" s="201"/>
      <c r="D8" s="201"/>
      <c r="E8" s="201"/>
      <c r="F8" s="201"/>
      <c r="G8" s="201"/>
      <c r="H8" s="201"/>
      <c r="I8" s="201"/>
      <c r="J8" s="201"/>
    </row>
    <row r="9" spans="1:10" ht="21.75" customHeight="1">
      <c r="A9" s="199"/>
      <c r="B9" s="199"/>
      <c r="C9" s="199"/>
      <c r="D9" s="199"/>
      <c r="E9" s="199"/>
      <c r="F9" s="199"/>
      <c r="G9" s="199"/>
      <c r="H9" s="199"/>
      <c r="I9" s="199"/>
      <c r="J9" s="199"/>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95CD6-99AC-4365-B612-3BB8259519D9}">
  <sheetPr>
    <tabColor theme="4"/>
  </sheetPr>
  <dimension ref="B1:AK46"/>
  <sheetViews>
    <sheetView workbookViewId="0">
      <selection activeCell="C13" sqref="C13"/>
    </sheetView>
  </sheetViews>
  <sheetFormatPr defaultRowHeight="15"/>
  <cols>
    <col min="1" max="1" width="2.42578125" style="51" customWidth="1"/>
    <col min="2" max="2" width="6.42578125" style="51" customWidth="1"/>
    <col min="3" max="3" width="51.85546875" style="51" bestFit="1" customWidth="1"/>
    <col min="4" max="4" width="10.28515625" style="90" customWidth="1"/>
    <col min="5" max="5" width="4.5703125" style="90" customWidth="1"/>
    <col min="6" max="37" width="4.5703125" style="51" customWidth="1"/>
    <col min="38" max="16384" width="9.140625" style="51"/>
  </cols>
  <sheetData>
    <row r="1" spans="2:37" ht="45.75" customHeight="1">
      <c r="E1" s="441">
        <v>45413</v>
      </c>
      <c r="F1" s="441">
        <v>45444</v>
      </c>
      <c r="G1" s="441">
        <v>45474</v>
      </c>
      <c r="H1" s="441">
        <v>45505</v>
      </c>
      <c r="I1" s="441">
        <v>45536</v>
      </c>
      <c r="J1" s="441">
        <v>45566</v>
      </c>
      <c r="K1" s="441">
        <v>45597</v>
      </c>
      <c r="L1" s="441">
        <v>45627</v>
      </c>
      <c r="M1" s="441">
        <v>45658</v>
      </c>
      <c r="N1" s="441">
        <v>45689</v>
      </c>
      <c r="O1" s="441">
        <v>45717</v>
      </c>
      <c r="P1" s="441">
        <v>45748</v>
      </c>
      <c r="Q1" s="441">
        <v>45778</v>
      </c>
      <c r="R1" s="441"/>
      <c r="S1" s="441"/>
      <c r="T1" s="441"/>
      <c r="U1" s="441"/>
      <c r="V1" s="441"/>
      <c r="W1" s="441"/>
      <c r="X1" s="441"/>
      <c r="Y1" s="441"/>
      <c r="Z1" s="441"/>
      <c r="AA1" s="441"/>
      <c r="AB1" s="441"/>
      <c r="AC1" s="441"/>
      <c r="AD1" s="441"/>
      <c r="AE1" s="308"/>
    </row>
    <row r="2" spans="2:37" ht="22.5" customHeight="1">
      <c r="E2" s="704" t="s">
        <v>571</v>
      </c>
      <c r="F2" s="705"/>
      <c r="G2" s="705"/>
      <c r="H2" s="705"/>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6"/>
    </row>
    <row r="3" spans="2:37" s="87" customFormat="1" ht="31.5" customHeight="1">
      <c r="B3" s="498" t="s">
        <v>313</v>
      </c>
      <c r="C3" s="498" t="s">
        <v>314</v>
      </c>
      <c r="D3" s="123" t="s">
        <v>0</v>
      </c>
      <c r="E3" s="390" t="s">
        <v>304</v>
      </c>
      <c r="F3" s="390" t="s">
        <v>305</v>
      </c>
      <c r="G3" s="390" t="s">
        <v>306</v>
      </c>
      <c r="H3" s="390" t="s">
        <v>307</v>
      </c>
      <c r="I3" s="390" t="s">
        <v>308</v>
      </c>
      <c r="J3" s="390" t="s">
        <v>309</v>
      </c>
      <c r="K3" s="390" t="s">
        <v>310</v>
      </c>
      <c r="L3" s="390" t="s">
        <v>311</v>
      </c>
      <c r="M3" s="390" t="s">
        <v>312</v>
      </c>
      <c r="N3" s="390" t="s">
        <v>527</v>
      </c>
      <c r="O3" s="390" t="s">
        <v>528</v>
      </c>
      <c r="P3" s="390" t="s">
        <v>529</v>
      </c>
      <c r="Q3" s="390" t="s">
        <v>530</v>
      </c>
      <c r="R3" s="390" t="s">
        <v>598</v>
      </c>
      <c r="S3" s="390" t="s">
        <v>531</v>
      </c>
      <c r="T3" s="390" t="s">
        <v>532</v>
      </c>
      <c r="U3" s="390" t="s">
        <v>533</v>
      </c>
      <c r="V3" s="390" t="s">
        <v>534</v>
      </c>
      <c r="W3" s="390" t="s">
        <v>535</v>
      </c>
      <c r="X3" s="390" t="s">
        <v>536</v>
      </c>
      <c r="Y3" s="390" t="s">
        <v>537</v>
      </c>
      <c r="Z3" s="390" t="s">
        <v>538</v>
      </c>
      <c r="AA3" s="390" t="s">
        <v>539</v>
      </c>
      <c r="AB3" s="390" t="s">
        <v>540</v>
      </c>
      <c r="AC3" s="390" t="s">
        <v>541</v>
      </c>
      <c r="AD3" s="390" t="s">
        <v>542</v>
      </c>
      <c r="AE3" s="390" t="s">
        <v>706</v>
      </c>
      <c r="AF3" s="390" t="s">
        <v>707</v>
      </c>
      <c r="AG3" s="390" t="s">
        <v>708</v>
      </c>
      <c r="AH3" s="390" t="s">
        <v>709</v>
      </c>
      <c r="AI3" s="390" t="s">
        <v>710</v>
      </c>
      <c r="AJ3" s="390" t="s">
        <v>711</v>
      </c>
      <c r="AK3" s="390" t="s">
        <v>712</v>
      </c>
    </row>
    <row r="4" spans="2:37" ht="20.100000000000001" customHeight="1">
      <c r="B4" s="93">
        <f>'Alocação MO'!B4</f>
        <v>1</v>
      </c>
      <c r="C4" s="181" t="str">
        <f>'Alocação MO'!C4</f>
        <v>Plano de Trabalho</v>
      </c>
      <c r="D4" s="539">
        <f>COUNTA(Cronograma[[#This Row],[1]:[26]])</f>
        <v>1</v>
      </c>
      <c r="E4" s="221" t="s">
        <v>315</v>
      </c>
      <c r="F4" s="222"/>
      <c r="G4" s="222"/>
      <c r="H4" s="222"/>
      <c r="I4" s="222"/>
      <c r="J4" s="222"/>
      <c r="K4" s="222"/>
      <c r="L4" s="222"/>
      <c r="M4" s="222"/>
      <c r="N4" s="220"/>
      <c r="O4" s="220"/>
      <c r="P4" s="220"/>
      <c r="Q4" s="220"/>
      <c r="R4" s="220"/>
      <c r="S4" s="220"/>
      <c r="T4" s="220"/>
      <c r="U4" s="220"/>
      <c r="V4" s="220"/>
      <c r="W4" s="220"/>
      <c r="X4" s="220"/>
      <c r="Y4" s="220"/>
      <c r="Z4" s="220"/>
      <c r="AA4" s="220"/>
      <c r="AB4" s="220"/>
      <c r="AC4" s="220"/>
      <c r="AD4" s="220"/>
      <c r="AE4" s="220"/>
      <c r="AF4" s="220"/>
      <c r="AG4" s="220"/>
      <c r="AH4" s="220"/>
      <c r="AI4" s="220"/>
      <c r="AJ4" s="220"/>
      <c r="AK4" s="220"/>
    </row>
    <row r="5" spans="2:37" ht="20.100000000000001" customHeight="1">
      <c r="B5" s="93">
        <v>2</v>
      </c>
      <c r="C5" s="181" t="str">
        <f>"EVTEA - Segmento 1 - "&amp;Lotes!A2</f>
        <v>EVTEA - Segmento 1 - Brasília (DF) - Luziânia (GO)</v>
      </c>
      <c r="D5" s="539">
        <f>COUNTA(Cronograma[[#This Row],[1]:[26]])</f>
        <v>6</v>
      </c>
      <c r="E5" s="128" t="s">
        <v>315</v>
      </c>
      <c r="F5" s="129" t="s">
        <v>315</v>
      </c>
      <c r="G5" s="129" t="s">
        <v>315</v>
      </c>
      <c r="H5" s="129" t="s">
        <v>315</v>
      </c>
      <c r="I5" s="129" t="s">
        <v>315</v>
      </c>
      <c r="J5" s="129" t="s">
        <v>315</v>
      </c>
      <c r="K5" s="129"/>
      <c r="L5" s="129"/>
      <c r="M5" s="219"/>
      <c r="N5" s="219"/>
      <c r="O5" s="219"/>
      <c r="P5" s="219"/>
      <c r="Q5" s="220"/>
      <c r="R5" s="129"/>
      <c r="S5" s="219"/>
      <c r="T5" s="219"/>
      <c r="U5" s="219"/>
      <c r="V5" s="219"/>
      <c r="W5" s="220"/>
      <c r="X5" s="220"/>
      <c r="Y5" s="220"/>
      <c r="Z5" s="220"/>
      <c r="AA5" s="220"/>
      <c r="AB5" s="220"/>
      <c r="AC5" s="220"/>
      <c r="AD5" s="220"/>
      <c r="AE5" s="220"/>
      <c r="AF5" s="220"/>
      <c r="AG5" s="220"/>
      <c r="AH5" s="220"/>
      <c r="AI5" s="220"/>
      <c r="AJ5" s="220"/>
      <c r="AK5" s="220"/>
    </row>
    <row r="6" spans="2:37" ht="20.100000000000001" customHeight="1">
      <c r="B6" s="93">
        <v>3</v>
      </c>
      <c r="C6" s="181" t="str">
        <f>"EVTEA - Segmento 2 - "&amp;Lotes!A3</f>
        <v>EVTEA - Segmento 2 - Rio Grande (RS) - Pelotas (RS)</v>
      </c>
      <c r="D6" s="539">
        <f>COUNTA(Cronograma[[#This Row],[1]:[26]])</f>
        <v>6</v>
      </c>
      <c r="E6" s="128"/>
      <c r="F6" s="129"/>
      <c r="G6" s="129" t="s">
        <v>315</v>
      </c>
      <c r="H6" s="129" t="s">
        <v>315</v>
      </c>
      <c r="I6" s="129" t="s">
        <v>315</v>
      </c>
      <c r="J6" s="129" t="s">
        <v>315</v>
      </c>
      <c r="K6" s="129" t="s">
        <v>315</v>
      </c>
      <c r="L6" s="129" t="s">
        <v>315</v>
      </c>
      <c r="M6" s="219"/>
      <c r="N6" s="219"/>
      <c r="O6" s="219"/>
      <c r="P6" s="219"/>
      <c r="Q6" s="220"/>
      <c r="R6" s="129"/>
      <c r="S6" s="219"/>
      <c r="T6" s="219"/>
      <c r="U6" s="219"/>
      <c r="V6" s="219"/>
      <c r="W6" s="220"/>
      <c r="X6" s="220"/>
      <c r="Y6" s="220"/>
      <c r="Z6" s="220"/>
      <c r="AA6" s="220"/>
      <c r="AB6" s="220"/>
      <c r="AC6" s="220"/>
      <c r="AD6" s="220"/>
      <c r="AE6" s="220"/>
      <c r="AF6" s="220"/>
      <c r="AG6" s="220"/>
      <c r="AH6" s="220"/>
      <c r="AI6" s="220"/>
      <c r="AJ6" s="220"/>
      <c r="AK6" s="220"/>
    </row>
    <row r="7" spans="2:37" ht="20.100000000000001" customHeight="1">
      <c r="B7" s="93">
        <v>4</v>
      </c>
      <c r="C7" s="181" t="str">
        <f>"EVTEA - Segmento 3 - "&amp;Lotes!A4</f>
        <v>EVTEA - Segmento 3 - Londrina (PR) - Maringá (PR)</v>
      </c>
      <c r="D7" s="539">
        <f>COUNTA(Cronograma[[#This Row],[1]:[26]])</f>
        <v>7</v>
      </c>
      <c r="E7" s="128"/>
      <c r="F7" s="129"/>
      <c r="G7" s="129"/>
      <c r="H7" s="129"/>
      <c r="I7" s="129" t="s">
        <v>315</v>
      </c>
      <c r="J7" s="129" t="s">
        <v>315</v>
      </c>
      <c r="K7" s="129" t="s">
        <v>315</v>
      </c>
      <c r="L7" s="129" t="s">
        <v>315</v>
      </c>
      <c r="M7" s="219" t="s">
        <v>315</v>
      </c>
      <c r="N7" s="219" t="s">
        <v>315</v>
      </c>
      <c r="O7" s="219" t="s">
        <v>315</v>
      </c>
      <c r="P7" s="219"/>
      <c r="Q7" s="220"/>
      <c r="R7" s="129"/>
      <c r="S7" s="219"/>
      <c r="T7" s="219"/>
      <c r="U7" s="219"/>
      <c r="V7" s="219"/>
      <c r="W7" s="220"/>
      <c r="X7" s="220"/>
      <c r="Y7" s="220"/>
      <c r="Z7" s="220"/>
      <c r="AA7" s="220"/>
      <c r="AB7" s="220"/>
      <c r="AC7" s="220"/>
      <c r="AD7" s="220"/>
      <c r="AE7" s="220"/>
      <c r="AF7" s="220"/>
      <c r="AG7" s="220"/>
      <c r="AH7" s="220"/>
      <c r="AI7" s="220"/>
      <c r="AJ7" s="220"/>
      <c r="AK7" s="220"/>
    </row>
    <row r="8" spans="2:37" ht="20.100000000000001" customHeight="1"/>
    <row r="9" spans="2:37" ht="44.25" customHeight="1">
      <c r="E9" s="701" t="str">
        <f>C5</f>
        <v>EVTEA - Segmento 1 - Brasília (DF) - Luziânia (GO)</v>
      </c>
      <c r="F9" s="702"/>
      <c r="G9" s="702"/>
      <c r="H9" s="702"/>
      <c r="I9" s="702"/>
      <c r="J9" s="702"/>
      <c r="K9" s="702"/>
      <c r="L9" s="702"/>
      <c r="M9" s="702"/>
      <c r="N9" s="702"/>
      <c r="O9" s="702"/>
      <c r="P9" s="702"/>
      <c r="Q9" s="703"/>
      <c r="R9" s="501" t="s">
        <v>265</v>
      </c>
      <c r="S9" s="701" t="s">
        <v>697</v>
      </c>
      <c r="T9" s="702"/>
      <c r="U9" s="703"/>
      <c r="V9" s="701" t="s">
        <v>698</v>
      </c>
      <c r="W9" s="702"/>
      <c r="X9" s="703"/>
      <c r="Y9" s="701" t="s">
        <v>699</v>
      </c>
      <c r="Z9" s="703"/>
      <c r="AA9" s="701" t="s">
        <v>700</v>
      </c>
      <c r="AB9" s="702"/>
      <c r="AC9" s="703"/>
      <c r="AD9" s="502" t="s">
        <v>701</v>
      </c>
      <c r="AE9" s="501" t="s">
        <v>265</v>
      </c>
      <c r="AF9" s="502" t="s">
        <v>702</v>
      </c>
      <c r="AG9" s="698" t="s">
        <v>703</v>
      </c>
      <c r="AH9" s="699"/>
      <c r="AI9" s="700"/>
      <c r="AJ9" s="502" t="s">
        <v>704</v>
      </c>
      <c r="AK9" s="502" t="s">
        <v>705</v>
      </c>
    </row>
    <row r="10" spans="2:37" ht="23.25" customHeight="1">
      <c r="B10" s="504" t="s">
        <v>313</v>
      </c>
      <c r="C10" s="504" t="s">
        <v>314</v>
      </c>
      <c r="D10" s="503" t="s">
        <v>0</v>
      </c>
      <c r="E10" s="499" t="s">
        <v>304</v>
      </c>
      <c r="F10" s="499" t="s">
        <v>305</v>
      </c>
      <c r="G10" s="499" t="s">
        <v>306</v>
      </c>
      <c r="H10" s="499" t="s">
        <v>307</v>
      </c>
      <c r="I10" s="499" t="s">
        <v>308</v>
      </c>
      <c r="J10" s="499" t="s">
        <v>309</v>
      </c>
      <c r="K10" s="499" t="s">
        <v>310</v>
      </c>
      <c r="L10" s="629" t="s">
        <v>311</v>
      </c>
      <c r="M10" s="499" t="s">
        <v>312</v>
      </c>
      <c r="N10" s="499" t="s">
        <v>527</v>
      </c>
      <c r="O10" s="499" t="s">
        <v>528</v>
      </c>
      <c r="P10" s="499" t="s">
        <v>529</v>
      </c>
      <c r="Q10" s="499" t="s">
        <v>530</v>
      </c>
      <c r="R10" s="499" t="s">
        <v>598</v>
      </c>
      <c r="S10" s="499" t="s">
        <v>531</v>
      </c>
      <c r="T10" s="499" t="s">
        <v>532</v>
      </c>
      <c r="U10" s="499" t="s">
        <v>533</v>
      </c>
      <c r="V10" s="499" t="s">
        <v>534</v>
      </c>
      <c r="W10" s="499" t="s">
        <v>535</v>
      </c>
      <c r="X10" s="499" t="s">
        <v>536</v>
      </c>
      <c r="Y10" s="499" t="s">
        <v>537</v>
      </c>
      <c r="Z10" s="499" t="s">
        <v>538</v>
      </c>
      <c r="AA10" s="499" t="s">
        <v>539</v>
      </c>
      <c r="AB10" s="499" t="s">
        <v>540</v>
      </c>
      <c r="AC10" s="499" t="s">
        <v>541</v>
      </c>
      <c r="AD10" s="499" t="s">
        <v>542</v>
      </c>
      <c r="AE10" s="499" t="s">
        <v>706</v>
      </c>
      <c r="AF10" s="499" t="s">
        <v>707</v>
      </c>
      <c r="AG10" s="499" t="s">
        <v>708</v>
      </c>
      <c r="AH10" s="499" t="s">
        <v>709</v>
      </c>
      <c r="AI10" s="499" t="s">
        <v>710</v>
      </c>
      <c r="AJ10" s="499" t="s">
        <v>711</v>
      </c>
      <c r="AK10" s="499" t="s">
        <v>712</v>
      </c>
    </row>
    <row r="11" spans="2:37" ht="17.25" customHeight="1">
      <c r="B11" s="505" t="s">
        <v>721</v>
      </c>
      <c r="C11" s="506" t="str">
        <f>'Alocação MO'!C5</f>
        <v>Dimensão de Mercado e Demanda (EMD) - Pesquisa de Campo</v>
      </c>
      <c r="D11" s="540">
        <f t="shared" ref="D11:D19" si="0">COUNTA(E11:AK11)</f>
        <v>2</v>
      </c>
      <c r="E11" s="128" t="s">
        <v>315</v>
      </c>
      <c r="F11" s="129" t="s">
        <v>315</v>
      </c>
      <c r="G11" s="129"/>
      <c r="H11" s="129"/>
      <c r="I11" s="129"/>
      <c r="J11" s="129"/>
      <c r="K11" s="129"/>
      <c r="L11" s="630"/>
      <c r="M11" s="129"/>
      <c r="N11" s="219"/>
      <c r="O11" s="219"/>
      <c r="P11" s="219"/>
      <c r="Q11" s="219"/>
      <c r="R11" s="220"/>
      <c r="S11" s="220"/>
      <c r="T11" s="220"/>
      <c r="U11" s="220"/>
      <c r="V11" s="220"/>
      <c r="W11" s="220"/>
      <c r="X11" s="220"/>
      <c r="Y11" s="220"/>
      <c r="Z11" s="220"/>
      <c r="AA11" s="220"/>
      <c r="AB11" s="220"/>
      <c r="AC11" s="219"/>
      <c r="AD11" s="219"/>
      <c r="AE11" s="219"/>
      <c r="AF11" s="219"/>
      <c r="AG11" s="219"/>
      <c r="AH11" s="219"/>
      <c r="AI11" s="219"/>
      <c r="AJ11" s="219"/>
      <c r="AK11" s="500"/>
    </row>
    <row r="12" spans="2:37" ht="17.25" customHeight="1">
      <c r="B12" s="505" t="s">
        <v>722</v>
      </c>
      <c r="C12" s="506" t="str">
        <f>'Alocação MO'!C6</f>
        <v>Dimensão de Mercado e Demanda (EMD)</v>
      </c>
      <c r="D12" s="540">
        <f t="shared" si="0"/>
        <v>3</v>
      </c>
      <c r="E12" s="128"/>
      <c r="F12" s="129" t="s">
        <v>315</v>
      </c>
      <c r="G12" s="129" t="s">
        <v>315</v>
      </c>
      <c r="H12" s="129" t="s">
        <v>315</v>
      </c>
      <c r="I12" s="129"/>
      <c r="J12" s="129"/>
      <c r="K12" s="129"/>
      <c r="L12" s="630"/>
      <c r="M12" s="129"/>
      <c r="N12" s="219"/>
      <c r="O12" s="219"/>
      <c r="P12" s="219"/>
      <c r="Q12" s="219"/>
      <c r="R12" s="220"/>
      <c r="S12" s="220"/>
      <c r="T12" s="220"/>
      <c r="U12" s="220"/>
      <c r="V12" s="220"/>
      <c r="W12" s="220"/>
      <c r="X12" s="220"/>
      <c r="Y12" s="220"/>
      <c r="Z12" s="220"/>
      <c r="AA12" s="220"/>
      <c r="AB12" s="220"/>
      <c r="AC12" s="219"/>
      <c r="AD12" s="219"/>
      <c r="AE12" s="219"/>
      <c r="AF12" s="219"/>
      <c r="AG12" s="219"/>
      <c r="AH12" s="219"/>
      <c r="AI12" s="219"/>
      <c r="AJ12" s="219"/>
      <c r="AK12" s="500"/>
    </row>
    <row r="13" spans="2:37" ht="17.25" customHeight="1">
      <c r="B13" s="505" t="s">
        <v>551</v>
      </c>
      <c r="C13" s="506" t="str">
        <f>'Alocação MO'!C7</f>
        <v>Dimensão de Engenharia (EEN)</v>
      </c>
      <c r="D13" s="540">
        <f t="shared" si="0"/>
        <v>2</v>
      </c>
      <c r="E13" s="128"/>
      <c r="F13" s="129"/>
      <c r="G13" s="129" t="s">
        <v>315</v>
      </c>
      <c r="H13" s="129" t="s">
        <v>315</v>
      </c>
      <c r="I13" s="129"/>
      <c r="J13" s="129"/>
      <c r="K13" s="129"/>
      <c r="L13" s="630"/>
      <c r="M13" s="129"/>
      <c r="N13" s="219"/>
      <c r="O13" s="219"/>
      <c r="P13" s="219"/>
      <c r="Q13" s="219"/>
      <c r="R13" s="220"/>
      <c r="S13" s="220"/>
      <c r="T13" s="220"/>
      <c r="U13" s="220"/>
      <c r="V13" s="220"/>
      <c r="W13" s="220"/>
      <c r="X13" s="220"/>
      <c r="Y13" s="220"/>
      <c r="Z13" s="220"/>
      <c r="AA13" s="220"/>
      <c r="AB13" s="220"/>
      <c r="AC13" s="219"/>
      <c r="AD13" s="219"/>
      <c r="AE13" s="219"/>
      <c r="AF13" s="219"/>
      <c r="AG13" s="219"/>
      <c r="AH13" s="219"/>
      <c r="AI13" s="219"/>
      <c r="AJ13" s="219"/>
      <c r="AK13" s="500"/>
    </row>
    <row r="14" spans="2:37" ht="17.25" customHeight="1">
      <c r="B14" s="505" t="s">
        <v>747</v>
      </c>
      <c r="C14" s="506" t="str">
        <f>'Alocação MO'!C8</f>
        <v>Dimensão Operacional (EOP)</v>
      </c>
      <c r="D14" s="540">
        <f t="shared" si="0"/>
        <v>2</v>
      </c>
      <c r="E14" s="128"/>
      <c r="F14" s="129"/>
      <c r="G14" s="129"/>
      <c r="H14" s="129" t="s">
        <v>315</v>
      </c>
      <c r="I14" s="129" t="s">
        <v>315</v>
      </c>
      <c r="J14" s="129"/>
      <c r="K14" s="129"/>
      <c r="L14" s="630"/>
      <c r="M14" s="129"/>
      <c r="N14" s="219"/>
      <c r="O14" s="219"/>
      <c r="P14" s="219"/>
      <c r="Q14" s="219"/>
      <c r="R14" s="220"/>
      <c r="S14" s="220"/>
      <c r="T14" s="220"/>
      <c r="U14" s="220"/>
      <c r="V14" s="220"/>
      <c r="W14" s="220"/>
      <c r="X14" s="220"/>
      <c r="Y14" s="220"/>
      <c r="Z14" s="220"/>
      <c r="AA14" s="220"/>
      <c r="AB14" s="220"/>
      <c r="AC14" s="219"/>
      <c r="AD14" s="219"/>
      <c r="AE14" s="219"/>
      <c r="AF14" s="219"/>
      <c r="AG14" s="219"/>
      <c r="AH14" s="219"/>
      <c r="AI14" s="219"/>
      <c r="AJ14" s="219"/>
      <c r="AK14" s="500"/>
    </row>
    <row r="15" spans="2:37" ht="17.25" customHeight="1">
      <c r="B15" s="505" t="s">
        <v>748</v>
      </c>
      <c r="C15" s="506" t="str">
        <f>'Alocação MO'!C9</f>
        <v>Dimensão Socioambiental (EMA)</v>
      </c>
      <c r="D15" s="540">
        <f t="shared" si="0"/>
        <v>2</v>
      </c>
      <c r="E15" s="128"/>
      <c r="F15" s="129" t="s">
        <v>315</v>
      </c>
      <c r="G15" s="129" t="s">
        <v>315</v>
      </c>
      <c r="H15" s="129"/>
      <c r="I15" s="129"/>
      <c r="J15" s="129"/>
      <c r="K15" s="129"/>
      <c r="L15" s="630"/>
      <c r="M15" s="129"/>
      <c r="N15" s="219"/>
      <c r="O15" s="219"/>
      <c r="P15" s="219"/>
      <c r="Q15" s="219"/>
      <c r="R15" s="220"/>
      <c r="S15" s="220"/>
      <c r="T15" s="220"/>
      <c r="U15" s="220"/>
      <c r="V15" s="220"/>
      <c r="W15" s="220"/>
      <c r="X15" s="220"/>
      <c r="Y15" s="220"/>
      <c r="Z15" s="220"/>
      <c r="AA15" s="220"/>
      <c r="AB15" s="220"/>
      <c r="AC15" s="219"/>
      <c r="AD15" s="219"/>
      <c r="AE15" s="219"/>
      <c r="AF15" s="219"/>
      <c r="AG15" s="219"/>
      <c r="AH15" s="219"/>
      <c r="AI15" s="219"/>
      <c r="AJ15" s="219"/>
      <c r="AK15" s="500"/>
    </row>
    <row r="16" spans="2:37" ht="17.25" customHeight="1">
      <c r="B16" s="505" t="s">
        <v>749</v>
      </c>
      <c r="C16" s="506" t="str">
        <f>'Alocação MO'!C10</f>
        <v>Dimensão Econômico-Financeira (MEF)</v>
      </c>
      <c r="D16" s="540">
        <f t="shared" si="0"/>
        <v>1</v>
      </c>
      <c r="E16" s="128"/>
      <c r="F16" s="129"/>
      <c r="G16" s="129"/>
      <c r="H16" s="129"/>
      <c r="I16" s="129"/>
      <c r="J16" s="129" t="s">
        <v>315</v>
      </c>
      <c r="K16" s="129"/>
      <c r="L16" s="630"/>
      <c r="M16" s="129"/>
      <c r="N16" s="129"/>
      <c r="O16" s="219"/>
      <c r="P16" s="219"/>
      <c r="Q16" s="219"/>
      <c r="R16" s="220"/>
      <c r="S16" s="220"/>
      <c r="T16" s="220"/>
      <c r="U16" s="220"/>
      <c r="V16" s="220"/>
      <c r="W16" s="220"/>
      <c r="X16" s="220"/>
      <c r="Y16" s="220"/>
      <c r="Z16" s="220"/>
      <c r="AA16" s="220"/>
      <c r="AB16" s="220"/>
      <c r="AC16" s="219"/>
      <c r="AD16" s="219"/>
      <c r="AE16" s="219"/>
      <c r="AF16" s="219"/>
      <c r="AG16" s="219"/>
      <c r="AH16" s="219"/>
      <c r="AI16" s="219"/>
      <c r="AJ16" s="219"/>
      <c r="AK16" s="500"/>
    </row>
    <row r="17" spans="2:37" ht="17.25" customHeight="1">
      <c r="B17" s="505" t="s">
        <v>750</v>
      </c>
      <c r="C17" s="506" t="str">
        <f>'Alocação MO'!C11</f>
        <v>Apoio e revisão pós Audiência Pública</v>
      </c>
      <c r="D17" s="540">
        <f t="shared" si="0"/>
        <v>1</v>
      </c>
      <c r="E17" s="128"/>
      <c r="F17" s="129"/>
      <c r="G17" s="129"/>
      <c r="H17" s="129"/>
      <c r="I17" s="129"/>
      <c r="J17" s="129"/>
      <c r="K17" s="129"/>
      <c r="L17" s="630"/>
      <c r="M17" s="129"/>
      <c r="N17" s="219"/>
      <c r="O17" s="219"/>
      <c r="P17" s="219"/>
      <c r="Q17" s="219"/>
      <c r="R17" s="219"/>
      <c r="S17" s="219"/>
      <c r="T17" s="219"/>
      <c r="U17" s="219"/>
      <c r="V17" s="219" t="s">
        <v>315</v>
      </c>
      <c r="W17" s="219"/>
      <c r="X17" s="219"/>
      <c r="Y17" s="219"/>
      <c r="Z17" s="219"/>
      <c r="AA17" s="219"/>
      <c r="AB17" s="219"/>
      <c r="AC17" s="219"/>
      <c r="AD17" s="219"/>
      <c r="AE17" s="219"/>
      <c r="AF17" s="219"/>
      <c r="AG17" s="219"/>
      <c r="AH17" s="219"/>
      <c r="AI17" s="219"/>
      <c r="AJ17" s="219"/>
      <c r="AK17" s="500"/>
    </row>
    <row r="18" spans="2:37" ht="17.25" customHeight="1">
      <c r="B18" s="505" t="s">
        <v>751</v>
      </c>
      <c r="C18" s="506" t="str">
        <f>'Alocação MO'!C12</f>
        <v>Apoio a subsídios a questionamentos do órgão de controle externo</v>
      </c>
      <c r="D18" s="540">
        <f t="shared" si="0"/>
        <v>1</v>
      </c>
      <c r="E18" s="128"/>
      <c r="F18" s="129"/>
      <c r="G18" s="129"/>
      <c r="H18" s="129"/>
      <c r="I18" s="129"/>
      <c r="J18" s="129"/>
      <c r="K18" s="129"/>
      <c r="L18" s="630"/>
      <c r="M18" s="129"/>
      <c r="N18" s="219"/>
      <c r="O18" s="219"/>
      <c r="P18" s="219"/>
      <c r="Q18" s="219"/>
      <c r="R18" s="219"/>
      <c r="S18" s="219"/>
      <c r="T18" s="219"/>
      <c r="U18" s="219"/>
      <c r="V18" s="219"/>
      <c r="W18" s="219"/>
      <c r="X18" s="219"/>
      <c r="Y18" s="219"/>
      <c r="Z18" s="219"/>
      <c r="AA18" s="219" t="s">
        <v>315</v>
      </c>
      <c r="AB18" s="219"/>
      <c r="AC18" s="219"/>
      <c r="AD18" s="219"/>
      <c r="AE18" s="219"/>
      <c r="AF18" s="219"/>
      <c r="AG18" s="219"/>
      <c r="AH18" s="219"/>
      <c r="AI18" s="219"/>
      <c r="AJ18" s="219"/>
      <c r="AK18" s="500"/>
    </row>
    <row r="19" spans="2:37" ht="17.25" customHeight="1">
      <c r="B19" s="505" t="s">
        <v>752</v>
      </c>
      <c r="C19" s="506" t="str">
        <f>'Alocação MO'!C13</f>
        <v>Apoio a subsídios a questionamentos do processo licitatório</v>
      </c>
      <c r="D19" s="540">
        <f t="shared" si="0"/>
        <v>1</v>
      </c>
      <c r="E19" s="128"/>
      <c r="F19" s="129"/>
      <c r="G19" s="129"/>
      <c r="H19" s="129"/>
      <c r="I19" s="129"/>
      <c r="J19" s="129"/>
      <c r="K19" s="129"/>
      <c r="L19" s="630"/>
      <c r="M19" s="129"/>
      <c r="N19" s="219"/>
      <c r="O19" s="219"/>
      <c r="P19" s="219"/>
      <c r="Q19" s="219"/>
      <c r="R19" s="219"/>
      <c r="S19" s="219"/>
      <c r="T19" s="219"/>
      <c r="U19" s="219"/>
      <c r="V19" s="219"/>
      <c r="W19" s="219"/>
      <c r="X19" s="219"/>
      <c r="Y19" s="219"/>
      <c r="Z19" s="219"/>
      <c r="AA19" s="219"/>
      <c r="AB19" s="219"/>
      <c r="AC19" s="219"/>
      <c r="AD19" s="219"/>
      <c r="AE19" s="219"/>
      <c r="AF19" s="219"/>
      <c r="AG19" s="219" t="s">
        <v>315</v>
      </c>
      <c r="AH19" s="219"/>
      <c r="AI19" s="219"/>
      <c r="AJ19" s="219"/>
      <c r="AK19" s="500"/>
    </row>
    <row r="20" spans="2:37" ht="17.25" customHeight="1">
      <c r="B20" s="505" t="s">
        <v>753</v>
      </c>
      <c r="C20" s="506" t="str">
        <f>'Alocação MO'!C14</f>
        <v>Apoio Documental Jurídico-Regulatório (ADJR)</v>
      </c>
      <c r="D20" s="540">
        <f t="shared" ref="D20" si="1">COUNTA(E20:AK20)</f>
        <v>1</v>
      </c>
      <c r="E20" s="128"/>
      <c r="F20" s="129"/>
      <c r="G20" s="129"/>
      <c r="H20" s="129"/>
      <c r="I20" s="129" t="s">
        <v>315</v>
      </c>
      <c r="J20" s="129"/>
      <c r="K20" s="129"/>
      <c r="L20" s="630"/>
      <c r="M20" s="12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500"/>
    </row>
    <row r="22" spans="2:37" ht="44.25" customHeight="1">
      <c r="E22" s="701" t="str">
        <f>C6</f>
        <v>EVTEA - Segmento 2 - Rio Grande (RS) - Pelotas (RS)</v>
      </c>
      <c r="F22" s="702"/>
      <c r="G22" s="702"/>
      <c r="H22" s="702"/>
      <c r="I22" s="702"/>
      <c r="J22" s="702"/>
      <c r="K22" s="702"/>
      <c r="L22" s="702"/>
      <c r="M22" s="702"/>
      <c r="N22" s="702"/>
      <c r="O22" s="702"/>
      <c r="P22" s="702"/>
      <c r="Q22" s="703"/>
      <c r="R22" s="501" t="s">
        <v>265</v>
      </c>
      <c r="S22" s="701" t="s">
        <v>697</v>
      </c>
      <c r="T22" s="702"/>
      <c r="U22" s="703"/>
      <c r="V22" s="701" t="s">
        <v>698</v>
      </c>
      <c r="W22" s="702"/>
      <c r="X22" s="703"/>
      <c r="Y22" s="701" t="s">
        <v>699</v>
      </c>
      <c r="Z22" s="703"/>
      <c r="AA22" s="701" t="s">
        <v>700</v>
      </c>
      <c r="AB22" s="702"/>
      <c r="AC22" s="703"/>
      <c r="AD22" s="502" t="s">
        <v>701</v>
      </c>
      <c r="AE22" s="501" t="s">
        <v>265</v>
      </c>
      <c r="AF22" s="502" t="s">
        <v>702</v>
      </c>
      <c r="AG22" s="698" t="s">
        <v>703</v>
      </c>
      <c r="AH22" s="699"/>
      <c r="AI22" s="700"/>
      <c r="AJ22" s="502" t="s">
        <v>704</v>
      </c>
      <c r="AK22" s="502" t="s">
        <v>705</v>
      </c>
    </row>
    <row r="23" spans="2:37" ht="23.25" customHeight="1">
      <c r="B23" s="628" t="s">
        <v>313</v>
      </c>
      <c r="C23" s="504" t="s">
        <v>314</v>
      </c>
      <c r="D23" s="503" t="s">
        <v>0</v>
      </c>
      <c r="E23" s="499" t="s">
        <v>304</v>
      </c>
      <c r="F23" s="499" t="s">
        <v>305</v>
      </c>
      <c r="G23" s="499" t="s">
        <v>306</v>
      </c>
      <c r="H23" s="499" t="s">
        <v>307</v>
      </c>
      <c r="I23" s="499" t="s">
        <v>308</v>
      </c>
      <c r="J23" s="499" t="s">
        <v>309</v>
      </c>
      <c r="K23" s="499" t="s">
        <v>310</v>
      </c>
      <c r="L23" s="499" t="s">
        <v>311</v>
      </c>
      <c r="M23" s="499" t="s">
        <v>312</v>
      </c>
      <c r="N23" s="499" t="s">
        <v>527</v>
      </c>
      <c r="O23" s="499" t="s">
        <v>528</v>
      </c>
      <c r="P23" s="499" t="s">
        <v>529</v>
      </c>
      <c r="Q23" s="499" t="s">
        <v>530</v>
      </c>
      <c r="R23" s="499" t="s">
        <v>598</v>
      </c>
      <c r="S23" s="499" t="s">
        <v>531</v>
      </c>
      <c r="T23" s="499" t="s">
        <v>532</v>
      </c>
      <c r="U23" s="499" t="s">
        <v>533</v>
      </c>
      <c r="V23" s="499" t="s">
        <v>534</v>
      </c>
      <c r="W23" s="499" t="s">
        <v>535</v>
      </c>
      <c r="X23" s="499" t="s">
        <v>536</v>
      </c>
      <c r="Y23" s="499" t="s">
        <v>537</v>
      </c>
      <c r="Z23" s="499" t="s">
        <v>538</v>
      </c>
      <c r="AA23" s="499" t="s">
        <v>539</v>
      </c>
      <c r="AB23" s="499" t="s">
        <v>540</v>
      </c>
      <c r="AC23" s="499" t="s">
        <v>541</v>
      </c>
      <c r="AD23" s="499" t="s">
        <v>542</v>
      </c>
      <c r="AE23" s="499" t="s">
        <v>706</v>
      </c>
      <c r="AF23" s="499" t="s">
        <v>707</v>
      </c>
      <c r="AG23" s="499" t="s">
        <v>708</v>
      </c>
      <c r="AH23" s="499" t="s">
        <v>709</v>
      </c>
      <c r="AI23" s="499" t="s">
        <v>710</v>
      </c>
      <c r="AJ23" s="499" t="s">
        <v>711</v>
      </c>
      <c r="AK23" s="499" t="s">
        <v>712</v>
      </c>
    </row>
    <row r="24" spans="2:37" ht="17.25" customHeight="1">
      <c r="B24" s="505" t="s">
        <v>754</v>
      </c>
      <c r="C24" s="506" t="str">
        <f t="shared" ref="C24:C33" si="2">C11</f>
        <v>Dimensão de Mercado e Demanda (EMD) - Pesquisa de Campo</v>
      </c>
      <c r="D24" s="540">
        <f t="shared" ref="D24:D33" si="3">COUNTA(E24:AK24)</f>
        <v>2</v>
      </c>
      <c r="E24" s="128"/>
      <c r="F24" s="129"/>
      <c r="G24" s="129" t="s">
        <v>315</v>
      </c>
      <c r="H24" s="129" t="s">
        <v>315</v>
      </c>
      <c r="I24" s="129"/>
      <c r="J24" s="129"/>
      <c r="K24" s="129"/>
      <c r="L24" s="129"/>
      <c r="M24" s="129"/>
      <c r="N24" s="129"/>
      <c r="O24" s="219"/>
      <c r="P24" s="219"/>
      <c r="Q24" s="219"/>
      <c r="R24" s="220"/>
      <c r="S24" s="220"/>
      <c r="T24" s="220"/>
      <c r="U24" s="220"/>
      <c r="V24" s="220"/>
      <c r="W24" s="220"/>
      <c r="X24" s="220"/>
      <c r="Y24" s="220"/>
      <c r="Z24" s="220"/>
      <c r="AA24" s="220"/>
      <c r="AB24" s="220"/>
      <c r="AC24" s="219"/>
      <c r="AD24" s="219"/>
      <c r="AE24" s="219"/>
      <c r="AF24" s="219"/>
      <c r="AG24" s="219"/>
      <c r="AH24" s="219"/>
      <c r="AI24" s="219"/>
      <c r="AJ24" s="219"/>
      <c r="AK24" s="500"/>
    </row>
    <row r="25" spans="2:37" ht="17.25" customHeight="1">
      <c r="B25" s="505" t="s">
        <v>755</v>
      </c>
      <c r="C25" s="506" t="str">
        <f t="shared" si="2"/>
        <v>Dimensão de Mercado e Demanda (EMD)</v>
      </c>
      <c r="D25" s="540">
        <f t="shared" si="3"/>
        <v>3</v>
      </c>
      <c r="E25" s="128"/>
      <c r="F25" s="129"/>
      <c r="G25" s="129"/>
      <c r="H25" s="129" t="s">
        <v>315</v>
      </c>
      <c r="I25" s="129" t="s">
        <v>315</v>
      </c>
      <c r="J25" s="129" t="s">
        <v>315</v>
      </c>
      <c r="K25" s="129"/>
      <c r="L25" s="129"/>
      <c r="M25" s="129"/>
      <c r="N25" s="129"/>
      <c r="O25" s="219"/>
      <c r="P25" s="219"/>
      <c r="Q25" s="219"/>
      <c r="R25" s="220"/>
      <c r="S25" s="220"/>
      <c r="T25" s="220"/>
      <c r="U25" s="220"/>
      <c r="V25" s="220"/>
      <c r="W25" s="220"/>
      <c r="X25" s="220"/>
      <c r="Y25" s="220"/>
      <c r="Z25" s="220"/>
      <c r="AA25" s="220"/>
      <c r="AB25" s="220"/>
      <c r="AC25" s="219"/>
      <c r="AD25" s="219"/>
      <c r="AE25" s="219"/>
      <c r="AF25" s="219"/>
      <c r="AG25" s="219"/>
      <c r="AH25" s="219"/>
      <c r="AI25" s="219"/>
      <c r="AJ25" s="219"/>
      <c r="AK25" s="500"/>
    </row>
    <row r="26" spans="2:37" ht="17.25" customHeight="1">
      <c r="B26" s="505" t="s">
        <v>713</v>
      </c>
      <c r="C26" s="506" t="str">
        <f t="shared" si="2"/>
        <v>Dimensão de Engenharia (EEN)</v>
      </c>
      <c r="D26" s="540">
        <f t="shared" si="3"/>
        <v>2</v>
      </c>
      <c r="E26" s="128"/>
      <c r="F26" s="129"/>
      <c r="G26" s="129"/>
      <c r="H26" s="129"/>
      <c r="I26" s="129" t="s">
        <v>315</v>
      </c>
      <c r="J26" s="129" t="s">
        <v>315</v>
      </c>
      <c r="K26" s="129"/>
      <c r="L26" s="129"/>
      <c r="M26" s="129"/>
      <c r="N26" s="129"/>
      <c r="O26" s="219"/>
      <c r="P26" s="219"/>
      <c r="Q26" s="219"/>
      <c r="R26" s="220"/>
      <c r="S26" s="220"/>
      <c r="T26" s="220"/>
      <c r="U26" s="220"/>
      <c r="V26" s="220"/>
      <c r="W26" s="220"/>
      <c r="X26" s="220"/>
      <c r="Y26" s="220"/>
      <c r="Z26" s="220"/>
      <c r="AA26" s="220"/>
      <c r="AB26" s="220"/>
      <c r="AC26" s="219"/>
      <c r="AD26" s="219"/>
      <c r="AE26" s="219"/>
      <c r="AF26" s="219"/>
      <c r="AG26" s="219"/>
      <c r="AH26" s="219"/>
      <c r="AI26" s="219"/>
      <c r="AJ26" s="219"/>
      <c r="AK26" s="500"/>
    </row>
    <row r="27" spans="2:37" ht="17.25" customHeight="1">
      <c r="B27" s="505" t="s">
        <v>725</v>
      </c>
      <c r="C27" s="506" t="str">
        <f t="shared" si="2"/>
        <v>Dimensão Operacional (EOP)</v>
      </c>
      <c r="D27" s="540">
        <f t="shared" si="3"/>
        <v>2</v>
      </c>
      <c r="E27" s="128"/>
      <c r="F27" s="129"/>
      <c r="G27" s="129"/>
      <c r="H27" s="129"/>
      <c r="I27" s="129"/>
      <c r="J27" s="129" t="s">
        <v>315</v>
      </c>
      <c r="K27" s="129" t="s">
        <v>315</v>
      </c>
      <c r="L27" s="129"/>
      <c r="M27" s="129"/>
      <c r="N27" s="129"/>
      <c r="O27" s="219"/>
      <c r="P27" s="219"/>
      <c r="Q27" s="219"/>
      <c r="R27" s="220"/>
      <c r="S27" s="220"/>
      <c r="T27" s="220"/>
      <c r="U27" s="220"/>
      <c r="V27" s="220"/>
      <c r="W27" s="220"/>
      <c r="X27" s="220"/>
      <c r="Y27" s="220"/>
      <c r="Z27" s="220"/>
      <c r="AA27" s="220"/>
      <c r="AB27" s="220"/>
      <c r="AC27" s="219"/>
      <c r="AD27" s="219"/>
      <c r="AE27" s="219"/>
      <c r="AF27" s="219"/>
      <c r="AG27" s="219"/>
      <c r="AH27" s="219"/>
      <c r="AI27" s="219"/>
      <c r="AJ27" s="219"/>
      <c r="AK27" s="500"/>
    </row>
    <row r="28" spans="2:37" ht="17.25" customHeight="1">
      <c r="B28" s="505" t="s">
        <v>756</v>
      </c>
      <c r="C28" s="506" t="str">
        <f t="shared" si="2"/>
        <v>Dimensão Socioambiental (EMA)</v>
      </c>
      <c r="D28" s="540">
        <f t="shared" si="3"/>
        <v>2</v>
      </c>
      <c r="E28" s="128"/>
      <c r="F28" s="129"/>
      <c r="G28" s="129"/>
      <c r="H28" s="129" t="s">
        <v>315</v>
      </c>
      <c r="I28" s="129" t="s">
        <v>315</v>
      </c>
      <c r="J28" s="129"/>
      <c r="K28" s="129"/>
      <c r="L28" s="129"/>
      <c r="M28" s="219"/>
      <c r="N28" s="219"/>
      <c r="O28" s="219"/>
      <c r="P28" s="219"/>
      <c r="Q28" s="219"/>
      <c r="R28" s="220"/>
      <c r="S28" s="220"/>
      <c r="T28" s="220"/>
      <c r="U28" s="220"/>
      <c r="V28" s="220"/>
      <c r="W28" s="220"/>
      <c r="X28" s="220"/>
      <c r="Y28" s="220"/>
      <c r="Z28" s="220"/>
      <c r="AA28" s="220"/>
      <c r="AB28" s="220"/>
      <c r="AC28" s="219"/>
      <c r="AD28" s="219"/>
      <c r="AE28" s="219"/>
      <c r="AF28" s="219"/>
      <c r="AG28" s="219"/>
      <c r="AH28" s="219"/>
      <c r="AI28" s="219"/>
      <c r="AJ28" s="219"/>
      <c r="AK28" s="500"/>
    </row>
    <row r="29" spans="2:37" ht="17.25" customHeight="1">
      <c r="B29" s="505" t="s">
        <v>757</v>
      </c>
      <c r="C29" s="506" t="str">
        <f t="shared" si="2"/>
        <v>Dimensão Econômico-Financeira (MEF)</v>
      </c>
      <c r="D29" s="540">
        <f t="shared" si="3"/>
        <v>1</v>
      </c>
      <c r="E29" s="128"/>
      <c r="F29" s="129"/>
      <c r="G29" s="129"/>
      <c r="H29" s="129"/>
      <c r="I29" s="129"/>
      <c r="J29" s="129"/>
      <c r="K29" s="129"/>
      <c r="L29" s="129" t="s">
        <v>315</v>
      </c>
      <c r="M29" s="219"/>
      <c r="N29" s="219"/>
      <c r="O29" s="219"/>
      <c r="P29" s="219"/>
      <c r="Q29" s="219"/>
      <c r="R29" s="220"/>
      <c r="S29" s="220"/>
      <c r="T29" s="220"/>
      <c r="U29" s="220"/>
      <c r="V29" s="220"/>
      <c r="W29" s="220"/>
      <c r="X29" s="220"/>
      <c r="Y29" s="220"/>
      <c r="Z29" s="220"/>
      <c r="AA29" s="220"/>
      <c r="AB29" s="220"/>
      <c r="AC29" s="219"/>
      <c r="AD29" s="219"/>
      <c r="AE29" s="219"/>
      <c r="AF29" s="219"/>
      <c r="AG29" s="219"/>
      <c r="AH29" s="219"/>
      <c r="AI29" s="219"/>
      <c r="AJ29" s="219"/>
      <c r="AK29" s="500"/>
    </row>
    <row r="30" spans="2:37" ht="17.25" customHeight="1">
      <c r="B30" s="505" t="s">
        <v>758</v>
      </c>
      <c r="C30" s="506" t="str">
        <f t="shared" si="2"/>
        <v>Apoio e revisão pós Audiência Pública</v>
      </c>
      <c r="D30" s="540">
        <f t="shared" si="3"/>
        <v>1</v>
      </c>
      <c r="E30" s="128"/>
      <c r="F30" s="129"/>
      <c r="G30" s="129"/>
      <c r="H30" s="129"/>
      <c r="I30" s="129"/>
      <c r="J30" s="129"/>
      <c r="K30" s="129"/>
      <c r="L30" s="219"/>
      <c r="M30" s="219"/>
      <c r="N30" s="219"/>
      <c r="O30" s="219"/>
      <c r="P30" s="219"/>
      <c r="Q30" s="219"/>
      <c r="R30" s="219"/>
      <c r="S30" s="219"/>
      <c r="T30" s="219"/>
      <c r="U30" s="219"/>
      <c r="V30" s="219"/>
      <c r="W30" s="219" t="s">
        <v>315</v>
      </c>
      <c r="X30" s="219"/>
      <c r="Y30" s="219"/>
      <c r="Z30" s="219"/>
      <c r="AA30" s="219"/>
      <c r="AB30" s="219"/>
      <c r="AC30" s="219"/>
      <c r="AD30" s="219"/>
      <c r="AE30" s="219"/>
      <c r="AF30" s="219"/>
      <c r="AG30" s="219"/>
      <c r="AH30" s="219"/>
      <c r="AI30" s="219"/>
      <c r="AJ30" s="219"/>
      <c r="AK30" s="500"/>
    </row>
    <row r="31" spans="2:37" ht="17.25" customHeight="1">
      <c r="B31" s="505" t="s">
        <v>759</v>
      </c>
      <c r="C31" s="506" t="str">
        <f t="shared" si="2"/>
        <v>Apoio a subsídios a questionamentos do órgão de controle externo</v>
      </c>
      <c r="D31" s="540">
        <f t="shared" si="3"/>
        <v>1</v>
      </c>
      <c r="E31" s="128"/>
      <c r="F31" s="129"/>
      <c r="G31" s="129"/>
      <c r="H31" s="129"/>
      <c r="I31" s="129"/>
      <c r="J31" s="129"/>
      <c r="K31" s="129"/>
      <c r="L31" s="219"/>
      <c r="M31" s="219"/>
      <c r="N31" s="219"/>
      <c r="O31" s="219"/>
      <c r="P31" s="219"/>
      <c r="Q31" s="219"/>
      <c r="R31" s="219"/>
      <c r="S31" s="219"/>
      <c r="T31" s="219"/>
      <c r="U31" s="219"/>
      <c r="V31" s="219"/>
      <c r="W31" s="219"/>
      <c r="X31" s="219"/>
      <c r="Y31" s="219"/>
      <c r="Z31" s="219"/>
      <c r="AA31" s="219"/>
      <c r="AB31" s="219" t="s">
        <v>315</v>
      </c>
      <c r="AC31" s="219"/>
      <c r="AD31" s="219"/>
      <c r="AE31" s="219"/>
      <c r="AF31" s="219"/>
      <c r="AG31" s="219"/>
      <c r="AH31" s="219"/>
      <c r="AI31" s="219"/>
      <c r="AJ31" s="219"/>
      <c r="AK31" s="500"/>
    </row>
    <row r="32" spans="2:37" ht="17.25" customHeight="1">
      <c r="B32" s="505" t="s">
        <v>760</v>
      </c>
      <c r="C32" s="506" t="str">
        <f t="shared" si="2"/>
        <v>Apoio a subsídios a questionamentos do processo licitatório</v>
      </c>
      <c r="D32" s="540">
        <f t="shared" si="3"/>
        <v>1</v>
      </c>
      <c r="E32" s="128"/>
      <c r="F32" s="129"/>
      <c r="G32" s="129"/>
      <c r="H32" s="129"/>
      <c r="I32" s="129"/>
      <c r="J32" s="129"/>
      <c r="K32" s="12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t="s">
        <v>315</v>
      </c>
      <c r="AI32" s="219"/>
      <c r="AJ32" s="219"/>
      <c r="AK32" s="500"/>
    </row>
    <row r="33" spans="2:37" ht="17.25" customHeight="1">
      <c r="B33" s="505" t="s">
        <v>761</v>
      </c>
      <c r="C33" s="506" t="str">
        <f t="shared" si="2"/>
        <v>Apoio Documental Jurídico-Regulatório (ADJR)</v>
      </c>
      <c r="D33" s="540">
        <f t="shared" si="3"/>
        <v>1</v>
      </c>
      <c r="E33" s="128"/>
      <c r="F33" s="129"/>
      <c r="G33" s="129"/>
      <c r="H33" s="129"/>
      <c r="I33" s="129"/>
      <c r="J33" s="129"/>
      <c r="K33" s="219" t="s">
        <v>315</v>
      </c>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500"/>
    </row>
    <row r="35" spans="2:37" ht="44.25" customHeight="1">
      <c r="E35" s="701" t="str">
        <f>C7</f>
        <v>EVTEA - Segmento 3 - Londrina (PR) - Maringá (PR)</v>
      </c>
      <c r="F35" s="702"/>
      <c r="G35" s="702"/>
      <c r="H35" s="702"/>
      <c r="I35" s="702"/>
      <c r="J35" s="702"/>
      <c r="K35" s="702"/>
      <c r="L35" s="702"/>
      <c r="M35" s="702"/>
      <c r="N35" s="702"/>
      <c r="O35" s="702"/>
      <c r="P35" s="702"/>
      <c r="Q35" s="703"/>
      <c r="R35" s="501" t="s">
        <v>265</v>
      </c>
      <c r="S35" s="701" t="s">
        <v>697</v>
      </c>
      <c r="T35" s="702"/>
      <c r="U35" s="703"/>
      <c r="V35" s="701" t="s">
        <v>698</v>
      </c>
      <c r="W35" s="702"/>
      <c r="X35" s="703"/>
      <c r="Y35" s="701" t="s">
        <v>699</v>
      </c>
      <c r="Z35" s="703"/>
      <c r="AA35" s="701" t="s">
        <v>700</v>
      </c>
      <c r="AB35" s="702"/>
      <c r="AC35" s="703"/>
      <c r="AD35" s="502" t="s">
        <v>701</v>
      </c>
      <c r="AE35" s="501" t="s">
        <v>265</v>
      </c>
      <c r="AF35" s="502" t="s">
        <v>702</v>
      </c>
      <c r="AG35" s="698" t="s">
        <v>703</v>
      </c>
      <c r="AH35" s="699"/>
      <c r="AI35" s="700"/>
      <c r="AJ35" s="502" t="s">
        <v>704</v>
      </c>
      <c r="AK35" s="502" t="s">
        <v>705</v>
      </c>
    </row>
    <row r="36" spans="2:37" ht="23.25" customHeight="1">
      <c r="B36" s="628" t="s">
        <v>313</v>
      </c>
      <c r="C36" s="504" t="s">
        <v>314</v>
      </c>
      <c r="D36" s="503" t="s">
        <v>0</v>
      </c>
      <c r="E36" s="499" t="s">
        <v>304</v>
      </c>
      <c r="F36" s="499" t="s">
        <v>305</v>
      </c>
      <c r="G36" s="499" t="s">
        <v>306</v>
      </c>
      <c r="H36" s="499" t="s">
        <v>307</v>
      </c>
      <c r="I36" s="499" t="s">
        <v>308</v>
      </c>
      <c r="J36" s="499" t="s">
        <v>309</v>
      </c>
      <c r="K36" s="499" t="s">
        <v>310</v>
      </c>
      <c r="L36" s="499" t="s">
        <v>311</v>
      </c>
      <c r="M36" s="499" t="s">
        <v>312</v>
      </c>
      <c r="N36" s="499" t="s">
        <v>527</v>
      </c>
      <c r="O36" s="499" t="s">
        <v>528</v>
      </c>
      <c r="P36" s="499" t="s">
        <v>529</v>
      </c>
      <c r="Q36" s="499" t="s">
        <v>530</v>
      </c>
      <c r="R36" s="499" t="s">
        <v>598</v>
      </c>
      <c r="S36" s="499" t="s">
        <v>531</v>
      </c>
      <c r="T36" s="499" t="s">
        <v>532</v>
      </c>
      <c r="U36" s="499" t="s">
        <v>533</v>
      </c>
      <c r="V36" s="499" t="s">
        <v>534</v>
      </c>
      <c r="W36" s="499" t="s">
        <v>535</v>
      </c>
      <c r="X36" s="499" t="s">
        <v>536</v>
      </c>
      <c r="Y36" s="499" t="s">
        <v>537</v>
      </c>
      <c r="Z36" s="499" t="s">
        <v>538</v>
      </c>
      <c r="AA36" s="499" t="s">
        <v>539</v>
      </c>
      <c r="AB36" s="499" t="s">
        <v>540</v>
      </c>
      <c r="AC36" s="499" t="s">
        <v>541</v>
      </c>
      <c r="AD36" s="499" t="s">
        <v>542</v>
      </c>
      <c r="AE36" s="499" t="s">
        <v>706</v>
      </c>
      <c r="AF36" s="499" t="s">
        <v>707</v>
      </c>
      <c r="AG36" s="499" t="s">
        <v>708</v>
      </c>
      <c r="AH36" s="499" t="s">
        <v>709</v>
      </c>
      <c r="AI36" s="499" t="s">
        <v>710</v>
      </c>
      <c r="AJ36" s="499" t="s">
        <v>711</v>
      </c>
      <c r="AK36" s="499" t="s">
        <v>712</v>
      </c>
    </row>
    <row r="37" spans="2:37" ht="17.25" customHeight="1">
      <c r="B37" s="505" t="s">
        <v>729</v>
      </c>
      <c r="C37" s="506" t="str">
        <f t="shared" ref="C37:C46" si="4">C11</f>
        <v>Dimensão de Mercado e Demanda (EMD) - Pesquisa de Campo</v>
      </c>
      <c r="D37" s="540">
        <f t="shared" ref="D37:D46" si="5">COUNTA(E37:AK37)</f>
        <v>2</v>
      </c>
      <c r="E37" s="128"/>
      <c r="F37" s="129"/>
      <c r="G37" s="129"/>
      <c r="H37" s="129"/>
      <c r="I37" s="129" t="s">
        <v>315</v>
      </c>
      <c r="J37" s="129" t="s">
        <v>315</v>
      </c>
      <c r="K37" s="129"/>
      <c r="L37" s="129"/>
      <c r="M37" s="129"/>
      <c r="N37" s="129"/>
      <c r="O37" s="129"/>
      <c r="P37" s="129"/>
      <c r="Q37" s="129"/>
      <c r="R37" s="129"/>
      <c r="S37" s="129"/>
      <c r="T37" s="220"/>
      <c r="U37" s="220"/>
      <c r="V37" s="220"/>
      <c r="W37" s="220"/>
      <c r="X37" s="220"/>
      <c r="Y37" s="220"/>
      <c r="Z37" s="220"/>
      <c r="AA37" s="220"/>
      <c r="AB37" s="220"/>
      <c r="AC37" s="219"/>
      <c r="AD37" s="219"/>
      <c r="AE37" s="219"/>
      <c r="AF37" s="219"/>
      <c r="AG37" s="219"/>
      <c r="AH37" s="219"/>
      <c r="AI37" s="219"/>
      <c r="AJ37" s="219"/>
      <c r="AK37" s="500"/>
    </row>
    <row r="38" spans="2:37" ht="17.25" customHeight="1">
      <c r="B38" s="505" t="s">
        <v>762</v>
      </c>
      <c r="C38" s="506" t="str">
        <f t="shared" si="4"/>
        <v>Dimensão de Mercado e Demanda (EMD)</v>
      </c>
      <c r="D38" s="540">
        <f t="shared" si="5"/>
        <v>3</v>
      </c>
      <c r="E38" s="128"/>
      <c r="F38" s="129"/>
      <c r="G38" s="129"/>
      <c r="H38" s="129"/>
      <c r="I38" s="129"/>
      <c r="J38" s="129" t="s">
        <v>315</v>
      </c>
      <c r="K38" s="129" t="s">
        <v>315</v>
      </c>
      <c r="L38" s="129" t="s">
        <v>315</v>
      </c>
      <c r="M38" s="129"/>
      <c r="N38" s="129"/>
      <c r="O38" s="129"/>
      <c r="P38" s="129"/>
      <c r="Q38" s="129"/>
      <c r="R38" s="129"/>
      <c r="S38" s="129"/>
      <c r="T38" s="220"/>
      <c r="U38" s="220"/>
      <c r="V38" s="220"/>
      <c r="W38" s="220"/>
      <c r="X38" s="220"/>
      <c r="Y38" s="220"/>
      <c r="Z38" s="220"/>
      <c r="AA38" s="220"/>
      <c r="AB38" s="220"/>
      <c r="AC38" s="219"/>
      <c r="AD38" s="219"/>
      <c r="AE38" s="219"/>
      <c r="AF38" s="219"/>
      <c r="AG38" s="219"/>
      <c r="AH38" s="219"/>
      <c r="AI38" s="219"/>
      <c r="AJ38" s="219"/>
      <c r="AK38" s="500"/>
    </row>
    <row r="39" spans="2:37" ht="17.25" customHeight="1">
      <c r="B39" s="505" t="s">
        <v>723</v>
      </c>
      <c r="C39" s="506" t="str">
        <f t="shared" si="4"/>
        <v>Dimensão de Engenharia (EEN)</v>
      </c>
      <c r="D39" s="540">
        <f t="shared" si="5"/>
        <v>3</v>
      </c>
      <c r="E39" s="128"/>
      <c r="F39" s="129"/>
      <c r="G39" s="129"/>
      <c r="H39" s="129"/>
      <c r="I39" s="129"/>
      <c r="J39" s="129"/>
      <c r="K39" s="129" t="s">
        <v>315</v>
      </c>
      <c r="L39" s="129" t="s">
        <v>315</v>
      </c>
      <c r="M39" s="129" t="s">
        <v>315</v>
      </c>
      <c r="N39" s="129"/>
      <c r="O39" s="129"/>
      <c r="P39" s="129"/>
      <c r="Q39" s="129"/>
      <c r="R39" s="129"/>
      <c r="S39" s="129"/>
      <c r="T39" s="220"/>
      <c r="U39" s="220"/>
      <c r="V39" s="220"/>
      <c r="W39" s="220"/>
      <c r="X39" s="220"/>
      <c r="Y39" s="220"/>
      <c r="Z39" s="220"/>
      <c r="AA39" s="220"/>
      <c r="AB39" s="220"/>
      <c r="AC39" s="219"/>
      <c r="AD39" s="219"/>
      <c r="AE39" s="219"/>
      <c r="AF39" s="219"/>
      <c r="AG39" s="219"/>
      <c r="AH39" s="219"/>
      <c r="AI39" s="219"/>
      <c r="AJ39" s="219"/>
      <c r="AK39" s="500"/>
    </row>
    <row r="40" spans="2:37" ht="17.25" customHeight="1">
      <c r="B40" s="505" t="s">
        <v>726</v>
      </c>
      <c r="C40" s="506" t="str">
        <f t="shared" si="4"/>
        <v>Dimensão Operacional (EOP)</v>
      </c>
      <c r="D40" s="540">
        <f t="shared" si="5"/>
        <v>3</v>
      </c>
      <c r="E40" s="128"/>
      <c r="F40" s="129"/>
      <c r="G40" s="129"/>
      <c r="H40" s="129"/>
      <c r="I40" s="129"/>
      <c r="J40" s="129"/>
      <c r="K40" s="129"/>
      <c r="L40" s="129" t="s">
        <v>315</v>
      </c>
      <c r="M40" s="129" t="s">
        <v>315</v>
      </c>
      <c r="N40" s="129" t="s">
        <v>315</v>
      </c>
      <c r="O40" s="129"/>
      <c r="P40" s="129"/>
      <c r="Q40" s="129"/>
      <c r="R40" s="129"/>
      <c r="S40" s="129"/>
      <c r="T40" s="220"/>
      <c r="U40" s="220"/>
      <c r="V40" s="220"/>
      <c r="W40" s="220"/>
      <c r="X40" s="220"/>
      <c r="Y40" s="220"/>
      <c r="Z40" s="220"/>
      <c r="AA40" s="220"/>
      <c r="AB40" s="220"/>
      <c r="AC40" s="219"/>
      <c r="AD40" s="219"/>
      <c r="AE40" s="219"/>
      <c r="AF40" s="219"/>
      <c r="AG40" s="219"/>
      <c r="AH40" s="219"/>
      <c r="AI40" s="219"/>
      <c r="AJ40" s="219"/>
      <c r="AK40" s="500"/>
    </row>
    <row r="41" spans="2:37" ht="17.25" customHeight="1">
      <c r="B41" s="505" t="s">
        <v>763</v>
      </c>
      <c r="C41" s="506" t="str">
        <f t="shared" si="4"/>
        <v>Dimensão Socioambiental (EMA)</v>
      </c>
      <c r="D41" s="540">
        <f t="shared" si="5"/>
        <v>2</v>
      </c>
      <c r="E41" s="128"/>
      <c r="F41" s="129"/>
      <c r="G41" s="129"/>
      <c r="H41" s="129"/>
      <c r="I41" s="129"/>
      <c r="J41" s="129" t="s">
        <v>315</v>
      </c>
      <c r="K41" s="129" t="s">
        <v>315</v>
      </c>
      <c r="L41" s="129"/>
      <c r="M41" s="129"/>
      <c r="N41" s="129"/>
      <c r="O41" s="129"/>
      <c r="P41" s="129"/>
      <c r="Q41" s="129"/>
      <c r="R41" s="129"/>
      <c r="S41" s="129"/>
      <c r="T41" s="220"/>
      <c r="U41" s="220"/>
      <c r="V41" s="220"/>
      <c r="W41" s="220"/>
      <c r="X41" s="220"/>
      <c r="Y41" s="220"/>
      <c r="Z41" s="220"/>
      <c r="AA41" s="220"/>
      <c r="AB41" s="220"/>
      <c r="AC41" s="219"/>
      <c r="AD41" s="219"/>
      <c r="AE41" s="219"/>
      <c r="AF41" s="219"/>
      <c r="AG41" s="219"/>
      <c r="AH41" s="219"/>
      <c r="AI41" s="219"/>
      <c r="AJ41" s="219"/>
      <c r="AK41" s="500"/>
    </row>
    <row r="42" spans="2:37" ht="17.25" customHeight="1">
      <c r="B42" s="505" t="s">
        <v>764</v>
      </c>
      <c r="C42" s="506" t="str">
        <f t="shared" si="4"/>
        <v>Dimensão Econômico-Financeira (MEF)</v>
      </c>
      <c r="D42" s="540">
        <f t="shared" si="5"/>
        <v>1</v>
      </c>
      <c r="E42" s="128"/>
      <c r="F42" s="129"/>
      <c r="G42" s="129"/>
      <c r="H42" s="129"/>
      <c r="I42" s="129"/>
      <c r="J42" s="129"/>
      <c r="K42" s="129"/>
      <c r="L42" s="129"/>
      <c r="M42" s="129"/>
      <c r="N42" s="129"/>
      <c r="O42" s="129" t="s">
        <v>315</v>
      </c>
      <c r="P42" s="129"/>
      <c r="Q42" s="129"/>
      <c r="R42" s="129"/>
      <c r="S42" s="129"/>
      <c r="T42" s="220"/>
      <c r="U42" s="220"/>
      <c r="V42" s="220"/>
      <c r="W42" s="220"/>
      <c r="X42" s="220"/>
      <c r="Y42" s="220"/>
      <c r="Z42" s="220"/>
      <c r="AA42" s="220"/>
      <c r="AB42" s="220"/>
      <c r="AC42" s="219"/>
      <c r="AD42" s="219"/>
      <c r="AE42" s="219"/>
      <c r="AF42" s="219"/>
      <c r="AG42" s="219"/>
      <c r="AH42" s="219"/>
      <c r="AI42" s="219"/>
      <c r="AJ42" s="219"/>
      <c r="AK42" s="500"/>
    </row>
    <row r="43" spans="2:37" ht="17.25" customHeight="1">
      <c r="B43" s="505" t="s">
        <v>765</v>
      </c>
      <c r="C43" s="506" t="str">
        <f t="shared" si="4"/>
        <v>Apoio e revisão pós Audiência Pública</v>
      </c>
      <c r="D43" s="540">
        <f t="shared" si="5"/>
        <v>1</v>
      </c>
      <c r="E43" s="128"/>
      <c r="F43" s="129"/>
      <c r="G43" s="129"/>
      <c r="H43" s="129"/>
      <c r="I43" s="129"/>
      <c r="J43" s="129"/>
      <c r="K43" s="129"/>
      <c r="L43" s="129"/>
      <c r="M43" s="129"/>
      <c r="N43" s="129"/>
      <c r="O43" s="219"/>
      <c r="P43" s="219"/>
      <c r="Q43" s="219"/>
      <c r="R43" s="219"/>
      <c r="S43" s="219"/>
      <c r="T43" s="219"/>
      <c r="U43" s="219"/>
      <c r="V43" s="219"/>
      <c r="W43" s="219"/>
      <c r="X43" s="219" t="s">
        <v>315</v>
      </c>
      <c r="Y43" s="219"/>
      <c r="Z43" s="219"/>
      <c r="AA43" s="219"/>
      <c r="AB43" s="219"/>
      <c r="AC43" s="219"/>
      <c r="AD43" s="219"/>
      <c r="AE43" s="219"/>
      <c r="AF43" s="219"/>
      <c r="AG43" s="219"/>
      <c r="AH43" s="219"/>
      <c r="AI43" s="219"/>
      <c r="AJ43" s="219"/>
      <c r="AK43" s="500"/>
    </row>
    <row r="44" spans="2:37" ht="17.25" customHeight="1">
      <c r="B44" s="505" t="s">
        <v>766</v>
      </c>
      <c r="C44" s="506" t="str">
        <f t="shared" si="4"/>
        <v>Apoio a subsídios a questionamentos do órgão de controle externo</v>
      </c>
      <c r="D44" s="540">
        <f t="shared" si="5"/>
        <v>1</v>
      </c>
      <c r="E44" s="128"/>
      <c r="F44" s="129"/>
      <c r="G44" s="129"/>
      <c r="H44" s="129"/>
      <c r="I44" s="129"/>
      <c r="J44" s="129"/>
      <c r="K44" s="129"/>
      <c r="L44" s="129"/>
      <c r="M44" s="129"/>
      <c r="N44" s="129"/>
      <c r="O44" s="219"/>
      <c r="P44" s="219"/>
      <c r="Q44" s="219"/>
      <c r="R44" s="219"/>
      <c r="S44" s="219"/>
      <c r="T44" s="219"/>
      <c r="U44" s="219"/>
      <c r="V44" s="219"/>
      <c r="W44" s="219"/>
      <c r="X44" s="219"/>
      <c r="Y44" s="219"/>
      <c r="Z44" s="219"/>
      <c r="AA44" s="219"/>
      <c r="AB44" s="219"/>
      <c r="AC44" s="219" t="s">
        <v>315</v>
      </c>
      <c r="AD44" s="219"/>
      <c r="AE44" s="219"/>
      <c r="AF44" s="219"/>
      <c r="AG44" s="219"/>
      <c r="AH44" s="219"/>
      <c r="AI44" s="219"/>
      <c r="AJ44" s="219"/>
      <c r="AK44" s="500"/>
    </row>
    <row r="45" spans="2:37" ht="17.25" customHeight="1">
      <c r="B45" s="505" t="s">
        <v>767</v>
      </c>
      <c r="C45" s="506" t="str">
        <f t="shared" si="4"/>
        <v>Apoio a subsídios a questionamentos do processo licitatório</v>
      </c>
      <c r="D45" s="540">
        <f t="shared" si="5"/>
        <v>1</v>
      </c>
      <c r="E45" s="128"/>
      <c r="F45" s="129"/>
      <c r="G45" s="129"/>
      <c r="H45" s="129"/>
      <c r="I45" s="129"/>
      <c r="J45" s="129"/>
      <c r="K45" s="129"/>
      <c r="L45" s="129"/>
      <c r="M45" s="129"/>
      <c r="N45" s="129"/>
      <c r="O45" s="219"/>
      <c r="P45" s="219"/>
      <c r="Q45" s="219"/>
      <c r="R45" s="219"/>
      <c r="S45" s="219"/>
      <c r="T45" s="219"/>
      <c r="U45" s="219"/>
      <c r="V45" s="219"/>
      <c r="W45" s="219"/>
      <c r="X45" s="219"/>
      <c r="Y45" s="219"/>
      <c r="Z45" s="219"/>
      <c r="AA45" s="219"/>
      <c r="AB45" s="219"/>
      <c r="AC45" s="219"/>
      <c r="AD45" s="219"/>
      <c r="AE45" s="219"/>
      <c r="AF45" s="219"/>
      <c r="AG45" s="219"/>
      <c r="AH45" s="219"/>
      <c r="AI45" s="219" t="s">
        <v>315</v>
      </c>
      <c r="AJ45" s="219"/>
      <c r="AK45" s="500"/>
    </row>
    <row r="46" spans="2:37" ht="17.25" customHeight="1">
      <c r="B46" s="505" t="s">
        <v>768</v>
      </c>
      <c r="C46" s="506" t="str">
        <f t="shared" si="4"/>
        <v>Apoio Documental Jurídico-Regulatório (ADJR)</v>
      </c>
      <c r="D46" s="540">
        <f t="shared" si="5"/>
        <v>1</v>
      </c>
      <c r="E46" s="128"/>
      <c r="F46" s="129"/>
      <c r="G46" s="129"/>
      <c r="H46" s="129"/>
      <c r="I46" s="129"/>
      <c r="J46" s="129"/>
      <c r="K46" s="129"/>
      <c r="L46" s="129"/>
      <c r="M46" s="219"/>
      <c r="N46" s="219" t="s">
        <v>315</v>
      </c>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500"/>
    </row>
  </sheetData>
  <mergeCells count="19">
    <mergeCell ref="AG35:AI35"/>
    <mergeCell ref="E2:AK2"/>
    <mergeCell ref="E35:Q35"/>
    <mergeCell ref="S35:U35"/>
    <mergeCell ref="V35:X35"/>
    <mergeCell ref="Y35:Z35"/>
    <mergeCell ref="AA35:AC35"/>
    <mergeCell ref="AG9:AI9"/>
    <mergeCell ref="E22:Q22"/>
    <mergeCell ref="S22:U22"/>
    <mergeCell ref="V22:X22"/>
    <mergeCell ref="Y22:Z22"/>
    <mergeCell ref="AA22:AC22"/>
    <mergeCell ref="AG22:AI22"/>
    <mergeCell ref="E9:Q9"/>
    <mergeCell ref="S9:U9"/>
    <mergeCell ref="V9:X9"/>
    <mergeCell ref="Y9:Z9"/>
    <mergeCell ref="AA9:AC9"/>
  </mergeCells>
  <phoneticPr fontId="19" type="noConversion"/>
  <conditionalFormatting sqref="E4:AK7">
    <cfRule type="cellIs" dxfId="3" priority="26" operator="equal">
      <formula>"x"</formula>
    </cfRule>
  </conditionalFormatting>
  <conditionalFormatting sqref="E11:AK20">
    <cfRule type="cellIs" dxfId="2" priority="24" operator="equal">
      <formula>"x"</formula>
    </cfRule>
  </conditionalFormatting>
  <conditionalFormatting sqref="E24:AK33">
    <cfRule type="cellIs" dxfId="1" priority="4" operator="equal">
      <formula>"x"</formula>
    </cfRule>
  </conditionalFormatting>
  <conditionalFormatting sqref="E37:AK46">
    <cfRule type="cellIs" dxfId="0" priority="1" operator="equal">
      <formula>"x"</formula>
    </cfRule>
  </conditionalFormatting>
  <pageMargins left="0.511811024" right="0.511811024" top="0.78740157499999996" bottom="0.78740157499999996" header="0.31496062000000002" footer="0.31496062000000002"/>
  <legacy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8B86F-015E-4EC4-A6A7-05ECE9A6ECB8}">
  <sheetPr>
    <tabColor theme="4"/>
  </sheetPr>
  <dimension ref="B3:CF21"/>
  <sheetViews>
    <sheetView workbookViewId="0"/>
  </sheetViews>
  <sheetFormatPr defaultRowHeight="15"/>
  <cols>
    <col min="1" max="1" width="2.42578125" style="51" customWidth="1"/>
    <col min="2" max="2" width="5.7109375" style="51" customWidth="1"/>
    <col min="3" max="3" width="55.85546875" style="51" bestFit="1" customWidth="1"/>
    <col min="4" max="4" width="9.140625" style="90" customWidth="1"/>
    <col min="5" max="7" width="5" style="51" customWidth="1"/>
    <col min="8" max="16" width="5" style="51" hidden="1" customWidth="1"/>
    <col min="17" max="17" width="5" style="51" customWidth="1"/>
    <col min="18" max="27" width="5" style="51" hidden="1" customWidth="1"/>
    <col min="28" max="28" width="5" style="51" customWidth="1"/>
    <col min="29" max="30" width="5" style="51" hidden="1" customWidth="1"/>
    <col min="31" max="31" width="5" style="51" customWidth="1"/>
    <col min="32" max="35" width="5" style="51" hidden="1" customWidth="1"/>
    <col min="36" max="39" width="5" style="51" customWidth="1"/>
    <col min="40" max="42" width="5" style="51" hidden="1" customWidth="1"/>
    <col min="43" max="45" width="5" style="51" customWidth="1"/>
    <col min="46" max="72" width="5" style="51" hidden="1" customWidth="1"/>
    <col min="73" max="73" width="5" style="51" customWidth="1"/>
    <col min="74" max="75" width="5" style="51" hidden="1" customWidth="1"/>
    <col min="76" max="76" width="2.42578125" style="51" customWidth="1"/>
    <col min="77" max="77" width="17.5703125" style="51" customWidth="1"/>
    <col min="78" max="78" width="10.5703125" style="51" bestFit="1" customWidth="1"/>
    <col min="79" max="79" width="4.42578125" style="51" customWidth="1"/>
    <col min="80" max="80" width="10.42578125" style="51" customWidth="1"/>
    <col min="81" max="81" width="27.140625" style="51" customWidth="1"/>
    <col min="82" max="82" width="7.5703125" style="51" customWidth="1"/>
    <col min="83" max="83" width="25.7109375" style="51" customWidth="1"/>
    <col min="84" max="84" width="6.28515625" style="175" customWidth="1"/>
    <col min="85" max="85" width="6" style="51" customWidth="1"/>
    <col min="86" max="16384" width="9.140625" style="51"/>
  </cols>
  <sheetData>
    <row r="3" spans="2:75" ht="157.5" customHeight="1">
      <c r="B3" s="127" t="s">
        <v>313</v>
      </c>
      <c r="C3" s="127" t="s">
        <v>314</v>
      </c>
      <c r="D3" s="124" t="s">
        <v>0</v>
      </c>
      <c r="E3" s="125" t="s">
        <v>1</v>
      </c>
      <c r="F3" s="125" t="s">
        <v>2</v>
      </c>
      <c r="G3" s="125" t="s">
        <v>3</v>
      </c>
      <c r="H3" s="485" t="s">
        <v>4</v>
      </c>
      <c r="I3" s="485" t="s">
        <v>5</v>
      </c>
      <c r="J3" s="485" t="s">
        <v>6</v>
      </c>
      <c r="K3" s="125" t="s">
        <v>7</v>
      </c>
      <c r="L3" s="125" t="s">
        <v>8</v>
      </c>
      <c r="M3" s="125" t="s">
        <v>9</v>
      </c>
      <c r="N3" s="125" t="s">
        <v>10</v>
      </c>
      <c r="O3" s="125" t="s">
        <v>11</v>
      </c>
      <c r="P3" s="125" t="s">
        <v>12</v>
      </c>
      <c r="Q3" s="125" t="s">
        <v>13</v>
      </c>
      <c r="R3" s="125" t="s">
        <v>14</v>
      </c>
      <c r="S3" s="125" t="s">
        <v>15</v>
      </c>
      <c r="T3" s="125" t="s">
        <v>16</v>
      </c>
      <c r="U3" s="125" t="s">
        <v>17</v>
      </c>
      <c r="V3" s="125" t="s">
        <v>18</v>
      </c>
      <c r="W3" s="125" t="s">
        <v>19</v>
      </c>
      <c r="X3" s="125" t="s">
        <v>20</v>
      </c>
      <c r="Y3" s="125" t="s">
        <v>21</v>
      </c>
      <c r="Z3" s="125" t="s">
        <v>22</v>
      </c>
      <c r="AA3" s="125" t="s">
        <v>23</v>
      </c>
      <c r="AB3" s="125" t="s">
        <v>24</v>
      </c>
      <c r="AC3" s="125" t="s">
        <v>25</v>
      </c>
      <c r="AD3" s="125" t="s">
        <v>26</v>
      </c>
      <c r="AE3" s="125" t="s">
        <v>27</v>
      </c>
      <c r="AF3" s="125" t="s">
        <v>28</v>
      </c>
      <c r="AG3" s="125" t="s">
        <v>29</v>
      </c>
      <c r="AH3" s="125" t="s">
        <v>30</v>
      </c>
      <c r="AI3" s="125" t="s">
        <v>31</v>
      </c>
      <c r="AJ3" s="125" t="s">
        <v>32</v>
      </c>
      <c r="AK3" s="125" t="s">
        <v>33</v>
      </c>
      <c r="AL3" s="125" t="s">
        <v>34</v>
      </c>
      <c r="AM3" s="125" t="s">
        <v>35</v>
      </c>
      <c r="AN3" s="125" t="s">
        <v>36</v>
      </c>
      <c r="AO3" s="125" t="s">
        <v>37</v>
      </c>
      <c r="AP3" s="125" t="s">
        <v>38</v>
      </c>
      <c r="AQ3" s="125" t="s">
        <v>39</v>
      </c>
      <c r="AR3" s="125" t="s">
        <v>40</v>
      </c>
      <c r="AS3" s="126" t="s">
        <v>41</v>
      </c>
      <c r="AT3" s="126" t="s">
        <v>42</v>
      </c>
      <c r="AU3" s="126" t="s">
        <v>43</v>
      </c>
      <c r="AV3" s="126" t="s">
        <v>44</v>
      </c>
      <c r="AW3" s="126" t="s">
        <v>45</v>
      </c>
      <c r="AX3" s="126" t="s">
        <v>46</v>
      </c>
      <c r="AY3" s="126" t="s">
        <v>47</v>
      </c>
      <c r="AZ3" s="126" t="s">
        <v>48</v>
      </c>
      <c r="BA3" s="126" t="s">
        <v>49</v>
      </c>
      <c r="BB3" s="126" t="s">
        <v>50</v>
      </c>
      <c r="BC3" s="126" t="s">
        <v>51</v>
      </c>
      <c r="BD3" s="126" t="s">
        <v>52</v>
      </c>
      <c r="BE3" s="126" t="s">
        <v>53</v>
      </c>
      <c r="BF3" s="126" t="s">
        <v>54</v>
      </c>
      <c r="BG3" s="126" t="s">
        <v>55</v>
      </c>
      <c r="BH3" s="126" t="s">
        <v>56</v>
      </c>
      <c r="BI3" s="126" t="s">
        <v>57</v>
      </c>
      <c r="BJ3" s="126" t="s">
        <v>58</v>
      </c>
      <c r="BK3" s="126" t="s">
        <v>59</v>
      </c>
      <c r="BL3" s="126" t="s">
        <v>60</v>
      </c>
      <c r="BM3" s="126" t="s">
        <v>61</v>
      </c>
      <c r="BN3" s="126" t="s">
        <v>62</v>
      </c>
      <c r="BO3" s="126" t="s">
        <v>63</v>
      </c>
      <c r="BP3" s="126" t="s">
        <v>64</v>
      </c>
      <c r="BQ3" s="126" t="s">
        <v>65</v>
      </c>
      <c r="BR3" s="126" t="s">
        <v>66</v>
      </c>
      <c r="BS3" s="126" t="s">
        <v>67</v>
      </c>
      <c r="BT3" s="126" t="s">
        <v>68</v>
      </c>
      <c r="BU3" s="126" t="s">
        <v>69</v>
      </c>
      <c r="BV3" s="126" t="s">
        <v>70</v>
      </c>
      <c r="BW3" s="126" t="s">
        <v>71</v>
      </c>
    </row>
    <row r="4" spans="2:75" ht="20.100000000000001" customHeight="1">
      <c r="B4" s="93">
        <v>1</v>
      </c>
      <c r="C4" s="88" t="s">
        <v>524</v>
      </c>
      <c r="D4" s="89"/>
      <c r="E4" s="91"/>
      <c r="F4" s="92"/>
      <c r="G4" s="92">
        <v>1</v>
      </c>
      <c r="H4" s="92"/>
      <c r="I4" s="92"/>
      <c r="J4" s="92"/>
      <c r="K4" s="92"/>
      <c r="L4" s="92"/>
      <c r="M4" s="92"/>
      <c r="N4" s="92"/>
      <c r="O4" s="92"/>
      <c r="P4" s="92"/>
      <c r="Q4" s="92"/>
      <c r="R4" s="92"/>
      <c r="S4" s="92"/>
      <c r="T4" s="92"/>
      <c r="U4" s="92"/>
      <c r="V4" s="92"/>
      <c r="W4" s="92"/>
      <c r="X4" s="92"/>
      <c r="Y4" s="92"/>
      <c r="Z4" s="92"/>
      <c r="AA4" s="92"/>
      <c r="AB4" s="92">
        <v>1</v>
      </c>
      <c r="AC4" s="92"/>
      <c r="AD4" s="92"/>
      <c r="AE4" s="92">
        <v>1</v>
      </c>
      <c r="AF4" s="92"/>
      <c r="AG4" s="92"/>
      <c r="AH4" s="92"/>
      <c r="AI4" s="92"/>
      <c r="AJ4" s="92"/>
      <c r="AK4" s="92"/>
      <c r="AL4" s="92">
        <v>1</v>
      </c>
      <c r="AM4" s="92">
        <v>1</v>
      </c>
      <c r="AN4" s="92"/>
      <c r="AO4" s="92"/>
      <c r="AP4" s="92"/>
      <c r="AQ4" s="92"/>
      <c r="AR4" s="92">
        <v>1</v>
      </c>
      <c r="AS4" s="122">
        <v>1</v>
      </c>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row>
    <row r="5" spans="2:75" ht="20.100000000000001" customHeight="1">
      <c r="B5" s="93" t="s">
        <v>552</v>
      </c>
      <c r="C5" s="88" t="s">
        <v>599</v>
      </c>
      <c r="D5" s="89"/>
      <c r="E5" s="91"/>
      <c r="F5" s="92"/>
      <c r="G5" s="92"/>
      <c r="H5" s="92"/>
      <c r="I5" s="92"/>
      <c r="J5" s="92"/>
      <c r="K5" s="92"/>
      <c r="L5" s="92"/>
      <c r="M5" s="92"/>
      <c r="N5" s="92"/>
      <c r="O5" s="92"/>
      <c r="P5" s="92"/>
      <c r="Q5" s="92">
        <v>25</v>
      </c>
      <c r="R5" s="92"/>
      <c r="S5" s="92"/>
      <c r="T5" s="92"/>
      <c r="U5" s="92"/>
      <c r="V5" s="92"/>
      <c r="W5" s="92"/>
      <c r="X5" s="92"/>
      <c r="Y5" s="92"/>
      <c r="Z5" s="92"/>
      <c r="AA5" s="92"/>
      <c r="AB5" s="92"/>
      <c r="AC5" s="92"/>
      <c r="AD5" s="92"/>
      <c r="AE5" s="92"/>
      <c r="AF5" s="92"/>
      <c r="AG5" s="92"/>
      <c r="AH5" s="92"/>
      <c r="AI5" s="92"/>
      <c r="AJ5" s="92"/>
      <c r="AK5" s="92"/>
      <c r="AL5" s="92"/>
      <c r="AM5" s="92">
        <v>1</v>
      </c>
      <c r="AN5" s="92"/>
      <c r="AO5" s="92"/>
      <c r="AP5" s="92"/>
      <c r="AQ5" s="92"/>
      <c r="AR5" s="92"/>
      <c r="AS5" s="12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v>4</v>
      </c>
      <c r="BV5" s="92"/>
      <c r="BW5" s="92"/>
    </row>
    <row r="6" spans="2:75" ht="20.100000000000001" customHeight="1">
      <c r="B6" s="93" t="s">
        <v>551</v>
      </c>
      <c r="C6" s="88" t="s">
        <v>316</v>
      </c>
      <c r="D6" s="89"/>
      <c r="E6" s="91"/>
      <c r="F6" s="92"/>
      <c r="G6" s="92"/>
      <c r="H6" s="92"/>
      <c r="I6" s="92"/>
      <c r="J6" s="92"/>
      <c r="K6" s="92"/>
      <c r="L6" s="92"/>
      <c r="M6" s="92"/>
      <c r="N6" s="92"/>
      <c r="O6" s="92"/>
      <c r="P6" s="92"/>
      <c r="Q6" s="92"/>
      <c r="R6" s="92"/>
      <c r="S6" s="92"/>
      <c r="T6" s="92"/>
      <c r="U6" s="92"/>
      <c r="V6" s="92"/>
      <c r="W6" s="92"/>
      <c r="X6" s="92"/>
      <c r="Y6" s="92"/>
      <c r="Z6" s="92"/>
      <c r="AA6" s="92"/>
      <c r="AB6" s="92"/>
      <c r="AC6" s="92"/>
      <c r="AD6" s="92"/>
      <c r="AE6" s="92">
        <v>1</v>
      </c>
      <c r="AF6" s="92"/>
      <c r="AG6" s="92"/>
      <c r="AH6" s="92"/>
      <c r="AI6" s="92"/>
      <c r="AJ6" s="92"/>
      <c r="AK6" s="92"/>
      <c r="AL6" s="92">
        <v>1</v>
      </c>
      <c r="AM6" s="92">
        <v>1</v>
      </c>
      <c r="AN6" s="92"/>
      <c r="AO6" s="92"/>
      <c r="AP6" s="92"/>
      <c r="AQ6" s="92"/>
      <c r="AR6" s="92">
        <v>1</v>
      </c>
      <c r="AS6" s="122">
        <v>1</v>
      </c>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row>
    <row r="7" spans="2:75" ht="20.100000000000001" customHeight="1">
      <c r="B7" s="93">
        <v>3</v>
      </c>
      <c r="C7" s="88" t="s">
        <v>525</v>
      </c>
      <c r="D7" s="89"/>
      <c r="E7" s="91"/>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v>1</v>
      </c>
      <c r="AM7" s="92">
        <v>1</v>
      </c>
      <c r="AN7" s="92"/>
      <c r="AO7" s="92"/>
      <c r="AP7" s="92"/>
      <c r="AQ7" s="92"/>
      <c r="AR7" s="92">
        <v>1</v>
      </c>
      <c r="AS7" s="122">
        <v>1</v>
      </c>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row>
    <row r="8" spans="2:75" ht="20.100000000000001" customHeight="1">
      <c r="B8" s="93">
        <v>4</v>
      </c>
      <c r="C8" s="88" t="s">
        <v>317</v>
      </c>
      <c r="D8" s="89"/>
      <c r="E8" s="91"/>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v>1</v>
      </c>
      <c r="AM8" s="92">
        <v>1</v>
      </c>
      <c r="AN8" s="92"/>
      <c r="AO8" s="92"/>
      <c r="AP8" s="92"/>
      <c r="AQ8" s="92"/>
      <c r="AR8" s="92">
        <v>1</v>
      </c>
      <c r="AS8" s="122">
        <v>1</v>
      </c>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row>
    <row r="9" spans="2:75" ht="20.100000000000001" customHeight="1">
      <c r="B9" s="93">
        <v>5</v>
      </c>
      <c r="C9" s="88" t="s">
        <v>318</v>
      </c>
      <c r="D9" s="89"/>
      <c r="E9" s="91"/>
      <c r="F9" s="92"/>
      <c r="G9" s="92"/>
      <c r="H9" s="92"/>
      <c r="I9" s="92"/>
      <c r="J9" s="92"/>
      <c r="K9" s="92"/>
      <c r="L9" s="92"/>
      <c r="M9" s="92"/>
      <c r="N9" s="92"/>
      <c r="O9" s="92"/>
      <c r="P9" s="92"/>
      <c r="Q9" s="92"/>
      <c r="R9" s="92"/>
      <c r="S9" s="92"/>
      <c r="T9" s="92"/>
      <c r="U9" s="92"/>
      <c r="V9" s="92"/>
      <c r="W9" s="92"/>
      <c r="X9" s="92"/>
      <c r="Y9" s="92"/>
      <c r="Z9" s="92"/>
      <c r="AA9" s="92"/>
      <c r="AB9" s="92">
        <v>1</v>
      </c>
      <c r="AC9" s="92"/>
      <c r="AD9" s="92"/>
      <c r="AE9" s="92"/>
      <c r="AF9" s="92"/>
      <c r="AG9" s="92"/>
      <c r="AH9" s="92"/>
      <c r="AI9" s="92"/>
      <c r="AJ9" s="92">
        <v>1</v>
      </c>
      <c r="AK9" s="92">
        <v>1</v>
      </c>
      <c r="AL9" s="92"/>
      <c r="AM9" s="92"/>
      <c r="AN9" s="92"/>
      <c r="AO9" s="92"/>
      <c r="AP9" s="92"/>
      <c r="AQ9" s="92"/>
      <c r="AR9" s="92"/>
      <c r="AS9" s="12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row>
    <row r="10" spans="2:75" ht="20.100000000000001" customHeight="1">
      <c r="B10" s="93">
        <v>6</v>
      </c>
      <c r="C10" s="88" t="s">
        <v>319</v>
      </c>
      <c r="D10" s="89"/>
      <c r="E10" s="91"/>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v>1</v>
      </c>
      <c r="AF10" s="92"/>
      <c r="AG10" s="92"/>
      <c r="AH10" s="92"/>
      <c r="AI10" s="92"/>
      <c r="AJ10" s="92"/>
      <c r="AK10" s="92"/>
      <c r="AL10" s="92"/>
      <c r="AM10" s="92">
        <v>1</v>
      </c>
      <c r="AN10" s="92"/>
      <c r="AO10" s="92"/>
      <c r="AP10" s="92"/>
      <c r="AQ10" s="92"/>
      <c r="AR10" s="92"/>
      <c r="AS10" s="12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row>
    <row r="11" spans="2:75" ht="20.100000000000001" customHeight="1">
      <c r="B11" s="93">
        <v>7</v>
      </c>
      <c r="C11" s="88" t="s">
        <v>714</v>
      </c>
      <c r="D11" s="89"/>
      <c r="E11" s="91"/>
      <c r="F11" s="92"/>
      <c r="G11" s="92">
        <v>1</v>
      </c>
      <c r="H11" s="92"/>
      <c r="I11" s="92"/>
      <c r="J11" s="92"/>
      <c r="K11" s="92"/>
      <c r="L11" s="92"/>
      <c r="M11" s="92"/>
      <c r="N11" s="92"/>
      <c r="O11" s="92"/>
      <c r="P11" s="92"/>
      <c r="Q11" s="92"/>
      <c r="R11" s="92"/>
      <c r="S11" s="92"/>
      <c r="T11" s="92"/>
      <c r="U11" s="92"/>
      <c r="V11" s="92"/>
      <c r="W11" s="92"/>
      <c r="X11" s="92"/>
      <c r="Y11" s="92"/>
      <c r="Z11" s="92"/>
      <c r="AA11" s="92"/>
      <c r="AB11" s="92">
        <v>1</v>
      </c>
      <c r="AC11" s="92"/>
      <c r="AD11" s="92"/>
      <c r="AE11" s="92">
        <v>1</v>
      </c>
      <c r="AF11" s="92"/>
      <c r="AG11" s="92"/>
      <c r="AH11" s="92"/>
      <c r="AI11" s="92"/>
      <c r="AJ11" s="92"/>
      <c r="AK11" s="92"/>
      <c r="AL11" s="92">
        <v>1</v>
      </c>
      <c r="AM11" s="92">
        <v>1</v>
      </c>
      <c r="AN11" s="92"/>
      <c r="AO11" s="92"/>
      <c r="AP11" s="92"/>
      <c r="AQ11" s="92"/>
      <c r="AR11" s="92"/>
      <c r="AS11" s="122">
        <v>2</v>
      </c>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row>
    <row r="12" spans="2:75" ht="30">
      <c r="B12" s="93">
        <v>8</v>
      </c>
      <c r="C12" s="507" t="s">
        <v>715</v>
      </c>
      <c r="D12" s="89"/>
      <c r="E12" s="91"/>
      <c r="F12" s="92"/>
      <c r="G12" s="92">
        <v>1</v>
      </c>
      <c r="H12" s="92"/>
      <c r="I12" s="92"/>
      <c r="J12" s="92"/>
      <c r="K12" s="92"/>
      <c r="L12" s="92"/>
      <c r="M12" s="92"/>
      <c r="N12" s="92"/>
      <c r="O12" s="92"/>
      <c r="P12" s="92"/>
      <c r="Q12" s="92"/>
      <c r="R12" s="92"/>
      <c r="S12" s="92"/>
      <c r="T12" s="92"/>
      <c r="U12" s="92"/>
      <c r="V12" s="92"/>
      <c r="W12" s="92"/>
      <c r="X12" s="92"/>
      <c r="Y12" s="92"/>
      <c r="Z12" s="92"/>
      <c r="AA12" s="92"/>
      <c r="AB12" s="92">
        <v>1</v>
      </c>
      <c r="AC12" s="92"/>
      <c r="AD12" s="92"/>
      <c r="AE12" s="92">
        <v>1</v>
      </c>
      <c r="AF12" s="92"/>
      <c r="AG12" s="92"/>
      <c r="AH12" s="92"/>
      <c r="AI12" s="92"/>
      <c r="AJ12" s="92"/>
      <c r="AK12" s="92"/>
      <c r="AL12" s="92">
        <v>1</v>
      </c>
      <c r="AM12" s="92">
        <v>1</v>
      </c>
      <c r="AN12" s="92"/>
      <c r="AO12" s="92"/>
      <c r="AP12" s="92"/>
      <c r="AQ12" s="92"/>
      <c r="AR12" s="92"/>
      <c r="AS12" s="122">
        <v>2</v>
      </c>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row>
    <row r="13" spans="2:75" ht="20.100000000000001" customHeight="1">
      <c r="B13" s="93">
        <v>9</v>
      </c>
      <c r="C13" s="88" t="s">
        <v>716</v>
      </c>
      <c r="D13" s="89"/>
      <c r="E13" s="91"/>
      <c r="F13" s="92"/>
      <c r="G13" s="92">
        <v>1</v>
      </c>
      <c r="H13" s="92"/>
      <c r="I13" s="92"/>
      <c r="J13" s="92"/>
      <c r="K13" s="92"/>
      <c r="L13" s="92"/>
      <c r="M13" s="92"/>
      <c r="N13" s="92"/>
      <c r="O13" s="92"/>
      <c r="P13" s="92"/>
      <c r="Q13" s="92"/>
      <c r="R13" s="92"/>
      <c r="S13" s="92"/>
      <c r="T13" s="92"/>
      <c r="U13" s="92"/>
      <c r="V13" s="92"/>
      <c r="W13" s="92"/>
      <c r="X13" s="92"/>
      <c r="Y13" s="92"/>
      <c r="Z13" s="92"/>
      <c r="AA13" s="92"/>
      <c r="AB13" s="92">
        <v>1</v>
      </c>
      <c r="AC13" s="92"/>
      <c r="AD13" s="92"/>
      <c r="AE13" s="92">
        <v>1</v>
      </c>
      <c r="AF13" s="92"/>
      <c r="AG13" s="92"/>
      <c r="AH13" s="92"/>
      <c r="AI13" s="92"/>
      <c r="AJ13" s="92"/>
      <c r="AK13" s="92"/>
      <c r="AL13" s="92">
        <v>1</v>
      </c>
      <c r="AM13" s="92">
        <v>1</v>
      </c>
      <c r="AN13" s="92"/>
      <c r="AO13" s="92"/>
      <c r="AP13" s="92"/>
      <c r="AQ13" s="92"/>
      <c r="AR13" s="92"/>
      <c r="AS13" s="122">
        <v>1</v>
      </c>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row>
    <row r="14" spans="2:75" ht="20.100000000000001" customHeight="1">
      <c r="B14" s="93">
        <v>10</v>
      </c>
      <c r="C14" s="88" t="s">
        <v>770</v>
      </c>
      <c r="D14" s="89"/>
      <c r="E14" s="91"/>
      <c r="F14" s="92">
        <v>1</v>
      </c>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v>1</v>
      </c>
      <c r="AN14" s="92"/>
      <c r="AO14" s="92"/>
      <c r="AP14" s="92"/>
      <c r="AQ14" s="92"/>
      <c r="AR14" s="92"/>
      <c r="AS14" s="12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row>
    <row r="15" spans="2:75" ht="17.25" customHeight="1"/>
    <row r="16" spans="2:75" ht="17.25" customHeight="1"/>
    <row r="17" ht="17.25" customHeight="1"/>
    <row r="18" ht="17.25" customHeight="1"/>
    <row r="19" ht="17.25" customHeight="1"/>
    <row r="20" ht="17.25" customHeight="1"/>
    <row r="21" ht="17.25" customHeight="1"/>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52</vt:i4>
      </vt:variant>
      <vt:variant>
        <vt:lpstr>Intervalos Nomeados</vt:lpstr>
      </vt:variant>
      <vt:variant>
        <vt:i4>44</vt:i4>
      </vt:variant>
    </vt:vector>
  </HeadingPairs>
  <TitlesOfParts>
    <vt:vector size="96" baseType="lpstr">
      <vt:lpstr>Dados</vt:lpstr>
      <vt:lpstr>Lotes</vt:lpstr>
      <vt:lpstr>Resumo</vt:lpstr>
      <vt:lpstr>Produtos</vt:lpstr>
      <vt:lpstr>Recursos</vt:lpstr>
      <vt:lpstr>Resumo-NT</vt:lpstr>
      <vt:lpstr>Mem.Cálculo-&gt;</vt:lpstr>
      <vt:lpstr>Cronograma</vt:lpstr>
      <vt:lpstr>Alocação MO</vt:lpstr>
      <vt:lpstr>BDI</vt:lpstr>
      <vt:lpstr>1.PdT</vt:lpstr>
      <vt:lpstr>2.1.1.EMD.Campo</vt:lpstr>
      <vt:lpstr>2.1.2.EMD</vt:lpstr>
      <vt:lpstr>2.2.EEN</vt:lpstr>
      <vt:lpstr>2.3.EOP</vt:lpstr>
      <vt:lpstr>2.4.EMA</vt:lpstr>
      <vt:lpstr>2.5.MEF</vt:lpstr>
      <vt:lpstr>2.6.AP</vt:lpstr>
      <vt:lpstr>2.7.TCU</vt:lpstr>
      <vt:lpstr>2.8.Edital</vt:lpstr>
      <vt:lpstr>2.9.ADJR</vt:lpstr>
      <vt:lpstr>3.1.1.EMD.Campo</vt:lpstr>
      <vt:lpstr>3.1.2.EMD</vt:lpstr>
      <vt:lpstr>3.2.EEN</vt:lpstr>
      <vt:lpstr>3.3.EOP</vt:lpstr>
      <vt:lpstr>3.4.EMA</vt:lpstr>
      <vt:lpstr>3.5.MEF</vt:lpstr>
      <vt:lpstr>3.6.AP</vt:lpstr>
      <vt:lpstr>3.7.TCU</vt:lpstr>
      <vt:lpstr>3.8.Edital</vt:lpstr>
      <vt:lpstr>3.9.ADJR</vt:lpstr>
      <vt:lpstr>4.1.1.EMD.Campo</vt:lpstr>
      <vt:lpstr>4.1.2.EMD</vt:lpstr>
      <vt:lpstr>4.2.EEN</vt:lpstr>
      <vt:lpstr>4.3.EOP</vt:lpstr>
      <vt:lpstr>4.4.EMA</vt:lpstr>
      <vt:lpstr>4.5.MEF</vt:lpstr>
      <vt:lpstr>4.6.AP</vt:lpstr>
      <vt:lpstr>4.7.TCU</vt:lpstr>
      <vt:lpstr>4.8.Edital</vt:lpstr>
      <vt:lpstr>4.9.ADJR</vt:lpstr>
      <vt:lpstr>Inspeção-Veículo</vt:lpstr>
      <vt:lpstr>Diárias e Passagens</vt:lpstr>
      <vt:lpstr>Preços-&gt;</vt:lpstr>
      <vt:lpstr>Diárias</vt:lpstr>
      <vt:lpstr>Voos</vt:lpstr>
      <vt:lpstr>Voos Pesquisa</vt:lpstr>
      <vt:lpstr>TC 10-2023</vt:lpstr>
      <vt:lpstr>TC-CustosGerais</vt:lpstr>
      <vt:lpstr>Categorias</vt:lpstr>
      <vt:lpstr>Equip.Info</vt:lpstr>
      <vt:lpstr>Mat.Info</vt:lpstr>
      <vt:lpstr>'1.PdT'!Area_de_impressao</vt:lpstr>
      <vt:lpstr>'2.1.1.EMD.Campo'!Area_de_impressao</vt:lpstr>
      <vt:lpstr>'2.1.2.EMD'!Area_de_impressao</vt:lpstr>
      <vt:lpstr>'2.2.EEN'!Area_de_impressao</vt:lpstr>
      <vt:lpstr>'2.3.EOP'!Area_de_impressao</vt:lpstr>
      <vt:lpstr>'2.4.EMA'!Area_de_impressao</vt:lpstr>
      <vt:lpstr>'2.5.MEF'!Area_de_impressao</vt:lpstr>
      <vt:lpstr>'2.6.AP'!Area_de_impressao</vt:lpstr>
      <vt:lpstr>'2.7.TCU'!Area_de_impressao</vt:lpstr>
      <vt:lpstr>'2.8.Edital'!Area_de_impressao</vt:lpstr>
      <vt:lpstr>'2.9.ADJR'!Area_de_impressao</vt:lpstr>
      <vt:lpstr>'3.1.1.EMD.Campo'!Area_de_impressao</vt:lpstr>
      <vt:lpstr>'3.1.2.EMD'!Area_de_impressao</vt:lpstr>
      <vt:lpstr>'3.2.EEN'!Area_de_impressao</vt:lpstr>
      <vt:lpstr>'3.3.EOP'!Area_de_impressao</vt:lpstr>
      <vt:lpstr>'3.4.EMA'!Area_de_impressao</vt:lpstr>
      <vt:lpstr>'3.5.MEF'!Area_de_impressao</vt:lpstr>
      <vt:lpstr>'3.6.AP'!Area_de_impressao</vt:lpstr>
      <vt:lpstr>'3.7.TCU'!Area_de_impressao</vt:lpstr>
      <vt:lpstr>'3.8.Edital'!Area_de_impressao</vt:lpstr>
      <vt:lpstr>'3.9.ADJR'!Area_de_impressao</vt:lpstr>
      <vt:lpstr>'4.1.1.EMD.Campo'!Area_de_impressao</vt:lpstr>
      <vt:lpstr>'4.1.2.EMD'!Area_de_impressao</vt:lpstr>
      <vt:lpstr>'4.2.EEN'!Area_de_impressao</vt:lpstr>
      <vt:lpstr>'4.3.EOP'!Area_de_impressao</vt:lpstr>
      <vt:lpstr>'4.4.EMA'!Area_de_impressao</vt:lpstr>
      <vt:lpstr>'4.5.MEF'!Area_de_impressao</vt:lpstr>
      <vt:lpstr>'4.6.AP'!Area_de_impressao</vt:lpstr>
      <vt:lpstr>'4.7.TCU'!Area_de_impressao</vt:lpstr>
      <vt:lpstr>'4.8.Edital'!Area_de_impressao</vt:lpstr>
      <vt:lpstr>'4.9.ADJR'!Area_de_impressao</vt:lpstr>
      <vt:lpstr>BDI!Area_de_impressao</vt:lpstr>
      <vt:lpstr>Dados!Area_de_impressao</vt:lpstr>
      <vt:lpstr>'Diárias e Passagens'!Area_de_impressao</vt:lpstr>
      <vt:lpstr>'Inspeção-Veículo'!Area_de_impressao</vt:lpstr>
      <vt:lpstr>Produtos!Area_de_impressao</vt:lpstr>
      <vt:lpstr>Recursos!Area_de_impressao</vt:lpstr>
      <vt:lpstr>Resumo!Area_de_impressao</vt:lpstr>
      <vt:lpstr>'Resumo-NT'!Area_de_impressao</vt:lpstr>
      <vt:lpstr>'TC 10-2023'!Area_de_impressao</vt:lpstr>
      <vt:lpstr>'TC-CustosGerais'!Area_de_impressao</vt:lpstr>
      <vt:lpstr>'Diárias e Passagens'!Titulos_de_impressao</vt:lpstr>
      <vt:lpstr>Recursos!Titulos_de_impressao</vt:lpstr>
      <vt:lpstr>'TC 10-2023'!Titulos_de_impressao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Wagner Edson Ribeiro Ferreira</dc:creator>
  <cp:keywords/>
  <dc:description/>
  <cp:lastModifiedBy>Márcia Dalvi</cp:lastModifiedBy>
  <cp:revision/>
  <cp:lastPrinted>2024-04-15T18:23:18Z</cp:lastPrinted>
  <dcterms:created xsi:type="dcterms:W3CDTF">2023-06-05T17:51:35Z</dcterms:created>
  <dcterms:modified xsi:type="dcterms:W3CDTF">2024-04-15T21:04:13Z</dcterms:modified>
  <cp:category/>
  <cp:contentStatus/>
</cp:coreProperties>
</file>