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nathan.sarmento\Documents\2. Contratos\1. CT 2024 - GEMAB\BLOCO 1 - Licenciamento e concessões\"/>
    </mc:Choice>
  </mc:AlternateContent>
  <xr:revisionPtr revIDLastSave="0" documentId="13_ncr:1_{07178C6F-E1A5-4C44-9FC9-85346F67E40E}" xr6:coauthVersionLast="47" xr6:coauthVersionMax="47" xr10:uidLastSave="{00000000-0000-0000-0000-000000000000}"/>
  <bookViews>
    <workbookView xWindow="19920" yWindow="0" windowWidth="18480" windowHeight="15600" tabRatio="885" firstSheet="27" activeTab="28" xr2:uid="{ADE195B0-24E8-4754-AA9A-2CE6570E2656}"/>
  </bookViews>
  <sheets>
    <sheet name="CAPA" sheetId="148" r:id="rId1"/>
    <sheet name="BDI" sheetId="110" r:id="rId2"/>
    <sheet name="Preços de Referência" sheetId="9" r:id="rId3"/>
    <sheet name="PRODUTOS" sheetId="59" r:id="rId4"/>
    <sheet name="1. GERE" sheetId="153" r:id="rId5"/>
    <sheet name="2. CONS.PUB-I" sheetId="158" r:id="rId6"/>
    <sheet name="3. CONS.PUB-II" sheetId="205" r:id="rId7"/>
    <sheet name="4. AUD.PUB" sheetId="206" r:id="rId8"/>
    <sheet name="5. EIA.PONTUAL" sheetId="163" r:id="rId9"/>
    <sheet name="6. EA.PONTUAL TIPO I" sheetId="207" r:id="rId10"/>
    <sheet name="7. EA.PONTUAL TIPO II" sheetId="208" r:id="rId11"/>
    <sheet name="8. EIA.LINEAR" sheetId="209" r:id="rId12"/>
    <sheet name="9. EA.LINEAR_TIPO I" sheetId="211" r:id="rId13"/>
    <sheet name="10. EA.LINEAR_TIPO II" sheetId="212" r:id="rId14"/>
    <sheet name="11. EST.IMP.SINERG" sheetId="213" r:id="rId15"/>
    <sheet name="12. Estudo Fauna" sheetId="215" r:id="rId16"/>
    <sheet name="13. DDA" sheetId="216" r:id="rId17"/>
    <sheet name="14. DSAP" sheetId="217" r:id="rId18"/>
    <sheet name="15. PGA_I" sheetId="218" r:id="rId19"/>
    <sheet name="16. PGA_II" sheetId="219" r:id="rId20"/>
    <sheet name="17. APM" sheetId="220" r:id="rId21"/>
    <sheet name="18.PACM" sheetId="221" r:id="rId22"/>
    <sheet name="19. EVTEA_SOCIO_PONTUAL" sheetId="222" r:id="rId23"/>
    <sheet name="20. EVTEA_SOCIO_LINEAR" sheetId="223" r:id="rId24"/>
    <sheet name="21. EPVALT" sheetId="224" r:id="rId25"/>
    <sheet name="22. PRAD" sheetId="225" r:id="rId26"/>
    <sheet name="23. PROJ.BAR.ACUST" sheetId="227" r:id="rId27"/>
    <sheet name="24. EAR_LI" sheetId="228" r:id="rId28"/>
    <sheet name="25. EAR_LO" sheetId="229" r:id="rId29"/>
    <sheet name="26. PGR" sheetId="230" r:id="rId30"/>
    <sheet name="27. PAE" sheetId="231" r:id="rId31"/>
    <sheet name="28. CAR.AMB" sheetId="232" r:id="rId32"/>
    <sheet name="29. PLAN.MAN" sheetId="233" r:id="rId33"/>
    <sheet name="30. INV.FLORA" sheetId="234" r:id="rId34"/>
    <sheet name="31.MIDIAS.SOCIAIS" sheetId="237" r:id="rId35"/>
    <sheet name="32. SOCI_JORNAL" sheetId="238" r:id="rId36"/>
    <sheet name="33. SOCI_AUDIO_VISIO" sheetId="239" r:id="rId37"/>
    <sheet name="34. LIVRO" sheetId="241" r:id="rId38"/>
    <sheet name="35. REV.EIA" sheetId="210" r:id="rId39"/>
    <sheet name="36.PPCOMP" sheetId="243" r:id="rId40"/>
  </sheets>
  <definedNames>
    <definedName name="\i" localSheetId="1">#REF!</definedName>
    <definedName name="\i">#REF!</definedName>
    <definedName name="\l" localSheetId="1">#REF!</definedName>
    <definedName name="\l">#REF!</definedName>
    <definedName name="\s" localSheetId="1">#REF!</definedName>
    <definedName name="\s">#REF!</definedName>
    <definedName name="\t" localSheetId="1">#REF!</definedName>
    <definedName name="\t">#REF!</definedName>
    <definedName name="______JAZ1">#REF!</definedName>
    <definedName name="______JAZ11">#REF!</definedName>
    <definedName name="______JAZ2">#REF!</definedName>
    <definedName name="______JAZ22">#REF!</definedName>
    <definedName name="______JAZ3">#REF!</definedName>
    <definedName name="______JAZ33">#REF!</definedName>
    <definedName name="______RET1">#REF!</definedName>
    <definedName name="______tsd4">#REF!</definedName>
    <definedName name="______TT21" localSheetId="1">#REF!</definedName>
    <definedName name="______TT21">#REF!</definedName>
    <definedName name="______TT22" localSheetId="1">#REF!</definedName>
    <definedName name="______TT22">#REF!</definedName>
    <definedName name="_____br4" localSheetId="1">#REF!</definedName>
    <definedName name="_____br4">#REF!</definedName>
    <definedName name="_____JAZ1">#REF!</definedName>
    <definedName name="_____JAZ11">#REF!</definedName>
    <definedName name="_____JAZ2">#REF!</definedName>
    <definedName name="_____JAZ22">#REF!</definedName>
    <definedName name="_____JAZ3">#REF!</definedName>
    <definedName name="_____JAZ33">#REF!</definedName>
    <definedName name="_____ko1">#REF!</definedName>
    <definedName name="_____ko12">#REF!</definedName>
    <definedName name="_____ko13">#REF!</definedName>
    <definedName name="_____ko14">#REF!</definedName>
    <definedName name="_____ko15">#REF!</definedName>
    <definedName name="_____ko16">#REF!</definedName>
    <definedName name="_____ko18">#REF!</definedName>
    <definedName name="_____ko2">#REF!</definedName>
    <definedName name="_____ko20">#REF!</definedName>
    <definedName name="_____ko23">#REF!</definedName>
    <definedName name="_____ko24">#REF!</definedName>
    <definedName name="_____ko25">#REF!</definedName>
    <definedName name="_____ko27">#REF!</definedName>
    <definedName name="_____ko3">#REF!</definedName>
    <definedName name="_____ko36">#REF!</definedName>
    <definedName name="_____ko37">#REF!</definedName>
    <definedName name="_____ko5">#REF!</definedName>
    <definedName name="_____RET1">#REF!</definedName>
    <definedName name="_____sjp4" localSheetId="1">#REF!</definedName>
    <definedName name="_____sjp4">#REF!</definedName>
    <definedName name="_____tab0198" localSheetId="1">#REF!</definedName>
    <definedName name="_____tab0198">#REF!</definedName>
    <definedName name="_____tab0599" localSheetId="1">#REF!</definedName>
    <definedName name="_____tab0599">#REF!</definedName>
    <definedName name="_____tab092003" localSheetId="1">#REF!</definedName>
    <definedName name="_____tab092003">#REF!</definedName>
    <definedName name="_____tsd4">#REF!</definedName>
    <definedName name="_____TT1" localSheetId="1">#REF!</definedName>
    <definedName name="_____TT1">#REF!</definedName>
    <definedName name="_____TT2" localSheetId="1">#REF!</definedName>
    <definedName name="_____TT2">#REF!</definedName>
    <definedName name="_____TT21" localSheetId="1">#REF!</definedName>
    <definedName name="_____TT21">#REF!</definedName>
    <definedName name="_____TT22" localSheetId="1">#REF!</definedName>
    <definedName name="_____TT22">#REF!</definedName>
    <definedName name="_____TT4" localSheetId="1">#REF!</definedName>
    <definedName name="_____TT4">#REF!</definedName>
    <definedName name="____br4" localSheetId="1">#REF!</definedName>
    <definedName name="____br4">#REF!</definedName>
    <definedName name="____JAZ1">#REF!</definedName>
    <definedName name="____JAZ11">#REF!</definedName>
    <definedName name="____JAZ2">#REF!</definedName>
    <definedName name="____JAZ22">#REF!</definedName>
    <definedName name="____JAZ3">#REF!</definedName>
    <definedName name="____JAZ33">#REF!</definedName>
    <definedName name="____ko1">#REF!</definedName>
    <definedName name="____ko12">#REF!</definedName>
    <definedName name="____ko13">#REF!</definedName>
    <definedName name="____ko14">#REF!</definedName>
    <definedName name="____ko15">#REF!</definedName>
    <definedName name="____ko16">#REF!</definedName>
    <definedName name="____ko18">#REF!</definedName>
    <definedName name="____ko2">#REF!</definedName>
    <definedName name="____ko20">#REF!</definedName>
    <definedName name="____ko23">#REF!</definedName>
    <definedName name="____ko24">#REF!</definedName>
    <definedName name="____ko25">#REF!</definedName>
    <definedName name="____ko27">#REF!</definedName>
    <definedName name="____ko3">#REF!</definedName>
    <definedName name="____ko36">#REF!</definedName>
    <definedName name="____ko37">#REF!</definedName>
    <definedName name="____ko5">#REF!</definedName>
    <definedName name="____RET1">#REF!</definedName>
    <definedName name="____sjp4" localSheetId="1">#REF!</definedName>
    <definedName name="____sjp4">#REF!</definedName>
    <definedName name="____tab0198" localSheetId="1">#REF!</definedName>
    <definedName name="____tab0198">#REF!</definedName>
    <definedName name="____tab0599" localSheetId="1">#REF!</definedName>
    <definedName name="____tab0599">#REF!</definedName>
    <definedName name="____tab092003" localSheetId="1">#REF!</definedName>
    <definedName name="____tab092003">#REF!</definedName>
    <definedName name="____tsd4">#REF!</definedName>
    <definedName name="____TT1" localSheetId="1">#REF!</definedName>
    <definedName name="____TT1">#REF!</definedName>
    <definedName name="____TT2" localSheetId="1">#REF!</definedName>
    <definedName name="____TT2">#REF!</definedName>
    <definedName name="____TT21" localSheetId="1">#REF!</definedName>
    <definedName name="____TT21">#REF!</definedName>
    <definedName name="____TT22" localSheetId="1">#REF!</definedName>
    <definedName name="____TT22">#REF!</definedName>
    <definedName name="____TT4" localSheetId="1">#REF!</definedName>
    <definedName name="____TT4">#REF!</definedName>
    <definedName name="___br4" localSheetId="1">#REF!</definedName>
    <definedName name="___br4">#REF!</definedName>
    <definedName name="___JAZ1">#REF!</definedName>
    <definedName name="___JAZ11">#REF!</definedName>
    <definedName name="___JAZ2">#REF!</definedName>
    <definedName name="___JAZ22">#REF!</definedName>
    <definedName name="___JAZ3">#REF!</definedName>
    <definedName name="___JAZ33">#REF!</definedName>
    <definedName name="___ko1">#REF!</definedName>
    <definedName name="___ko12">#REF!</definedName>
    <definedName name="___ko13">#REF!</definedName>
    <definedName name="___ko14">#REF!</definedName>
    <definedName name="___ko15">#REF!</definedName>
    <definedName name="___ko16">#REF!</definedName>
    <definedName name="___ko18">#REF!</definedName>
    <definedName name="___ko2">#REF!</definedName>
    <definedName name="___ko20">#REF!</definedName>
    <definedName name="___ko23">#REF!</definedName>
    <definedName name="___ko24">#REF!</definedName>
    <definedName name="___ko25">#REF!</definedName>
    <definedName name="___ko27">#REF!</definedName>
    <definedName name="___ko3">#REF!</definedName>
    <definedName name="___ko36">#REF!</definedName>
    <definedName name="___ko37">#REF!</definedName>
    <definedName name="___ko5">#REF!</definedName>
    <definedName name="___RET1">#REF!</definedName>
    <definedName name="___sjp4" localSheetId="1">#REF!</definedName>
    <definedName name="___sjp4">#REF!</definedName>
    <definedName name="___tab0198" localSheetId="1">#REF!</definedName>
    <definedName name="___tab0198">#REF!</definedName>
    <definedName name="___tab0599" localSheetId="1">#REF!</definedName>
    <definedName name="___tab0599">#REF!</definedName>
    <definedName name="___tab092003" localSheetId="1">#REF!</definedName>
    <definedName name="___tab092003">#REF!</definedName>
    <definedName name="___tsd4">#REF!</definedName>
    <definedName name="___TT1" localSheetId="1">#REF!</definedName>
    <definedName name="___TT1">#REF!</definedName>
    <definedName name="___TT2" localSheetId="1">#REF!</definedName>
    <definedName name="___TT2">#REF!</definedName>
    <definedName name="___TT21" localSheetId="1">#REF!</definedName>
    <definedName name="___TT21">#REF!</definedName>
    <definedName name="___TT22" localSheetId="1">#REF!</definedName>
    <definedName name="___TT22">#REF!</definedName>
    <definedName name="___TT4" localSheetId="1">#REF!</definedName>
    <definedName name="___TT4">#REF!</definedName>
    <definedName name="__br4" localSheetId="1">#REF!</definedName>
    <definedName name="__br4">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ko1">#REF!</definedName>
    <definedName name="__ko12">#REF!</definedName>
    <definedName name="__ko13">#REF!</definedName>
    <definedName name="__ko14">#REF!</definedName>
    <definedName name="__ko15">#REF!</definedName>
    <definedName name="__ko16">#REF!</definedName>
    <definedName name="__ko18">#REF!</definedName>
    <definedName name="__ko2">#REF!</definedName>
    <definedName name="__ko20">#REF!</definedName>
    <definedName name="__ko23">#REF!</definedName>
    <definedName name="__ko24">#REF!</definedName>
    <definedName name="__ko25">#REF!</definedName>
    <definedName name="__ko27">#REF!</definedName>
    <definedName name="__ko3">#REF!</definedName>
    <definedName name="__ko36">#REF!</definedName>
    <definedName name="__ko37">#REF!</definedName>
    <definedName name="__ko5">#REF!</definedName>
    <definedName name="__RET1">#REF!</definedName>
    <definedName name="__sjp4" localSheetId="1">#REF!</definedName>
    <definedName name="__sjp4">#REF!</definedName>
    <definedName name="__tab0198" localSheetId="1">#REF!</definedName>
    <definedName name="__tab0198">#REF!</definedName>
    <definedName name="__tab0599" localSheetId="1">#REF!</definedName>
    <definedName name="__tab0599">#REF!</definedName>
    <definedName name="__tab092003" localSheetId="1">#REF!</definedName>
    <definedName name="__tab092003">#REF!</definedName>
    <definedName name="__tsd4">#REF!</definedName>
    <definedName name="__TT1" localSheetId="1">#REF!</definedName>
    <definedName name="__TT1">#REF!</definedName>
    <definedName name="__TT2" localSheetId="1">#REF!</definedName>
    <definedName name="__TT2">#REF!</definedName>
    <definedName name="__TT21" localSheetId="1">#REF!</definedName>
    <definedName name="__TT21">#REF!</definedName>
    <definedName name="__TT22" localSheetId="1">#REF!</definedName>
    <definedName name="__TT22">#REF!</definedName>
    <definedName name="__TT4" localSheetId="1">#REF!</definedName>
    <definedName name="__TT4">#REF!</definedName>
    <definedName name="_01.01.01" localSheetId="1">#REF!</definedName>
    <definedName name="_01.01.01">#REF!</definedName>
    <definedName name="_1" localSheetId="1">#REF!</definedName>
    <definedName name="_1">#REF!</definedName>
    <definedName name="_10" localSheetId="1">#REF!</definedName>
    <definedName name="_10">#REF!</definedName>
    <definedName name="_11" localSheetId="1">#REF!</definedName>
    <definedName name="_11">#REF!</definedName>
    <definedName name="_12" localSheetId="1">#REF!</definedName>
    <definedName name="_12">#REF!</definedName>
    <definedName name="_13" localSheetId="1">#REF!</definedName>
    <definedName name="_13">#REF!</definedName>
    <definedName name="_14" localSheetId="1">#REF!</definedName>
    <definedName name="_14">#REF!</definedName>
    <definedName name="_15" localSheetId="1">#REF!</definedName>
    <definedName name="_15">#REF!</definedName>
    <definedName name="_1Sem_nome" localSheetId="1">#REF!</definedName>
    <definedName name="_1Sem_nome">#REF!</definedName>
    <definedName name="_2" localSheetId="1">#REF!</definedName>
    <definedName name="_2">#REF!</definedName>
    <definedName name="_3" localSheetId="1">#REF!</definedName>
    <definedName name="_3">#REF!</definedName>
    <definedName name="_4" localSheetId="1">#REF!</definedName>
    <definedName name="_4">#REF!</definedName>
    <definedName name="_4_Sem_nome" localSheetId="1">#REF!</definedName>
    <definedName name="_4_Sem_nome">#REF!</definedName>
    <definedName name="_5" localSheetId="1">#REF!</definedName>
    <definedName name="_5">#REF!</definedName>
    <definedName name="_6" localSheetId="1">#REF!</definedName>
    <definedName name="_6">#REF!</definedName>
    <definedName name="_7" localSheetId="1">#REF!</definedName>
    <definedName name="_7">#REF!</definedName>
    <definedName name="_8" localSheetId="1">#REF!</definedName>
    <definedName name="_8">#REF!</definedName>
    <definedName name="_8Sem_nome" localSheetId="1">#REF!</definedName>
    <definedName name="_8Sem_nome">#REF!</definedName>
    <definedName name="_9" localSheetId="1">#REF!</definedName>
    <definedName name="_9">#REF!</definedName>
    <definedName name="_A" localSheetId="1">#REF!</definedName>
    <definedName name="_A">#REF!</definedName>
    <definedName name="_A1" localSheetId="1">#REF!</definedName>
    <definedName name="_A1">#REF!</definedName>
    <definedName name="_B" localSheetId="1">#REF!</definedName>
    <definedName name="_B">#REF!</definedName>
    <definedName name="_br4" localSheetId="1">#REF!</definedName>
    <definedName name="_br4">#REF!</definedName>
    <definedName name="_cab1" localSheetId="1">#REF!</definedName>
    <definedName name="_cab1">#REF!</definedName>
    <definedName name="_COM010201" localSheetId="1">#REF!</definedName>
    <definedName name="_COM010201">#REF!</definedName>
    <definedName name="_COM010202" localSheetId="1">#REF!</definedName>
    <definedName name="_COM010202">#REF!</definedName>
    <definedName name="_COM010205" localSheetId="1">#REF!</definedName>
    <definedName name="_COM010205">#REF!</definedName>
    <definedName name="_COM010206" localSheetId="1">#REF!</definedName>
    <definedName name="_COM010206">#REF!</definedName>
    <definedName name="_COM010210" localSheetId="1">#REF!</definedName>
    <definedName name="_COM010210">#REF!</definedName>
    <definedName name="_COM010301" localSheetId="1">#REF!</definedName>
    <definedName name="_COM010301">#REF!</definedName>
    <definedName name="_COM010401" localSheetId="1">#REF!</definedName>
    <definedName name="_COM010401">#REF!</definedName>
    <definedName name="_COM010402" localSheetId="1">#REF!</definedName>
    <definedName name="_COM010402">#REF!</definedName>
    <definedName name="_COM010407" localSheetId="1">#REF!</definedName>
    <definedName name="_COM010407">#REF!</definedName>
    <definedName name="_COM010413" localSheetId="1">#REF!</definedName>
    <definedName name="_COM010413">#REF!</definedName>
    <definedName name="_COM010501" localSheetId="1">#REF!</definedName>
    <definedName name="_COM010501">#REF!</definedName>
    <definedName name="_COM010503" localSheetId="1">#REF!</definedName>
    <definedName name="_COM010503">#REF!</definedName>
    <definedName name="_COM010505" localSheetId="1">#REF!</definedName>
    <definedName name="_COM010505">#REF!</definedName>
    <definedName name="_COM010509" localSheetId="1">#REF!</definedName>
    <definedName name="_COM010509">#REF!</definedName>
    <definedName name="_COM010512" localSheetId="1">#REF!</definedName>
    <definedName name="_COM010512">#REF!</definedName>
    <definedName name="_COM010518" localSheetId="1">#REF!</definedName>
    <definedName name="_COM010518">#REF!</definedName>
    <definedName name="_COM010519" localSheetId="1">#REF!</definedName>
    <definedName name="_COM010519">#REF!</definedName>
    <definedName name="_COM010521" localSheetId="1">#REF!</definedName>
    <definedName name="_COM010521">#REF!</definedName>
    <definedName name="_COM010523" localSheetId="1">#REF!</definedName>
    <definedName name="_COM010523">#REF!</definedName>
    <definedName name="_COM010532" localSheetId="1">#REF!</definedName>
    <definedName name="_COM010532">#REF!</definedName>
    <definedName name="_COM010533" localSheetId="1">#REF!</definedName>
    <definedName name="_COM010533">#REF!</definedName>
    <definedName name="_COM010536" localSheetId="1">#REF!</definedName>
    <definedName name="_COM010536">#REF!</definedName>
    <definedName name="_COM010701" localSheetId="1">#REF!</definedName>
    <definedName name="_COM010701">#REF!</definedName>
    <definedName name="_COM010703" localSheetId="1">#REF!</definedName>
    <definedName name="_COM010703">#REF!</definedName>
    <definedName name="_COM010705" localSheetId="1">#REF!</definedName>
    <definedName name="_COM010705">#REF!</definedName>
    <definedName name="_COM010708" localSheetId="1">#REF!</definedName>
    <definedName name="_COM010708">#REF!</definedName>
    <definedName name="_COM010710" localSheetId="1">#REF!</definedName>
    <definedName name="_COM010710">#REF!</definedName>
    <definedName name="_COM010712" localSheetId="1">#REF!</definedName>
    <definedName name="_COM010712">#REF!</definedName>
    <definedName name="_COM010717" localSheetId="1">#REF!</definedName>
    <definedName name="_COM010717">#REF!</definedName>
    <definedName name="_COM010718" localSheetId="1">#REF!</definedName>
    <definedName name="_COM010718">#REF!</definedName>
    <definedName name="_COM020201" localSheetId="1">#REF!</definedName>
    <definedName name="_COM020201">#REF!</definedName>
    <definedName name="_COM020205" localSheetId="1">#REF!</definedName>
    <definedName name="_COM020205">#REF!</definedName>
    <definedName name="_COM020211" localSheetId="1">#REF!</definedName>
    <definedName name="_COM020211">#REF!</definedName>
    <definedName name="_COM020217" localSheetId="1">#REF!</definedName>
    <definedName name="_COM020217">#REF!</definedName>
    <definedName name="_COM030102" localSheetId="1">#REF!</definedName>
    <definedName name="_COM030102">#REF!</definedName>
    <definedName name="_COM030201" localSheetId="1">#REF!</definedName>
    <definedName name="_COM030201">#REF!</definedName>
    <definedName name="_COM030303" localSheetId="1">#REF!</definedName>
    <definedName name="_COM030303">#REF!</definedName>
    <definedName name="_COM030317" localSheetId="1">#REF!</definedName>
    <definedName name="_COM030317">#REF!</definedName>
    <definedName name="_COM040101" localSheetId="1">#REF!</definedName>
    <definedName name="_COM040101">#REF!</definedName>
    <definedName name="_COM040202" localSheetId="1">#REF!</definedName>
    <definedName name="_COM040202">#REF!</definedName>
    <definedName name="_COM050103" localSheetId="1">#REF!</definedName>
    <definedName name="_COM050103">#REF!</definedName>
    <definedName name="_COM050207" localSheetId="1">#REF!</definedName>
    <definedName name="_COM050207">#REF!</definedName>
    <definedName name="_COM060101" localSheetId="1">#REF!</definedName>
    <definedName name="_COM060101">#REF!</definedName>
    <definedName name="_COM080101" localSheetId="1">#REF!</definedName>
    <definedName name="_COM080101">#REF!</definedName>
    <definedName name="_COM080310" localSheetId="1">#REF!</definedName>
    <definedName name="_COM080310">#REF!</definedName>
    <definedName name="_COM090101" localSheetId="1">#REF!</definedName>
    <definedName name="_COM090101">#REF!</definedName>
    <definedName name="_COM100302" localSheetId="1">#REF!</definedName>
    <definedName name="_COM100302">#REF!</definedName>
    <definedName name="_COM110101" localSheetId="1">#REF!</definedName>
    <definedName name="_COM110101">#REF!</definedName>
    <definedName name="_COM110104" localSheetId="1">#REF!</definedName>
    <definedName name="_COM110104">#REF!</definedName>
    <definedName name="_COM110107" localSheetId="1">#REF!</definedName>
    <definedName name="_COM110107">#REF!</definedName>
    <definedName name="_COM120101" localSheetId="1">#REF!</definedName>
    <definedName name="_COM120101">#REF!</definedName>
    <definedName name="_COM120105" localSheetId="1">#REF!</definedName>
    <definedName name="_COM120105">#REF!</definedName>
    <definedName name="_COM120106" localSheetId="1">#REF!</definedName>
    <definedName name="_COM120106">#REF!</definedName>
    <definedName name="_COM120107" localSheetId="1">#REF!</definedName>
    <definedName name="_COM120107">#REF!</definedName>
    <definedName name="_COM120110" localSheetId="1">#REF!</definedName>
    <definedName name="_COM120110">#REF!</definedName>
    <definedName name="_COM120150" localSheetId="1">#REF!</definedName>
    <definedName name="_COM120150">#REF!</definedName>
    <definedName name="_COM130101" localSheetId="1">#REF!</definedName>
    <definedName name="_COM130101">#REF!</definedName>
    <definedName name="_COM130103" localSheetId="1">#REF!</definedName>
    <definedName name="_COM130103">#REF!</definedName>
    <definedName name="_COM130304" localSheetId="1">#REF!</definedName>
    <definedName name="_COM130304">#REF!</definedName>
    <definedName name="_COM130401" localSheetId="1">#REF!</definedName>
    <definedName name="_COM130401">#REF!</definedName>
    <definedName name="_COM140102" localSheetId="1">#REF!</definedName>
    <definedName name="_COM140102">#REF!</definedName>
    <definedName name="_COM140109" localSheetId="1">#REF!</definedName>
    <definedName name="_COM140109">#REF!</definedName>
    <definedName name="_COM140113" localSheetId="1">#REF!</definedName>
    <definedName name="_COM140113">#REF!</definedName>
    <definedName name="_COM140122" localSheetId="1">#REF!</definedName>
    <definedName name="_COM140122">#REF!</definedName>
    <definedName name="_COM140126" localSheetId="1">#REF!</definedName>
    <definedName name="_COM140126">#REF!</definedName>
    <definedName name="_COM140129" localSheetId="1">#REF!</definedName>
    <definedName name="_COM140129">#REF!</definedName>
    <definedName name="_COM140135" localSheetId="1">#REF!</definedName>
    <definedName name="_COM140135">#REF!</definedName>
    <definedName name="_COM140143" localSheetId="1">#REF!</definedName>
    <definedName name="_COM140143">#REF!</definedName>
    <definedName name="_COM140145" localSheetId="1">#REF!</definedName>
    <definedName name="_COM140145">#REF!</definedName>
    <definedName name="_COM150130" localSheetId="1">#REF!</definedName>
    <definedName name="_COM150130">#REF!</definedName>
    <definedName name="_COM170101" localSheetId="1">#REF!</definedName>
    <definedName name="_COM170101">#REF!</definedName>
    <definedName name="_COM170102" localSheetId="1">#REF!</definedName>
    <definedName name="_COM170102">#REF!</definedName>
    <definedName name="_COM170103" localSheetId="1">#REF!</definedName>
    <definedName name="_COM170103">#REF!</definedName>
    <definedName name="_FEV97" localSheetId="1">#REF!</definedName>
    <definedName name="_FEV97">#REF!</definedName>
    <definedName name="_Fill" localSheetId="1" hidden="1">#REF!</definedName>
    <definedName name="_Fill" hidden="1">#REF!</definedName>
    <definedName name="_xlnm._FilterDatabase" localSheetId="2" hidden="1">'Preços de Referência'!$A$3:$C$103</definedName>
    <definedName name="_xlnm._FilterDatabase" localSheetId="3" hidden="1">PRODUTOS!#REF!</definedName>
    <definedName name="_GLB2" localSheetId="1">#REF!</definedName>
    <definedName name="_GLB2">#REF!</definedName>
    <definedName name="_i3" localSheetId="1">#REF!</definedName>
    <definedName name="_i3">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ko1">#REF!</definedName>
    <definedName name="_ko12">#REF!</definedName>
    <definedName name="_ko13">#REF!</definedName>
    <definedName name="_ko14">#REF!</definedName>
    <definedName name="_ko15">#REF!</definedName>
    <definedName name="_ko16">#REF!</definedName>
    <definedName name="_ko18">#REF!</definedName>
    <definedName name="_ko2">#REF!</definedName>
    <definedName name="_ko20">#REF!</definedName>
    <definedName name="_ko23">#REF!</definedName>
    <definedName name="_ko24">#REF!</definedName>
    <definedName name="_ko25">#REF!</definedName>
    <definedName name="_ko27">#REF!</definedName>
    <definedName name="_ko3">#REF!</definedName>
    <definedName name="_ko36">#REF!</definedName>
    <definedName name="_ko37">#REF!</definedName>
    <definedName name="_ko5">#REF!</definedName>
    <definedName name="_MAO010201" localSheetId="1">#REF!</definedName>
    <definedName name="_MAO010201">#REF!</definedName>
    <definedName name="_MAO010202" localSheetId="1">#REF!</definedName>
    <definedName name="_MAO010202">#REF!</definedName>
    <definedName name="_MAO010205" localSheetId="1">#REF!</definedName>
    <definedName name="_MAO010205">#REF!</definedName>
    <definedName name="_MAO010206" localSheetId="1">#REF!</definedName>
    <definedName name="_MAO010206">#REF!</definedName>
    <definedName name="_MAO010210" localSheetId="1">#REF!</definedName>
    <definedName name="_MAO010210">#REF!</definedName>
    <definedName name="_MAO010401" localSheetId="1">#REF!</definedName>
    <definedName name="_MAO010401">#REF!</definedName>
    <definedName name="_MAO010402" localSheetId="1">#REF!</definedName>
    <definedName name="_MAO010402">#REF!</definedName>
    <definedName name="_MAO010407" localSheetId="1">#REF!</definedName>
    <definedName name="_MAO010407">#REF!</definedName>
    <definedName name="_MAO010413" localSheetId="1">#REF!</definedName>
    <definedName name="_MAO010413">#REF!</definedName>
    <definedName name="_MAO010501" localSheetId="1">#REF!</definedName>
    <definedName name="_MAO010501">#REF!</definedName>
    <definedName name="_MAO010503" localSheetId="1">#REF!</definedName>
    <definedName name="_MAO010503">#REF!</definedName>
    <definedName name="_MAO010505" localSheetId="1">#REF!</definedName>
    <definedName name="_MAO010505">#REF!</definedName>
    <definedName name="_MAO010509" localSheetId="1">#REF!</definedName>
    <definedName name="_MAO010509">#REF!</definedName>
    <definedName name="_MAO010512" localSheetId="1">#REF!</definedName>
    <definedName name="_MAO010512">#REF!</definedName>
    <definedName name="_MAO010518" localSheetId="1">#REF!</definedName>
    <definedName name="_MAO010518">#REF!</definedName>
    <definedName name="_MAO010519" localSheetId="1">#REF!</definedName>
    <definedName name="_MAO010519">#REF!</definedName>
    <definedName name="_MAO010521" localSheetId="1">#REF!</definedName>
    <definedName name="_MAO010521">#REF!</definedName>
    <definedName name="_MAO010523" localSheetId="1">#REF!</definedName>
    <definedName name="_MAO010523">#REF!</definedName>
    <definedName name="_MAO010532" localSheetId="1">#REF!</definedName>
    <definedName name="_MAO010532">#REF!</definedName>
    <definedName name="_MAO010533" localSheetId="1">#REF!</definedName>
    <definedName name="_MAO010533">#REF!</definedName>
    <definedName name="_MAO010536" localSheetId="1">#REF!</definedName>
    <definedName name="_MAO010536">#REF!</definedName>
    <definedName name="_MAO010701" localSheetId="1">#REF!</definedName>
    <definedName name="_MAO010701">#REF!</definedName>
    <definedName name="_MAO010703" localSheetId="1">#REF!</definedName>
    <definedName name="_MAO010703">#REF!</definedName>
    <definedName name="_MAO010705" localSheetId="1">#REF!</definedName>
    <definedName name="_MAO010705">#REF!</definedName>
    <definedName name="_MAO010708" localSheetId="1">#REF!</definedName>
    <definedName name="_MAO010708">#REF!</definedName>
    <definedName name="_MAO010710" localSheetId="1">#REF!</definedName>
    <definedName name="_MAO010710">#REF!</definedName>
    <definedName name="_MAO010712" localSheetId="1">#REF!</definedName>
    <definedName name="_MAO010712">#REF!</definedName>
    <definedName name="_MAO010717" localSheetId="1">#REF!</definedName>
    <definedName name="_MAO010717">#REF!</definedName>
    <definedName name="_MAO020201" localSheetId="1">#REF!</definedName>
    <definedName name="_MAO020201">#REF!</definedName>
    <definedName name="_MAO020205" localSheetId="1">#REF!</definedName>
    <definedName name="_MAO020205">#REF!</definedName>
    <definedName name="_MAO020211" localSheetId="1">#REF!</definedName>
    <definedName name="_MAO020211">#REF!</definedName>
    <definedName name="_MAO020217" localSheetId="1">#REF!</definedName>
    <definedName name="_MAO020217">#REF!</definedName>
    <definedName name="_MAO030102" localSheetId="1">#REF!</definedName>
    <definedName name="_MAO030102">#REF!</definedName>
    <definedName name="_MAO030201" localSheetId="1">#REF!</definedName>
    <definedName name="_MAO030201">#REF!</definedName>
    <definedName name="_MAO030303" localSheetId="1">#REF!</definedName>
    <definedName name="_MAO030303">#REF!</definedName>
    <definedName name="_MAO030317" localSheetId="1">#REF!</definedName>
    <definedName name="_MAO030317">#REF!</definedName>
    <definedName name="_MAO040101" localSheetId="1">#REF!</definedName>
    <definedName name="_MAO040101">#REF!</definedName>
    <definedName name="_MAO040202" localSheetId="1">#REF!</definedName>
    <definedName name="_MAO040202">#REF!</definedName>
    <definedName name="_MAO050103" localSheetId="1">#REF!</definedName>
    <definedName name="_MAO050103">#REF!</definedName>
    <definedName name="_MAO050207" localSheetId="1">#REF!</definedName>
    <definedName name="_MAO050207">#REF!</definedName>
    <definedName name="_MAO060101" localSheetId="1">#REF!</definedName>
    <definedName name="_MAO060101">#REF!</definedName>
    <definedName name="_MAO080310" localSheetId="1">#REF!</definedName>
    <definedName name="_MAO080310">#REF!</definedName>
    <definedName name="_MAO090101" localSheetId="1">#REF!</definedName>
    <definedName name="_MAO090101">#REF!</definedName>
    <definedName name="_MAO110101" localSheetId="1">#REF!</definedName>
    <definedName name="_MAO110101">#REF!</definedName>
    <definedName name="_MAO110104" localSheetId="1">#REF!</definedName>
    <definedName name="_MAO110104">#REF!</definedName>
    <definedName name="_MAO110107" localSheetId="1">#REF!</definedName>
    <definedName name="_MAO110107">#REF!</definedName>
    <definedName name="_MAO120101" localSheetId="1">#REF!</definedName>
    <definedName name="_MAO120101">#REF!</definedName>
    <definedName name="_MAO120105" localSheetId="1">#REF!</definedName>
    <definedName name="_MAO120105">#REF!</definedName>
    <definedName name="_MAO120106" localSheetId="1">#REF!</definedName>
    <definedName name="_MAO120106">#REF!</definedName>
    <definedName name="_MAO120107" localSheetId="1">#REF!</definedName>
    <definedName name="_MAO120107">#REF!</definedName>
    <definedName name="_MAO120110" localSheetId="1">#REF!</definedName>
    <definedName name="_MAO120110">#REF!</definedName>
    <definedName name="_MAO120150" localSheetId="1">#REF!</definedName>
    <definedName name="_MAO120150">#REF!</definedName>
    <definedName name="_MAO130101" localSheetId="1">#REF!</definedName>
    <definedName name="_MAO130101">#REF!</definedName>
    <definedName name="_MAO130103" localSheetId="1">#REF!</definedName>
    <definedName name="_MAO130103">#REF!</definedName>
    <definedName name="_MAO130304" localSheetId="1">#REF!</definedName>
    <definedName name="_MAO130304">#REF!</definedName>
    <definedName name="_MAO130401" localSheetId="1">#REF!</definedName>
    <definedName name="_MAO130401">#REF!</definedName>
    <definedName name="_MAO140102" localSheetId="1">#REF!</definedName>
    <definedName name="_MAO140102">#REF!</definedName>
    <definedName name="_MAO140109" localSheetId="1">#REF!</definedName>
    <definedName name="_MAO140109">#REF!</definedName>
    <definedName name="_MAO140113" localSheetId="1">#REF!</definedName>
    <definedName name="_MAO140113">#REF!</definedName>
    <definedName name="_MAO140122" localSheetId="1">#REF!</definedName>
    <definedName name="_MAO140122">#REF!</definedName>
    <definedName name="_MAO140126" localSheetId="1">#REF!</definedName>
    <definedName name="_MAO140126">#REF!</definedName>
    <definedName name="_MAO140129" localSheetId="1">#REF!</definedName>
    <definedName name="_MAO140129">#REF!</definedName>
    <definedName name="_MAO140135" localSheetId="1">#REF!</definedName>
    <definedName name="_MAO140135">#REF!</definedName>
    <definedName name="_MAO140143" localSheetId="1">#REF!</definedName>
    <definedName name="_MAO140143">#REF!</definedName>
    <definedName name="_MAO140145" localSheetId="1">#REF!</definedName>
    <definedName name="_MAO140145">#REF!</definedName>
    <definedName name="_MAT010301" localSheetId="1">#REF!</definedName>
    <definedName name="_MAT010301">#REF!</definedName>
    <definedName name="_MAT010401" localSheetId="1">#REF!</definedName>
    <definedName name="_MAT010401">#REF!</definedName>
    <definedName name="_MAT010402" localSheetId="1">#REF!</definedName>
    <definedName name="_MAT010402">#REF!</definedName>
    <definedName name="_MAT010407" localSheetId="1">#REF!</definedName>
    <definedName name="_MAT010407">#REF!</definedName>
    <definedName name="_MAT010413" localSheetId="1">#REF!</definedName>
    <definedName name="_MAT010413">#REF!</definedName>
    <definedName name="_MAT010536" localSheetId="1">#REF!</definedName>
    <definedName name="_MAT010536">#REF!</definedName>
    <definedName name="_MAT010703" localSheetId="1">#REF!</definedName>
    <definedName name="_MAT010703">#REF!</definedName>
    <definedName name="_MAT010708" localSheetId="1">#REF!</definedName>
    <definedName name="_MAT010708">#REF!</definedName>
    <definedName name="_MAT010710" localSheetId="1">#REF!</definedName>
    <definedName name="_MAT010710">#REF!</definedName>
    <definedName name="_MAT010718" localSheetId="1">#REF!</definedName>
    <definedName name="_MAT010718">#REF!</definedName>
    <definedName name="_MAT020201" localSheetId="1">#REF!</definedName>
    <definedName name="_MAT020201">#REF!</definedName>
    <definedName name="_MAT020205" localSheetId="1">#REF!</definedName>
    <definedName name="_MAT020205">#REF!</definedName>
    <definedName name="_MAT020211" localSheetId="1">#REF!</definedName>
    <definedName name="_MAT020211">#REF!</definedName>
    <definedName name="_MAT030102" localSheetId="1">#REF!</definedName>
    <definedName name="_MAT030102">#REF!</definedName>
    <definedName name="_MAT030201" localSheetId="1">#REF!</definedName>
    <definedName name="_MAT030201">#REF!</definedName>
    <definedName name="_MAT030303" localSheetId="1">#REF!</definedName>
    <definedName name="_MAT030303">#REF!</definedName>
    <definedName name="_MAT030317" localSheetId="1">#REF!</definedName>
    <definedName name="_MAT030317">#REF!</definedName>
    <definedName name="_MAT040101" localSheetId="1">#REF!</definedName>
    <definedName name="_MAT040101">#REF!</definedName>
    <definedName name="_MAT040202" localSheetId="1">#REF!</definedName>
    <definedName name="_MAT040202">#REF!</definedName>
    <definedName name="_MAT050103" localSheetId="1">#REF!</definedName>
    <definedName name="_MAT050103">#REF!</definedName>
    <definedName name="_MAT050207" localSheetId="1">#REF!</definedName>
    <definedName name="_MAT050207">#REF!</definedName>
    <definedName name="_MAT060101" localSheetId="1">#REF!</definedName>
    <definedName name="_MAT060101">#REF!</definedName>
    <definedName name="_MAT080101" localSheetId="1">#REF!</definedName>
    <definedName name="_MAT080101">#REF!</definedName>
    <definedName name="_MAT080310" localSheetId="1">#REF!</definedName>
    <definedName name="_MAT080310">#REF!</definedName>
    <definedName name="_MAT090101" localSheetId="1">#REF!</definedName>
    <definedName name="_MAT090101">#REF!</definedName>
    <definedName name="_MAT100302" localSheetId="1">#REF!</definedName>
    <definedName name="_MAT100302">#REF!</definedName>
    <definedName name="_MAT110101" localSheetId="1">#REF!</definedName>
    <definedName name="_MAT110101">#REF!</definedName>
    <definedName name="_MAT110104" localSheetId="1">#REF!</definedName>
    <definedName name="_MAT110104">#REF!</definedName>
    <definedName name="_MAT110107" localSheetId="1">#REF!</definedName>
    <definedName name="_MAT110107">#REF!</definedName>
    <definedName name="_MAT120101" localSheetId="1">#REF!</definedName>
    <definedName name="_MAT120101">#REF!</definedName>
    <definedName name="_MAT120105" localSheetId="1">#REF!</definedName>
    <definedName name="_MAT120105">#REF!</definedName>
    <definedName name="_MAT120106" localSheetId="1">#REF!</definedName>
    <definedName name="_MAT120106">#REF!</definedName>
    <definedName name="_MAT120107" localSheetId="1">#REF!</definedName>
    <definedName name="_MAT120107">#REF!</definedName>
    <definedName name="_MAT120110" localSheetId="1">#REF!</definedName>
    <definedName name="_MAT120110">#REF!</definedName>
    <definedName name="_MAT120150" localSheetId="1">#REF!</definedName>
    <definedName name="_MAT120150">#REF!</definedName>
    <definedName name="_MAT130101" localSheetId="1">#REF!</definedName>
    <definedName name="_MAT130101">#REF!</definedName>
    <definedName name="_MAT130103" localSheetId="1">#REF!</definedName>
    <definedName name="_MAT130103">#REF!</definedName>
    <definedName name="_MAT130304" localSheetId="1">#REF!</definedName>
    <definedName name="_MAT130304">#REF!</definedName>
    <definedName name="_MAT130401" localSheetId="1">#REF!</definedName>
    <definedName name="_MAT130401">#REF!</definedName>
    <definedName name="_MAT140102" localSheetId="1">#REF!</definedName>
    <definedName name="_MAT140102">#REF!</definedName>
    <definedName name="_MAT140109" localSheetId="1">#REF!</definedName>
    <definedName name="_MAT140109">#REF!</definedName>
    <definedName name="_MAT140113" localSheetId="1">#REF!</definedName>
    <definedName name="_MAT140113">#REF!</definedName>
    <definedName name="_MAT140122" localSheetId="1">#REF!</definedName>
    <definedName name="_MAT140122">#REF!</definedName>
    <definedName name="_MAT140126" localSheetId="1">#REF!</definedName>
    <definedName name="_MAT140126">#REF!</definedName>
    <definedName name="_MAT140129" localSheetId="1">#REF!</definedName>
    <definedName name="_MAT140129">#REF!</definedName>
    <definedName name="_MAT140135" localSheetId="1">#REF!</definedName>
    <definedName name="_MAT140135">#REF!</definedName>
    <definedName name="_MAT140143" localSheetId="1">#REF!</definedName>
    <definedName name="_MAT140143">#REF!</definedName>
    <definedName name="_MAT140145" localSheetId="1">#REF!</definedName>
    <definedName name="_MAT140145">#REF!</definedName>
    <definedName name="_MAT150130" localSheetId="1">#REF!</definedName>
    <definedName name="_MAT150130">#REF!</definedName>
    <definedName name="_MAT170101" localSheetId="1">#REF!</definedName>
    <definedName name="_MAT170101">#REF!</definedName>
    <definedName name="_MAT170102" localSheetId="1">#REF!</definedName>
    <definedName name="_MAT170102">#REF!</definedName>
    <definedName name="_MAT170103" localSheetId="1">#REF!</definedName>
    <definedName name="_MAT170103">#REF!</definedName>
    <definedName name="_Order1" hidden="1">255</definedName>
    <definedName name="_Order2" hidden="1">255</definedName>
    <definedName name="_PRE010201" localSheetId="1">#REF!</definedName>
    <definedName name="_PRE010201">#REF!</definedName>
    <definedName name="_PRE010202" localSheetId="1">#REF!</definedName>
    <definedName name="_PRE010202">#REF!</definedName>
    <definedName name="_PRE010205" localSheetId="1">#REF!</definedName>
    <definedName name="_PRE010205">#REF!</definedName>
    <definedName name="_PRE010206" localSheetId="1">#REF!</definedName>
    <definedName name="_PRE010206">#REF!</definedName>
    <definedName name="_PRE010210" localSheetId="1">#REF!</definedName>
    <definedName name="_PRE010210">#REF!</definedName>
    <definedName name="_PRE010301" localSheetId="1">#REF!</definedName>
    <definedName name="_PRE010301">#REF!</definedName>
    <definedName name="_PRE010401" localSheetId="1">#REF!</definedName>
    <definedName name="_PRE010401">#REF!</definedName>
    <definedName name="_PRE010402" localSheetId="1">#REF!</definedName>
    <definedName name="_PRE010402">#REF!</definedName>
    <definedName name="_PRE010407" localSheetId="1">#REF!</definedName>
    <definedName name="_PRE010407">#REF!</definedName>
    <definedName name="_PRE010413" localSheetId="1">#REF!</definedName>
    <definedName name="_PRE010413">#REF!</definedName>
    <definedName name="_PRE010501" localSheetId="1">#REF!</definedName>
    <definedName name="_PRE010501">#REF!</definedName>
    <definedName name="_PRE010503" localSheetId="1">#REF!</definedName>
    <definedName name="_PRE010503">#REF!</definedName>
    <definedName name="_PRE010505" localSheetId="1">#REF!</definedName>
    <definedName name="_PRE010505">#REF!</definedName>
    <definedName name="_PRE010509" localSheetId="1">#REF!</definedName>
    <definedName name="_PRE010509">#REF!</definedName>
    <definedName name="_PRE010512" localSheetId="1">#REF!</definedName>
    <definedName name="_PRE010512">#REF!</definedName>
    <definedName name="_PRE010518" localSheetId="1">#REF!</definedName>
    <definedName name="_PRE010518">#REF!</definedName>
    <definedName name="_PRE010519" localSheetId="1">#REF!</definedName>
    <definedName name="_PRE010519">#REF!</definedName>
    <definedName name="_PRE010521" localSheetId="1">#REF!</definedName>
    <definedName name="_PRE010521">#REF!</definedName>
    <definedName name="_PRE010523" localSheetId="1">#REF!</definedName>
    <definedName name="_PRE010523">#REF!</definedName>
    <definedName name="_PRE010532" localSheetId="1">#REF!</definedName>
    <definedName name="_PRE010532">#REF!</definedName>
    <definedName name="_PRE010533" localSheetId="1">#REF!</definedName>
    <definedName name="_PRE010533">#REF!</definedName>
    <definedName name="_PRE010536" localSheetId="1">#REF!</definedName>
    <definedName name="_PRE010536">#REF!</definedName>
    <definedName name="_PRE010701" localSheetId="1">#REF!</definedName>
    <definedName name="_PRE010701">#REF!</definedName>
    <definedName name="_PRE010703" localSheetId="1">#REF!</definedName>
    <definedName name="_PRE010703">#REF!</definedName>
    <definedName name="_PRE010705" localSheetId="1">#REF!</definedName>
    <definedName name="_PRE010705">#REF!</definedName>
    <definedName name="_PRE010708" localSheetId="1">#REF!</definedName>
    <definedName name="_PRE010708">#REF!</definedName>
    <definedName name="_PRE010710" localSheetId="1">#REF!</definedName>
    <definedName name="_PRE010710">#REF!</definedName>
    <definedName name="_PRE010712" localSheetId="1">#REF!</definedName>
    <definedName name="_PRE010712">#REF!</definedName>
    <definedName name="_PRE010717" localSheetId="1">#REF!</definedName>
    <definedName name="_PRE010717">#REF!</definedName>
    <definedName name="_PRE010718" localSheetId="1">#REF!</definedName>
    <definedName name="_PRE010718">#REF!</definedName>
    <definedName name="_PRE020201" localSheetId="1">#REF!</definedName>
    <definedName name="_PRE020201">#REF!</definedName>
    <definedName name="_PRE020205" localSheetId="1">#REF!</definedName>
    <definedName name="_PRE020205">#REF!</definedName>
    <definedName name="_PRE020211" localSheetId="1">#REF!</definedName>
    <definedName name="_PRE020211">#REF!</definedName>
    <definedName name="_PRE020217" localSheetId="1">#REF!</definedName>
    <definedName name="_PRE020217">#REF!</definedName>
    <definedName name="_PRE030102" localSheetId="1">#REF!</definedName>
    <definedName name="_PRE030102">#REF!</definedName>
    <definedName name="_PRE030201" localSheetId="1">#REF!</definedName>
    <definedName name="_PRE030201">#REF!</definedName>
    <definedName name="_PRE030303" localSheetId="1">#REF!</definedName>
    <definedName name="_PRE030303">#REF!</definedName>
    <definedName name="_PRE030317" localSheetId="1">#REF!</definedName>
    <definedName name="_PRE030317">#REF!</definedName>
    <definedName name="_PRE040101" localSheetId="1">#REF!</definedName>
    <definedName name="_PRE040101">#REF!</definedName>
    <definedName name="_PRE040202" localSheetId="1">#REF!</definedName>
    <definedName name="_PRE040202">#REF!</definedName>
    <definedName name="_PRE050103" localSheetId="1">#REF!</definedName>
    <definedName name="_PRE050103">#REF!</definedName>
    <definedName name="_PRE050207" localSheetId="1">#REF!</definedName>
    <definedName name="_PRE050207">#REF!</definedName>
    <definedName name="_PRE060101" localSheetId="1">#REF!</definedName>
    <definedName name="_PRE060101">#REF!</definedName>
    <definedName name="_PRE080101" localSheetId="1">#REF!</definedName>
    <definedName name="_PRE080101">#REF!</definedName>
    <definedName name="_PRE080310" localSheetId="1">#REF!</definedName>
    <definedName name="_PRE080310">#REF!</definedName>
    <definedName name="_PRE090101" localSheetId="1">#REF!</definedName>
    <definedName name="_PRE090101">#REF!</definedName>
    <definedName name="_PRE100302" localSheetId="1">#REF!</definedName>
    <definedName name="_PRE100302">#REF!</definedName>
    <definedName name="_PRE110101" localSheetId="1">#REF!</definedName>
    <definedName name="_PRE110101">#REF!</definedName>
    <definedName name="_PRE110104" localSheetId="1">#REF!</definedName>
    <definedName name="_PRE110104">#REF!</definedName>
    <definedName name="_PRE110107" localSheetId="1">#REF!</definedName>
    <definedName name="_PRE110107">#REF!</definedName>
    <definedName name="_PRE120101" localSheetId="1">#REF!</definedName>
    <definedName name="_PRE120101">#REF!</definedName>
    <definedName name="_PRE120105" localSheetId="1">#REF!</definedName>
    <definedName name="_PRE120105">#REF!</definedName>
    <definedName name="_PRE120106" localSheetId="1">#REF!</definedName>
    <definedName name="_PRE120106">#REF!</definedName>
    <definedName name="_PRE120107" localSheetId="1">#REF!</definedName>
    <definedName name="_PRE120107">#REF!</definedName>
    <definedName name="_PRE120110" localSheetId="1">#REF!</definedName>
    <definedName name="_PRE120110">#REF!</definedName>
    <definedName name="_PRE120150" localSheetId="1">#REF!</definedName>
    <definedName name="_PRE120150">#REF!</definedName>
    <definedName name="_PRE130101" localSheetId="1">#REF!</definedName>
    <definedName name="_PRE130101">#REF!</definedName>
    <definedName name="_PRE130103" localSheetId="1">#REF!</definedName>
    <definedName name="_PRE130103">#REF!</definedName>
    <definedName name="_PRE130304" localSheetId="1">#REF!</definedName>
    <definedName name="_PRE130304">#REF!</definedName>
    <definedName name="_PRE130401" localSheetId="1">#REF!</definedName>
    <definedName name="_PRE130401">#REF!</definedName>
    <definedName name="_PRE140102" localSheetId="1">#REF!</definedName>
    <definedName name="_PRE140102">#REF!</definedName>
    <definedName name="_PRE140109" localSheetId="1">#REF!</definedName>
    <definedName name="_PRE140109">#REF!</definedName>
    <definedName name="_PRE140113" localSheetId="1">#REF!</definedName>
    <definedName name="_PRE140113">#REF!</definedName>
    <definedName name="_PRE140122" localSheetId="1">#REF!</definedName>
    <definedName name="_PRE140122">#REF!</definedName>
    <definedName name="_PRE140126" localSheetId="1">#REF!</definedName>
    <definedName name="_PRE140126">#REF!</definedName>
    <definedName name="_PRE140129" localSheetId="1">#REF!</definedName>
    <definedName name="_PRE140129">#REF!</definedName>
    <definedName name="_PRE140135" localSheetId="1">#REF!</definedName>
    <definedName name="_PRE140135">#REF!</definedName>
    <definedName name="_PRE140143" localSheetId="1">#REF!</definedName>
    <definedName name="_PRE140143">#REF!</definedName>
    <definedName name="_PRE140145" localSheetId="1">#REF!</definedName>
    <definedName name="_PRE140145">#REF!</definedName>
    <definedName name="_PRE150130" localSheetId="1">#REF!</definedName>
    <definedName name="_PRE150130">#REF!</definedName>
    <definedName name="_PRE170101" localSheetId="1">#REF!</definedName>
    <definedName name="_PRE170101">#REF!</definedName>
    <definedName name="_PRE170102" localSheetId="1">#REF!</definedName>
    <definedName name="_PRE170102">#REF!</definedName>
    <definedName name="_PRE170103" localSheetId="1">#REF!</definedName>
    <definedName name="_PRE170103">#REF!</definedName>
    <definedName name="_QUA010201" localSheetId="1">#REF!</definedName>
    <definedName name="_QUA010201">#REF!</definedName>
    <definedName name="_QUA010202" localSheetId="1">#REF!</definedName>
    <definedName name="_QUA010202">#REF!</definedName>
    <definedName name="_QUA010205" localSheetId="1">#REF!</definedName>
    <definedName name="_QUA010205">#REF!</definedName>
    <definedName name="_QUA010206" localSheetId="1">#REF!</definedName>
    <definedName name="_QUA010206">#REF!</definedName>
    <definedName name="_QUA010210" localSheetId="1">#REF!</definedName>
    <definedName name="_QUA010210">#REF!</definedName>
    <definedName name="_QUA010301" localSheetId="1">#REF!</definedName>
    <definedName name="_QUA010301">#REF!</definedName>
    <definedName name="_QUA010401" localSheetId="1">#REF!</definedName>
    <definedName name="_QUA010401">#REF!</definedName>
    <definedName name="_QUA010402" localSheetId="1">#REF!</definedName>
    <definedName name="_QUA010402">#REF!</definedName>
    <definedName name="_QUA010407" localSheetId="1">#REF!</definedName>
    <definedName name="_QUA010407">#REF!</definedName>
    <definedName name="_QUA010413" localSheetId="1">#REF!</definedName>
    <definedName name="_QUA010413">#REF!</definedName>
    <definedName name="_QUA010501" localSheetId="1">#REF!</definedName>
    <definedName name="_QUA010501">#REF!</definedName>
    <definedName name="_QUA010503" localSheetId="1">#REF!</definedName>
    <definedName name="_QUA010503">#REF!</definedName>
    <definedName name="_QUA010505" localSheetId="1">#REF!</definedName>
    <definedName name="_QUA010505">#REF!</definedName>
    <definedName name="_QUA010509" localSheetId="1">#REF!</definedName>
    <definedName name="_QUA010509">#REF!</definedName>
    <definedName name="_QUA010512" localSheetId="1">#REF!</definedName>
    <definedName name="_QUA010512">#REF!</definedName>
    <definedName name="_QUA010518" localSheetId="1">#REF!</definedName>
    <definedName name="_QUA010518">#REF!</definedName>
    <definedName name="_QUA010519" localSheetId="1">#REF!</definedName>
    <definedName name="_QUA010519">#REF!</definedName>
    <definedName name="_QUA010521" localSheetId="1">#REF!</definedName>
    <definedName name="_QUA010521">#REF!</definedName>
    <definedName name="_QUA010523" localSheetId="1">#REF!</definedName>
    <definedName name="_QUA010523">#REF!</definedName>
    <definedName name="_QUA010532" localSheetId="1">#REF!</definedName>
    <definedName name="_QUA010532">#REF!</definedName>
    <definedName name="_QUA010533" localSheetId="1">#REF!</definedName>
    <definedName name="_QUA010533">#REF!</definedName>
    <definedName name="_QUA010536" localSheetId="1">#REF!</definedName>
    <definedName name="_QUA010536">#REF!</definedName>
    <definedName name="_QUA010701" localSheetId="1">#REF!</definedName>
    <definedName name="_QUA010701">#REF!</definedName>
    <definedName name="_QUA010703" localSheetId="1">#REF!</definedName>
    <definedName name="_QUA010703">#REF!</definedName>
    <definedName name="_QUA010705" localSheetId="1">#REF!</definedName>
    <definedName name="_QUA010705">#REF!</definedName>
    <definedName name="_QUA010708" localSheetId="1">#REF!</definedName>
    <definedName name="_QUA010708">#REF!</definedName>
    <definedName name="_QUA010710" localSheetId="1">#REF!</definedName>
    <definedName name="_QUA010710">#REF!</definedName>
    <definedName name="_QUA010712" localSheetId="1">#REF!</definedName>
    <definedName name="_QUA010712">#REF!</definedName>
    <definedName name="_QUA010717" localSheetId="1">#REF!</definedName>
    <definedName name="_QUA010717">#REF!</definedName>
    <definedName name="_QUA010718" localSheetId="1">#REF!</definedName>
    <definedName name="_QUA010718">#REF!</definedName>
    <definedName name="_QUA020201" localSheetId="1">#REF!</definedName>
    <definedName name="_QUA020201">#REF!</definedName>
    <definedName name="_QUA020205" localSheetId="1">#REF!</definedName>
    <definedName name="_QUA020205">#REF!</definedName>
    <definedName name="_QUA020211" localSheetId="1">#REF!</definedName>
    <definedName name="_QUA020211">#REF!</definedName>
    <definedName name="_QUA020217" localSheetId="1">#REF!</definedName>
    <definedName name="_QUA020217">#REF!</definedName>
    <definedName name="_QUA030102" localSheetId="1">#REF!</definedName>
    <definedName name="_QUA030102">#REF!</definedName>
    <definedName name="_QUA030201" localSheetId="1">#REF!</definedName>
    <definedName name="_QUA030201">#REF!</definedName>
    <definedName name="_QUA030303" localSheetId="1">#REF!</definedName>
    <definedName name="_QUA030303">#REF!</definedName>
    <definedName name="_QUA030317" localSheetId="1">#REF!</definedName>
    <definedName name="_QUA030317">#REF!</definedName>
    <definedName name="_QUA040101" localSheetId="1">#REF!</definedName>
    <definedName name="_QUA040101">#REF!</definedName>
    <definedName name="_QUA040202" localSheetId="1">#REF!</definedName>
    <definedName name="_QUA040202">#REF!</definedName>
    <definedName name="_QUA050103" localSheetId="1">#REF!</definedName>
    <definedName name="_QUA050103">#REF!</definedName>
    <definedName name="_QUA050207" localSheetId="1">#REF!</definedName>
    <definedName name="_QUA050207">#REF!</definedName>
    <definedName name="_QUA060101" localSheetId="1">#REF!</definedName>
    <definedName name="_QUA060101">#REF!</definedName>
    <definedName name="_QUA080101" localSheetId="1">#REF!</definedName>
    <definedName name="_QUA080101">#REF!</definedName>
    <definedName name="_QUA080310" localSheetId="1">#REF!</definedName>
    <definedName name="_QUA080310">#REF!</definedName>
    <definedName name="_QUA090101" localSheetId="1">#REF!</definedName>
    <definedName name="_QUA090101">#REF!</definedName>
    <definedName name="_QUA100302" localSheetId="1">#REF!</definedName>
    <definedName name="_QUA100302">#REF!</definedName>
    <definedName name="_QUA110101" localSheetId="1">#REF!</definedName>
    <definedName name="_QUA110101">#REF!</definedName>
    <definedName name="_QUA110104" localSheetId="1">#REF!</definedName>
    <definedName name="_QUA110104">#REF!</definedName>
    <definedName name="_QUA110107" localSheetId="1">#REF!</definedName>
    <definedName name="_QUA110107">#REF!</definedName>
    <definedName name="_QUA120101" localSheetId="1">#REF!</definedName>
    <definedName name="_QUA120101">#REF!</definedName>
    <definedName name="_QUA120105" localSheetId="1">#REF!</definedName>
    <definedName name="_QUA120105">#REF!</definedName>
    <definedName name="_QUA120106" localSheetId="1">#REF!</definedName>
    <definedName name="_QUA120106">#REF!</definedName>
    <definedName name="_QUA120107" localSheetId="1">#REF!</definedName>
    <definedName name="_QUA120107">#REF!</definedName>
    <definedName name="_QUA120110" localSheetId="1">#REF!</definedName>
    <definedName name="_QUA120110">#REF!</definedName>
    <definedName name="_QUA120150" localSheetId="1">#REF!</definedName>
    <definedName name="_QUA120150">#REF!</definedName>
    <definedName name="_QUA130101" localSheetId="1">#REF!</definedName>
    <definedName name="_QUA130101">#REF!</definedName>
    <definedName name="_QUA130103" localSheetId="1">#REF!</definedName>
    <definedName name="_QUA130103">#REF!</definedName>
    <definedName name="_QUA130304" localSheetId="1">#REF!</definedName>
    <definedName name="_QUA130304">#REF!</definedName>
    <definedName name="_QUA130401" localSheetId="1">#REF!</definedName>
    <definedName name="_QUA130401">#REF!</definedName>
    <definedName name="_QUA140102" localSheetId="1">#REF!</definedName>
    <definedName name="_QUA140102">#REF!</definedName>
    <definedName name="_QUA140109" localSheetId="1">#REF!</definedName>
    <definedName name="_QUA140109">#REF!</definedName>
    <definedName name="_QUA140113" localSheetId="1">#REF!</definedName>
    <definedName name="_QUA140113">#REF!</definedName>
    <definedName name="_QUA140122" localSheetId="1">#REF!</definedName>
    <definedName name="_QUA140122">#REF!</definedName>
    <definedName name="_QUA140126" localSheetId="1">#REF!</definedName>
    <definedName name="_QUA140126">#REF!</definedName>
    <definedName name="_QUA140129" localSheetId="1">#REF!</definedName>
    <definedName name="_QUA140129">#REF!</definedName>
    <definedName name="_QUA140135" localSheetId="1">#REF!</definedName>
    <definedName name="_QUA140135">#REF!</definedName>
    <definedName name="_QUA140143" localSheetId="1">#REF!</definedName>
    <definedName name="_QUA140143">#REF!</definedName>
    <definedName name="_QUA140145" localSheetId="1">#REF!</definedName>
    <definedName name="_QUA140145">#REF!</definedName>
    <definedName name="_QUA150130" localSheetId="1">#REF!</definedName>
    <definedName name="_QUA150130">#REF!</definedName>
    <definedName name="_QUA170101" localSheetId="1">#REF!</definedName>
    <definedName name="_QUA170101">#REF!</definedName>
    <definedName name="_QUA170102" localSheetId="1">#REF!</definedName>
    <definedName name="_QUA170102">#REF!</definedName>
    <definedName name="_QUA170103" localSheetId="1">#REF!</definedName>
    <definedName name="_QUA170103">#REF!</definedName>
    <definedName name="_R" localSheetId="1">#REF!</definedName>
    <definedName name="_R">#REF!</definedName>
    <definedName name="_REC11100" localSheetId="1">#REF!</definedName>
    <definedName name="_REC11100">#REF!</definedName>
    <definedName name="_REC11110" localSheetId="1">#REF!</definedName>
    <definedName name="_REC11110">#REF!</definedName>
    <definedName name="_REC11115" localSheetId="1">#REF!</definedName>
    <definedName name="_REC11115">#REF!</definedName>
    <definedName name="_REC11125" localSheetId="1">#REF!</definedName>
    <definedName name="_REC11125">#REF!</definedName>
    <definedName name="_REC11130" localSheetId="1">#REF!</definedName>
    <definedName name="_REC11130">#REF!</definedName>
    <definedName name="_REC11135" localSheetId="1">#REF!</definedName>
    <definedName name="_REC11135">#REF!</definedName>
    <definedName name="_REC11145" localSheetId="1">#REF!</definedName>
    <definedName name="_REC11145">#REF!</definedName>
    <definedName name="_REC11150" localSheetId="1">#REF!</definedName>
    <definedName name="_REC11150">#REF!</definedName>
    <definedName name="_REC11165" localSheetId="1">#REF!</definedName>
    <definedName name="_REC11165">#REF!</definedName>
    <definedName name="_REC11170" localSheetId="1">#REF!</definedName>
    <definedName name="_REC11170">#REF!</definedName>
    <definedName name="_REC11180" localSheetId="1">#REF!</definedName>
    <definedName name="_REC11180">#REF!</definedName>
    <definedName name="_REC11185" localSheetId="1">#REF!</definedName>
    <definedName name="_REC11185">#REF!</definedName>
    <definedName name="_REC11220" localSheetId="1">#REF!</definedName>
    <definedName name="_REC11220">#REF!</definedName>
    <definedName name="_REC12105" localSheetId="1">#REF!</definedName>
    <definedName name="_REC12105">#REF!</definedName>
    <definedName name="_REC12555" localSheetId="1">#REF!</definedName>
    <definedName name="_REC12555">#REF!</definedName>
    <definedName name="_REC12570" localSheetId="1">#REF!</definedName>
    <definedName name="_REC12570">#REF!</definedName>
    <definedName name="_REC12575" localSheetId="1">#REF!</definedName>
    <definedName name="_REC12575">#REF!</definedName>
    <definedName name="_REC12580" localSheetId="1">#REF!</definedName>
    <definedName name="_REC12580">#REF!</definedName>
    <definedName name="_REC12600" localSheetId="1">#REF!</definedName>
    <definedName name="_REC12600">#REF!</definedName>
    <definedName name="_REC12610" localSheetId="1">#REF!</definedName>
    <definedName name="_REC12610">#REF!</definedName>
    <definedName name="_REC12630" localSheetId="1">#REF!</definedName>
    <definedName name="_REC12630">#REF!</definedName>
    <definedName name="_REC12631" localSheetId="1">#REF!</definedName>
    <definedName name="_REC12631">#REF!</definedName>
    <definedName name="_REC12640" localSheetId="1">#REF!</definedName>
    <definedName name="_REC12640">#REF!</definedName>
    <definedName name="_REC12645" localSheetId="1">#REF!</definedName>
    <definedName name="_REC12645">#REF!</definedName>
    <definedName name="_REC12665" localSheetId="1">#REF!</definedName>
    <definedName name="_REC12665">#REF!</definedName>
    <definedName name="_REC12690" localSheetId="1">#REF!</definedName>
    <definedName name="_REC12690">#REF!</definedName>
    <definedName name="_REC12700" localSheetId="1">#REF!</definedName>
    <definedName name="_REC12700">#REF!</definedName>
    <definedName name="_REC12710" localSheetId="1">#REF!</definedName>
    <definedName name="_REC12710">#REF!</definedName>
    <definedName name="_REC13111" localSheetId="1">#REF!</definedName>
    <definedName name="_REC13111">#REF!</definedName>
    <definedName name="_REC13112" localSheetId="1">#REF!</definedName>
    <definedName name="_REC13112">#REF!</definedName>
    <definedName name="_REC13121" localSheetId="1">#REF!</definedName>
    <definedName name="_REC13121">#REF!</definedName>
    <definedName name="_REC13720" localSheetId="1">#REF!</definedName>
    <definedName name="_REC13720">#REF!</definedName>
    <definedName name="_REC14100" localSheetId="1">#REF!</definedName>
    <definedName name="_REC14100">#REF!</definedName>
    <definedName name="_REC14161" localSheetId="1">#REF!</definedName>
    <definedName name="_REC14161">#REF!</definedName>
    <definedName name="_REC14195" localSheetId="1">#REF!</definedName>
    <definedName name="_REC14195">#REF!</definedName>
    <definedName name="_REC14205" localSheetId="1">#REF!</definedName>
    <definedName name="_REC14205">#REF!</definedName>
    <definedName name="_REC14260" localSheetId="1">#REF!</definedName>
    <definedName name="_REC14260">#REF!</definedName>
    <definedName name="_REC14500" localSheetId="1">#REF!</definedName>
    <definedName name="_REC14500">#REF!</definedName>
    <definedName name="_REC14515" localSheetId="1">#REF!</definedName>
    <definedName name="_REC14515">#REF!</definedName>
    <definedName name="_REC14555" localSheetId="1">#REF!</definedName>
    <definedName name="_REC14555">#REF!</definedName>
    <definedName name="_REC14565" localSheetId="1">#REF!</definedName>
    <definedName name="_REC14565">#REF!</definedName>
    <definedName name="_REC15135" localSheetId="1">#REF!</definedName>
    <definedName name="_REC15135">#REF!</definedName>
    <definedName name="_REC15140" localSheetId="1">#REF!</definedName>
    <definedName name="_REC15140">#REF!</definedName>
    <definedName name="_REC15195" localSheetId="1">#REF!</definedName>
    <definedName name="_REC15195">#REF!</definedName>
    <definedName name="_REC15225" localSheetId="1">#REF!</definedName>
    <definedName name="_REC15225">#REF!</definedName>
    <definedName name="_REC15230" localSheetId="1">#REF!</definedName>
    <definedName name="_REC15230">#REF!</definedName>
    <definedName name="_REC15515" localSheetId="1">#REF!</definedName>
    <definedName name="_REC15515">#REF!</definedName>
    <definedName name="_REC15560" localSheetId="1">#REF!</definedName>
    <definedName name="_REC15560">#REF!</definedName>
    <definedName name="_REC15565" localSheetId="1">#REF!</definedName>
    <definedName name="_REC15565">#REF!</definedName>
    <definedName name="_REC15570" localSheetId="1">#REF!</definedName>
    <definedName name="_REC15570">#REF!</definedName>
    <definedName name="_REC15575" localSheetId="1">#REF!</definedName>
    <definedName name="_REC15575">#REF!</definedName>
    <definedName name="_REC15583" localSheetId="1">#REF!</definedName>
    <definedName name="_REC15583">#REF!</definedName>
    <definedName name="_REC15590" localSheetId="1">#REF!</definedName>
    <definedName name="_REC15590">#REF!</definedName>
    <definedName name="_REC15591" localSheetId="1">#REF!</definedName>
    <definedName name="_REC15591">#REF!</definedName>
    <definedName name="_REC15610" localSheetId="1">#REF!</definedName>
    <definedName name="_REC15610">#REF!</definedName>
    <definedName name="_REC15625" localSheetId="1">#REF!</definedName>
    <definedName name="_REC15625">#REF!</definedName>
    <definedName name="_REC15635" localSheetId="1">#REF!</definedName>
    <definedName name="_REC15635">#REF!</definedName>
    <definedName name="_REC15655" localSheetId="1">#REF!</definedName>
    <definedName name="_REC15655">#REF!</definedName>
    <definedName name="_REC15665" localSheetId="1">#REF!</definedName>
    <definedName name="_REC15665">#REF!</definedName>
    <definedName name="_REC16515" localSheetId="1">#REF!</definedName>
    <definedName name="_REC16515">#REF!</definedName>
    <definedName name="_REC16535" localSheetId="1">#REF!</definedName>
    <definedName name="_REC16535">#REF!</definedName>
    <definedName name="_REC17140" localSheetId="1">#REF!</definedName>
    <definedName name="_REC17140">#REF!</definedName>
    <definedName name="_REC19500" localSheetId="1">#REF!</definedName>
    <definedName name="_REC19500">#REF!</definedName>
    <definedName name="_REC19501" localSheetId="1">#REF!</definedName>
    <definedName name="_REC19501">#REF!</definedName>
    <definedName name="_REC19502" localSheetId="1">#REF!</definedName>
    <definedName name="_REC19502">#REF!</definedName>
    <definedName name="_REC19503" localSheetId="1">#REF!</definedName>
    <definedName name="_REC19503">#REF!</definedName>
    <definedName name="_REC19504" localSheetId="1">#REF!</definedName>
    <definedName name="_REC19504">#REF!</definedName>
    <definedName name="_REC19505" localSheetId="1">#REF!</definedName>
    <definedName name="_REC19505">#REF!</definedName>
    <definedName name="_REC20100" localSheetId="1">#REF!</definedName>
    <definedName name="_REC20100">#REF!</definedName>
    <definedName name="_REC20105" localSheetId="1">#REF!</definedName>
    <definedName name="_REC20105">#REF!</definedName>
    <definedName name="_REC20110" localSheetId="1">#REF!</definedName>
    <definedName name="_REC20110">#REF!</definedName>
    <definedName name="_REC20115" localSheetId="1">#REF!</definedName>
    <definedName name="_REC20115">#REF!</definedName>
    <definedName name="_REC20130" localSheetId="1">#REF!</definedName>
    <definedName name="_REC20130">#REF!</definedName>
    <definedName name="_REC20135" localSheetId="1">#REF!</definedName>
    <definedName name="_REC20135">#REF!</definedName>
    <definedName name="_REC20140" localSheetId="1">#REF!</definedName>
    <definedName name="_REC20140">#REF!</definedName>
    <definedName name="_REC20145" localSheetId="1">#REF!</definedName>
    <definedName name="_REC20145">#REF!</definedName>
    <definedName name="_REC20150" localSheetId="1">#REF!</definedName>
    <definedName name="_REC20150">#REF!</definedName>
    <definedName name="_REC20155" localSheetId="1">#REF!</definedName>
    <definedName name="_REC20155">#REF!</definedName>
    <definedName name="_REC20175" localSheetId="1">#REF!</definedName>
    <definedName name="_REC20175">#REF!</definedName>
    <definedName name="_REC20185" localSheetId="1">#REF!</definedName>
    <definedName name="_REC20185">#REF!</definedName>
    <definedName name="_REC20190" localSheetId="1">#REF!</definedName>
    <definedName name="_REC20190">#REF!</definedName>
    <definedName name="_REC20195" localSheetId="1">#REF!</definedName>
    <definedName name="_REC20195">#REF!</definedName>
    <definedName name="_REC20210" localSheetId="1">#REF!</definedName>
    <definedName name="_REC20210">#REF!</definedName>
    <definedName name="_RET1">#REF!</definedName>
    <definedName name="_sjp4" localSheetId="1">#REF!</definedName>
    <definedName name="_sjp4">#REF!</definedName>
    <definedName name="_svi2" localSheetId="1">#REF!</definedName>
    <definedName name="_svi2">#REF!</definedName>
    <definedName name="_tab0198" localSheetId="1">#REF!</definedName>
    <definedName name="_tab0198">#REF!</definedName>
    <definedName name="_tab0599" localSheetId="1">#REF!</definedName>
    <definedName name="_tab0599">#REF!</definedName>
    <definedName name="_tab092003" localSheetId="1">#REF!</definedName>
    <definedName name="_tab092003">#REF!</definedName>
    <definedName name="_tsd4">#REF!</definedName>
    <definedName name="_TT1" localSheetId="1">#REF!</definedName>
    <definedName name="_TT1">#REF!</definedName>
    <definedName name="_TT102" localSheetId="1">#REF!</definedName>
    <definedName name="_TT102">#REF!</definedName>
    <definedName name="_TT107" localSheetId="1">#REF!</definedName>
    <definedName name="_TT107">#REF!</definedName>
    <definedName name="_TT121" localSheetId="1">#REF!</definedName>
    <definedName name="_TT121">#REF!</definedName>
    <definedName name="_TT123" localSheetId="1">#REF!</definedName>
    <definedName name="_TT123">#REF!</definedName>
    <definedName name="_TT19" localSheetId="1">#REF!</definedName>
    <definedName name="_TT19">#REF!</definedName>
    <definedName name="_TT2" localSheetId="1">#REF!</definedName>
    <definedName name="_TT2">#REF!</definedName>
    <definedName name="_TT20" localSheetId="1">#REF!</definedName>
    <definedName name="_TT20">#REF!</definedName>
    <definedName name="_TT21" localSheetId="1">#REF!</definedName>
    <definedName name="_TT21">#REF!</definedName>
    <definedName name="_TT22" localSheetId="1">#REF!</definedName>
    <definedName name="_TT22">#REF!</definedName>
    <definedName name="_TT26" localSheetId="1">#REF!</definedName>
    <definedName name="_TT26">#REF!</definedName>
    <definedName name="_TT27" localSheetId="1">#REF!</definedName>
    <definedName name="_TT27">#REF!</definedName>
    <definedName name="_TT28" localSheetId="1">#REF!</definedName>
    <definedName name="_TT28">#REF!</definedName>
    <definedName name="_TT30" localSheetId="1">#REF!</definedName>
    <definedName name="_TT30">#REF!</definedName>
    <definedName name="_TT31" localSheetId="1">#REF!</definedName>
    <definedName name="_TT31">#REF!</definedName>
    <definedName name="_TT32" localSheetId="1">#REF!</definedName>
    <definedName name="_TT32">#REF!</definedName>
    <definedName name="_TT33" localSheetId="1">#REF!</definedName>
    <definedName name="_TT33">#REF!</definedName>
    <definedName name="_TT34" localSheetId="1">#REF!</definedName>
    <definedName name="_TT34">#REF!</definedName>
    <definedName name="_TT36" localSheetId="1">#REF!</definedName>
    <definedName name="_TT36">#REF!</definedName>
    <definedName name="_TT37" localSheetId="1">#REF!</definedName>
    <definedName name="_TT37">#REF!</definedName>
    <definedName name="_TT38" localSheetId="1">#REF!</definedName>
    <definedName name="_TT38">#REF!</definedName>
    <definedName name="_TT39" localSheetId="1">#REF!</definedName>
    <definedName name="_TT39">#REF!</definedName>
    <definedName name="_TT4" localSheetId="1">#REF!</definedName>
    <definedName name="_TT4">#REF!</definedName>
    <definedName name="_TT40" localSheetId="1">#REF!</definedName>
    <definedName name="_TT40">#REF!</definedName>
    <definedName name="_TT5" localSheetId="1">#REF!</definedName>
    <definedName name="_TT5">#REF!</definedName>
    <definedName name="_TT52" localSheetId="1">#REF!</definedName>
    <definedName name="_TT52">#REF!</definedName>
    <definedName name="_TT53" localSheetId="1">#REF!</definedName>
    <definedName name="_TT53">#REF!</definedName>
    <definedName name="_TT54" localSheetId="1">#REF!</definedName>
    <definedName name="_TT54">#REF!</definedName>
    <definedName name="_TT55" localSheetId="1">#REF!</definedName>
    <definedName name="_TT55">#REF!</definedName>
    <definedName name="_TT6" localSheetId="1">#REF!</definedName>
    <definedName name="_TT6">#REF!</definedName>
    <definedName name="_TT60" localSheetId="1">#REF!</definedName>
    <definedName name="_TT60">#REF!</definedName>
    <definedName name="_TT61" localSheetId="1">#REF!</definedName>
    <definedName name="_TT61">#REF!</definedName>
    <definedName name="_TT69" localSheetId="1">#REF!</definedName>
    <definedName name="_TT69">#REF!</definedName>
    <definedName name="_TT7" localSheetId="1">#REF!</definedName>
    <definedName name="_TT7">#REF!</definedName>
    <definedName name="_TT70" localSheetId="1">#REF!</definedName>
    <definedName name="_TT70">#REF!</definedName>
    <definedName name="_TT71" localSheetId="1">#REF!</definedName>
    <definedName name="_TT71">#REF!</definedName>
    <definedName name="_TT74" localSheetId="1">#REF!</definedName>
    <definedName name="_TT74">#REF!</definedName>
    <definedName name="_TT75" localSheetId="1">#REF!</definedName>
    <definedName name="_TT75">#REF!</definedName>
    <definedName name="_TT76" localSheetId="1">#REF!</definedName>
    <definedName name="_TT76">#REF!</definedName>
    <definedName name="_TT77" localSheetId="1">#REF!</definedName>
    <definedName name="_TT77">#REF!</definedName>
    <definedName name="_TT78" localSheetId="1">#REF!</definedName>
    <definedName name="_TT78">#REF!</definedName>
    <definedName name="_TT79" localSheetId="1">#REF!</definedName>
    <definedName name="_TT79">#REF!</definedName>
    <definedName name="_TT94" localSheetId="1">#REF!</definedName>
    <definedName name="_TT94">#REF!</definedName>
    <definedName name="_TT95" localSheetId="1">#REF!</definedName>
    <definedName name="_TT95">#REF!</definedName>
    <definedName name="_TT97" localSheetId="1">#REF!</definedName>
    <definedName name="_TT97">#REF!</definedName>
    <definedName name="_UNI11100" localSheetId="1">#REF!</definedName>
    <definedName name="_UNI11100">#REF!</definedName>
    <definedName name="_UNI11110" localSheetId="1">#REF!</definedName>
    <definedName name="_UNI11110">#REF!</definedName>
    <definedName name="_UNI11115" localSheetId="1">#REF!</definedName>
    <definedName name="_UNI11115">#REF!</definedName>
    <definedName name="_UNI11125" localSheetId="1">#REF!</definedName>
    <definedName name="_UNI11125">#REF!</definedName>
    <definedName name="_UNI11130" localSheetId="1">#REF!</definedName>
    <definedName name="_UNI11130">#REF!</definedName>
    <definedName name="_UNI11135" localSheetId="1">#REF!</definedName>
    <definedName name="_UNI11135">#REF!</definedName>
    <definedName name="_UNI11145" localSheetId="1">#REF!</definedName>
    <definedName name="_UNI11145">#REF!</definedName>
    <definedName name="_UNI11150" localSheetId="1">#REF!</definedName>
    <definedName name="_UNI11150">#REF!</definedName>
    <definedName name="_UNI11165" localSheetId="1">#REF!</definedName>
    <definedName name="_UNI11165">#REF!</definedName>
    <definedName name="_UNI11170" localSheetId="1">#REF!</definedName>
    <definedName name="_UNI11170">#REF!</definedName>
    <definedName name="_UNI11180" localSheetId="1">#REF!</definedName>
    <definedName name="_UNI11180">#REF!</definedName>
    <definedName name="_UNI11185" localSheetId="1">#REF!</definedName>
    <definedName name="_UNI11185">#REF!</definedName>
    <definedName name="_UNI11220" localSheetId="1">#REF!</definedName>
    <definedName name="_UNI11220">#REF!</definedName>
    <definedName name="_UNI12105" localSheetId="1">#REF!</definedName>
    <definedName name="_UNI12105">#REF!</definedName>
    <definedName name="_UNI12555" localSheetId="1">#REF!</definedName>
    <definedName name="_UNI12555">#REF!</definedName>
    <definedName name="_UNI12570" localSheetId="1">#REF!</definedName>
    <definedName name="_UNI12570">#REF!</definedName>
    <definedName name="_UNI12575" localSheetId="1">#REF!</definedName>
    <definedName name="_UNI12575">#REF!</definedName>
    <definedName name="_UNI12580" localSheetId="1">#REF!</definedName>
    <definedName name="_UNI12580">#REF!</definedName>
    <definedName name="_UNI12600" localSheetId="1">#REF!</definedName>
    <definedName name="_UNI12600">#REF!</definedName>
    <definedName name="_UNI12610" localSheetId="1">#REF!</definedName>
    <definedName name="_UNI12610">#REF!</definedName>
    <definedName name="_UNI12630" localSheetId="1">#REF!</definedName>
    <definedName name="_UNI12630">#REF!</definedName>
    <definedName name="_UNI12631" localSheetId="1">#REF!</definedName>
    <definedName name="_UNI12631">#REF!</definedName>
    <definedName name="_UNI12640" localSheetId="1">#REF!</definedName>
    <definedName name="_UNI12640">#REF!</definedName>
    <definedName name="_UNI12645" localSheetId="1">#REF!</definedName>
    <definedName name="_UNI12645">#REF!</definedName>
    <definedName name="_UNI12665" localSheetId="1">#REF!</definedName>
    <definedName name="_UNI12665">#REF!</definedName>
    <definedName name="_UNI12690" localSheetId="1">#REF!</definedName>
    <definedName name="_UNI12690">#REF!</definedName>
    <definedName name="_UNI12700" localSheetId="1">#REF!</definedName>
    <definedName name="_UNI12700">#REF!</definedName>
    <definedName name="_UNI12710" localSheetId="1">#REF!</definedName>
    <definedName name="_UNI12710">#REF!</definedName>
    <definedName name="_UNI13111" localSheetId="1">#REF!</definedName>
    <definedName name="_UNI13111">#REF!</definedName>
    <definedName name="_UNI13112" localSheetId="1">#REF!</definedName>
    <definedName name="_UNI13112">#REF!</definedName>
    <definedName name="_UNI13121" localSheetId="1">#REF!</definedName>
    <definedName name="_UNI13121">#REF!</definedName>
    <definedName name="_UNI13720" localSheetId="1">#REF!</definedName>
    <definedName name="_UNI13720">#REF!</definedName>
    <definedName name="_UNI14100" localSheetId="1">#REF!</definedName>
    <definedName name="_UNI14100">#REF!</definedName>
    <definedName name="_UNI14161" localSheetId="1">#REF!</definedName>
    <definedName name="_UNI14161">#REF!</definedName>
    <definedName name="_UNI14195" localSheetId="1">#REF!</definedName>
    <definedName name="_UNI14195">#REF!</definedName>
    <definedName name="_UNI14205" localSheetId="1">#REF!</definedName>
    <definedName name="_UNI14205">#REF!</definedName>
    <definedName name="_UNI14260" localSheetId="1">#REF!</definedName>
    <definedName name="_UNI14260">#REF!</definedName>
    <definedName name="_UNI14500" localSheetId="1">#REF!</definedName>
    <definedName name="_UNI14500">#REF!</definedName>
    <definedName name="_UNI14515" localSheetId="1">#REF!</definedName>
    <definedName name="_UNI14515">#REF!</definedName>
    <definedName name="_UNI14555" localSheetId="1">#REF!</definedName>
    <definedName name="_UNI14555">#REF!</definedName>
    <definedName name="_UNI14565" localSheetId="1">#REF!</definedName>
    <definedName name="_UNI14565">#REF!</definedName>
    <definedName name="_UNI15135" localSheetId="1">#REF!</definedName>
    <definedName name="_UNI15135">#REF!</definedName>
    <definedName name="_UNI15140" localSheetId="1">#REF!</definedName>
    <definedName name="_UNI15140">#REF!</definedName>
    <definedName name="_UNI15195" localSheetId="1">#REF!</definedName>
    <definedName name="_UNI15195">#REF!</definedName>
    <definedName name="_UNI15225" localSheetId="1">#REF!</definedName>
    <definedName name="_UNI15225">#REF!</definedName>
    <definedName name="_UNI15230" localSheetId="1">#REF!</definedName>
    <definedName name="_UNI15230">#REF!</definedName>
    <definedName name="_UNI15515" localSheetId="1">#REF!</definedName>
    <definedName name="_UNI15515">#REF!</definedName>
    <definedName name="_UNI15560" localSheetId="1">#REF!</definedName>
    <definedName name="_UNI15560">#REF!</definedName>
    <definedName name="_UNI15565" localSheetId="1">#REF!</definedName>
    <definedName name="_UNI15565">#REF!</definedName>
    <definedName name="_UNI15570" localSheetId="1">#REF!</definedName>
    <definedName name="_UNI15570">#REF!</definedName>
    <definedName name="_UNI15575" localSheetId="1">#REF!</definedName>
    <definedName name="_UNI15575">#REF!</definedName>
    <definedName name="_UNI15583" localSheetId="1">#REF!</definedName>
    <definedName name="_UNI15583">#REF!</definedName>
    <definedName name="_UNI15590" localSheetId="1">#REF!</definedName>
    <definedName name="_UNI15590">#REF!</definedName>
    <definedName name="_UNI15591" localSheetId="1">#REF!</definedName>
    <definedName name="_UNI15591">#REF!</definedName>
    <definedName name="_UNI15610" localSheetId="1">#REF!</definedName>
    <definedName name="_UNI15610">#REF!</definedName>
    <definedName name="_UNI15625" localSheetId="1">#REF!</definedName>
    <definedName name="_UNI15625">#REF!</definedName>
    <definedName name="_UNI15635" localSheetId="1">#REF!</definedName>
    <definedName name="_UNI15635">#REF!</definedName>
    <definedName name="_UNI15655" localSheetId="1">#REF!</definedName>
    <definedName name="_UNI15655">#REF!</definedName>
    <definedName name="_UNI15665" localSheetId="1">#REF!</definedName>
    <definedName name="_UNI15665">#REF!</definedName>
    <definedName name="_UNI16515" localSheetId="1">#REF!</definedName>
    <definedName name="_UNI16515">#REF!</definedName>
    <definedName name="_UNI16535" localSheetId="1">#REF!</definedName>
    <definedName name="_UNI16535">#REF!</definedName>
    <definedName name="_UNI17140" localSheetId="1">#REF!</definedName>
    <definedName name="_UNI17140">#REF!</definedName>
    <definedName name="_UNI19500" localSheetId="1">#REF!</definedName>
    <definedName name="_UNI19500">#REF!</definedName>
    <definedName name="_UNI19501" localSheetId="1">#REF!</definedName>
    <definedName name="_UNI19501">#REF!</definedName>
    <definedName name="_UNI19502" localSheetId="1">#REF!</definedName>
    <definedName name="_UNI19502">#REF!</definedName>
    <definedName name="_UNI19503" localSheetId="1">#REF!</definedName>
    <definedName name="_UNI19503">#REF!</definedName>
    <definedName name="_UNI19504" localSheetId="1">#REF!</definedName>
    <definedName name="_UNI19504">#REF!</definedName>
    <definedName name="_UNI19505" localSheetId="1">#REF!</definedName>
    <definedName name="_UNI19505">#REF!</definedName>
    <definedName name="_UNI20100" localSheetId="1">#REF!</definedName>
    <definedName name="_UNI20100">#REF!</definedName>
    <definedName name="_UNI20105" localSheetId="1">#REF!</definedName>
    <definedName name="_UNI20105">#REF!</definedName>
    <definedName name="_UNI20110" localSheetId="1">#REF!</definedName>
    <definedName name="_UNI20110">#REF!</definedName>
    <definedName name="_UNI20115" localSheetId="1">#REF!</definedName>
    <definedName name="_UNI20115">#REF!</definedName>
    <definedName name="_UNI20130" localSheetId="1">#REF!</definedName>
    <definedName name="_UNI20130">#REF!</definedName>
    <definedName name="_UNI20135" localSheetId="1">#REF!</definedName>
    <definedName name="_UNI20135">#REF!</definedName>
    <definedName name="_UNI20140" localSheetId="1">#REF!</definedName>
    <definedName name="_UNI20140">#REF!</definedName>
    <definedName name="_UNI20145" localSheetId="1">#REF!</definedName>
    <definedName name="_UNI20145">#REF!</definedName>
    <definedName name="_UNI20150" localSheetId="1">#REF!</definedName>
    <definedName name="_UNI20150">#REF!</definedName>
    <definedName name="_UNI20155" localSheetId="1">#REF!</definedName>
    <definedName name="_UNI20155">#REF!</definedName>
    <definedName name="_UNI20175" localSheetId="1">#REF!</definedName>
    <definedName name="_UNI20175">#REF!</definedName>
    <definedName name="_UNI20185" localSheetId="1">#REF!</definedName>
    <definedName name="_UNI20185">#REF!</definedName>
    <definedName name="_UNI20190" localSheetId="1">#REF!</definedName>
    <definedName name="_UNI20190">#REF!</definedName>
    <definedName name="_UNI20195" localSheetId="1">#REF!</definedName>
    <definedName name="_UNI20195">#REF!</definedName>
    <definedName name="_UNI20210" localSheetId="1">#REF!</definedName>
    <definedName name="_UNI20210">#REF!</definedName>
    <definedName name="_VAL11100" localSheetId="1">#REF!</definedName>
    <definedName name="_VAL11100">#REF!</definedName>
    <definedName name="_VAL11110" localSheetId="1">#REF!</definedName>
    <definedName name="_VAL11110">#REF!</definedName>
    <definedName name="_VAL11115" localSheetId="1">#REF!</definedName>
    <definedName name="_VAL11115">#REF!</definedName>
    <definedName name="_VAL11125" localSheetId="1">#REF!</definedName>
    <definedName name="_VAL11125">#REF!</definedName>
    <definedName name="_VAL11130" localSheetId="1">#REF!</definedName>
    <definedName name="_VAL11130">#REF!</definedName>
    <definedName name="_VAL11135" localSheetId="1">#REF!</definedName>
    <definedName name="_VAL11135">#REF!</definedName>
    <definedName name="_VAL11145" localSheetId="1">#REF!</definedName>
    <definedName name="_VAL11145">#REF!</definedName>
    <definedName name="_VAL11150" localSheetId="1">#REF!</definedName>
    <definedName name="_VAL11150">#REF!</definedName>
    <definedName name="_VAL11165" localSheetId="1">#REF!</definedName>
    <definedName name="_VAL11165">#REF!</definedName>
    <definedName name="_VAL11170" localSheetId="1">#REF!</definedName>
    <definedName name="_VAL11170">#REF!</definedName>
    <definedName name="_VAL11180" localSheetId="1">#REF!</definedName>
    <definedName name="_VAL11180">#REF!</definedName>
    <definedName name="_VAL11185" localSheetId="1">#REF!</definedName>
    <definedName name="_VAL11185">#REF!</definedName>
    <definedName name="_VAL11220" localSheetId="1">#REF!</definedName>
    <definedName name="_VAL11220">#REF!</definedName>
    <definedName name="_VAL12105" localSheetId="1">#REF!</definedName>
    <definedName name="_VAL12105">#REF!</definedName>
    <definedName name="_VAL12555" localSheetId="1">#REF!</definedName>
    <definedName name="_VAL12555">#REF!</definedName>
    <definedName name="_VAL12570" localSheetId="1">#REF!</definedName>
    <definedName name="_VAL12570">#REF!</definedName>
    <definedName name="_VAL12575" localSheetId="1">#REF!</definedName>
    <definedName name="_VAL12575">#REF!</definedName>
    <definedName name="_VAL12580" localSheetId="1">#REF!</definedName>
    <definedName name="_VAL12580">#REF!</definedName>
    <definedName name="_VAL12600" localSheetId="1">#REF!</definedName>
    <definedName name="_VAL12600">#REF!</definedName>
    <definedName name="_VAL12610" localSheetId="1">#REF!</definedName>
    <definedName name="_VAL12610">#REF!</definedName>
    <definedName name="_VAL12630" localSheetId="1">#REF!</definedName>
    <definedName name="_VAL12630">#REF!</definedName>
    <definedName name="_VAL12631" localSheetId="1">#REF!</definedName>
    <definedName name="_VAL12631">#REF!</definedName>
    <definedName name="_VAL12640" localSheetId="1">#REF!</definedName>
    <definedName name="_VAL12640">#REF!</definedName>
    <definedName name="_VAL12645" localSheetId="1">#REF!</definedName>
    <definedName name="_VAL12645">#REF!</definedName>
    <definedName name="_VAL12665" localSheetId="1">#REF!</definedName>
    <definedName name="_VAL12665">#REF!</definedName>
    <definedName name="_VAL12690" localSheetId="1">#REF!</definedName>
    <definedName name="_VAL12690">#REF!</definedName>
    <definedName name="_VAL12700" localSheetId="1">#REF!</definedName>
    <definedName name="_VAL12700">#REF!</definedName>
    <definedName name="_VAL12710" localSheetId="1">#REF!</definedName>
    <definedName name="_VAL12710">#REF!</definedName>
    <definedName name="_VAL13111" localSheetId="1">#REF!</definedName>
    <definedName name="_VAL13111">#REF!</definedName>
    <definedName name="_VAL13112" localSheetId="1">#REF!</definedName>
    <definedName name="_VAL13112">#REF!</definedName>
    <definedName name="_VAL13121" localSheetId="1">#REF!</definedName>
    <definedName name="_VAL13121">#REF!</definedName>
    <definedName name="_VAL13720" localSheetId="1">#REF!</definedName>
    <definedName name="_VAL13720">#REF!</definedName>
    <definedName name="_VAL14100" localSheetId="1">#REF!</definedName>
    <definedName name="_VAL14100">#REF!</definedName>
    <definedName name="_VAL14161" localSheetId="1">#REF!</definedName>
    <definedName name="_VAL14161">#REF!</definedName>
    <definedName name="_VAL14195" localSheetId="1">#REF!</definedName>
    <definedName name="_VAL14195">#REF!</definedName>
    <definedName name="_VAL14205" localSheetId="1">#REF!</definedName>
    <definedName name="_VAL14205">#REF!</definedName>
    <definedName name="_VAL14260" localSheetId="1">#REF!</definedName>
    <definedName name="_VAL14260">#REF!</definedName>
    <definedName name="_VAL14500" localSheetId="1">#REF!</definedName>
    <definedName name="_VAL14500">#REF!</definedName>
    <definedName name="_VAL14515" localSheetId="1">#REF!</definedName>
    <definedName name="_VAL14515">#REF!</definedName>
    <definedName name="_VAL14555" localSheetId="1">#REF!</definedName>
    <definedName name="_VAL14555">#REF!</definedName>
    <definedName name="_VAL14565" localSheetId="1">#REF!</definedName>
    <definedName name="_VAL14565">#REF!</definedName>
    <definedName name="_VAL15135" localSheetId="1">#REF!</definedName>
    <definedName name="_VAL15135">#REF!</definedName>
    <definedName name="_VAL15140" localSheetId="1">#REF!</definedName>
    <definedName name="_VAL15140">#REF!</definedName>
    <definedName name="_VAL15195" localSheetId="1">#REF!</definedName>
    <definedName name="_VAL15195">#REF!</definedName>
    <definedName name="_VAL15225" localSheetId="1">#REF!</definedName>
    <definedName name="_VAL15225">#REF!</definedName>
    <definedName name="_VAL15230" localSheetId="1">#REF!</definedName>
    <definedName name="_VAL15230">#REF!</definedName>
    <definedName name="_VAL15515" localSheetId="1">#REF!</definedName>
    <definedName name="_VAL15515">#REF!</definedName>
    <definedName name="_VAL15560" localSheetId="1">#REF!</definedName>
    <definedName name="_VAL15560">#REF!</definedName>
    <definedName name="_VAL15565" localSheetId="1">#REF!</definedName>
    <definedName name="_VAL15565">#REF!</definedName>
    <definedName name="_VAL15570" localSheetId="1">#REF!</definedName>
    <definedName name="_VAL15570">#REF!</definedName>
    <definedName name="_VAL15575" localSheetId="1">#REF!</definedName>
    <definedName name="_VAL15575">#REF!</definedName>
    <definedName name="_VAL15583" localSheetId="1">#REF!</definedName>
    <definedName name="_VAL15583">#REF!</definedName>
    <definedName name="_VAL15590" localSheetId="1">#REF!</definedName>
    <definedName name="_VAL15590">#REF!</definedName>
    <definedName name="_VAL15591" localSheetId="1">#REF!</definedName>
    <definedName name="_VAL15591">#REF!</definedName>
    <definedName name="_VAL15610" localSheetId="1">#REF!</definedName>
    <definedName name="_VAL15610">#REF!</definedName>
    <definedName name="_VAL15625" localSheetId="1">#REF!</definedName>
    <definedName name="_VAL15625">#REF!</definedName>
    <definedName name="_VAL15635" localSheetId="1">#REF!</definedName>
    <definedName name="_VAL15635">#REF!</definedName>
    <definedName name="_VAL15655" localSheetId="1">#REF!</definedName>
    <definedName name="_VAL15655">#REF!</definedName>
    <definedName name="_VAL15665" localSheetId="1">#REF!</definedName>
    <definedName name="_VAL15665">#REF!</definedName>
    <definedName name="_VAL16515" localSheetId="1">#REF!</definedName>
    <definedName name="_VAL16515">#REF!</definedName>
    <definedName name="_VAL16535" localSheetId="1">#REF!</definedName>
    <definedName name="_VAL16535">#REF!</definedName>
    <definedName name="_VAL17140" localSheetId="1">#REF!</definedName>
    <definedName name="_VAL17140">#REF!</definedName>
    <definedName name="_VAL19500" localSheetId="1">#REF!</definedName>
    <definedName name="_VAL19500">#REF!</definedName>
    <definedName name="_VAL19501" localSheetId="1">#REF!</definedName>
    <definedName name="_VAL19501">#REF!</definedName>
    <definedName name="_VAL19502" localSheetId="1">#REF!</definedName>
    <definedName name="_VAL19502">#REF!</definedName>
    <definedName name="_VAL19503" localSheetId="1">#REF!</definedName>
    <definedName name="_VAL19503">#REF!</definedName>
    <definedName name="_VAL19504" localSheetId="1">#REF!</definedName>
    <definedName name="_VAL19504">#REF!</definedName>
    <definedName name="_VAL19505" localSheetId="1">#REF!</definedName>
    <definedName name="_VAL19505">#REF!</definedName>
    <definedName name="_VAL20100" localSheetId="1">#REF!</definedName>
    <definedName name="_VAL20100">#REF!</definedName>
    <definedName name="_VAL20105" localSheetId="1">#REF!</definedName>
    <definedName name="_VAL20105">#REF!</definedName>
    <definedName name="_VAL20110" localSheetId="1">#REF!</definedName>
    <definedName name="_VAL20110">#REF!</definedName>
    <definedName name="_VAL20115" localSheetId="1">#REF!</definedName>
    <definedName name="_VAL20115">#REF!</definedName>
    <definedName name="_VAL20130" localSheetId="1">#REF!</definedName>
    <definedName name="_VAL20130">#REF!</definedName>
    <definedName name="_VAL20135" localSheetId="1">#REF!</definedName>
    <definedName name="_VAL20135">#REF!</definedName>
    <definedName name="_VAL20140" localSheetId="1">#REF!</definedName>
    <definedName name="_VAL20140">#REF!</definedName>
    <definedName name="_VAL20145" localSheetId="1">#REF!</definedName>
    <definedName name="_VAL20145">#REF!</definedName>
    <definedName name="_VAL20150" localSheetId="1">#REF!</definedName>
    <definedName name="_VAL20150">#REF!</definedName>
    <definedName name="_VAL20155" localSheetId="1">#REF!</definedName>
    <definedName name="_VAL20155">#REF!</definedName>
    <definedName name="_VAL20175" localSheetId="1">#REF!</definedName>
    <definedName name="_VAL20175">#REF!</definedName>
    <definedName name="_VAL20185" localSheetId="1">#REF!</definedName>
    <definedName name="_VAL20185">#REF!</definedName>
    <definedName name="_VAL20190" localSheetId="1">#REF!</definedName>
    <definedName name="_VAL20190">#REF!</definedName>
    <definedName name="_VAL20195" localSheetId="1">#REF!</definedName>
    <definedName name="_VAL20195">#REF!</definedName>
    <definedName name="_VAL20210" localSheetId="1">#REF!</definedName>
    <definedName name="_VAL20210">#REF!</definedName>
    <definedName name="_Z" localSheetId="1">#REF!</definedName>
    <definedName name="_Z">#REF!</definedName>
    <definedName name="A" localSheetId="1">#REF!</definedName>
    <definedName name="A">#REF!</definedName>
    <definedName name="a_CompComCod_2" localSheetId="1">#REF!</definedName>
    <definedName name="a_CompComCod_2">#REF!</definedName>
    <definedName name="a_CompSemCod" localSheetId="1">#REF!</definedName>
    <definedName name="a_CompSemCod">#REF!</definedName>
    <definedName name="aa" localSheetId="1">#REF!</definedName>
    <definedName name="aa">#REF!</definedName>
    <definedName name="AAA" localSheetId="1">#REF!</definedName>
    <definedName name="AAA">#REF!</definedName>
    <definedName name="aaaaaaaaaaaaaaaaaaaaaaa" localSheetId="1">#REF!</definedName>
    <definedName name="aaaaaaaaaaaaaaaaaaaaaaa">#REF!</definedName>
    <definedName name="AAB" localSheetId="1">#REF!</definedName>
    <definedName name="AAB">#REF!</definedName>
    <definedName name="AAC" localSheetId="1">#REF!</definedName>
    <definedName name="AAC">#REF!</definedName>
    <definedName name="ABC" localSheetId="1">IF(#REF!=0,0,SUMIF(#REF!,#REF!,#REF!))</definedName>
    <definedName name="ABC">IF(#REF!=0,0,SUMIF(#REF!,#REF!,#REF!))</definedName>
    <definedName name="AÇO_CA_50">#REF!</definedName>
    <definedName name="act_high" localSheetId="1">#REF!</definedName>
    <definedName name="act_high">#REF!</definedName>
    <definedName name="act_low" localSheetId="1">#REF!</definedName>
    <definedName name="act_low">#REF!</definedName>
    <definedName name="Ajudante" localSheetId="1">#REF!</definedName>
    <definedName name="Ajudante">#REF!</definedName>
    <definedName name="AND">#REF!</definedName>
    <definedName name="ANTIGA" localSheetId="1">#REF!</definedName>
    <definedName name="ANTIGA">#REF!</definedName>
    <definedName name="APLICAÇÃO" localSheetId="1">#REF!</definedName>
    <definedName name="APLICAÇÃO">#REF!</definedName>
    <definedName name="ar">#REF!</definedName>
    <definedName name="area_base">#REF!</definedName>
    <definedName name="_xlnm.Print_Area" localSheetId="1">BDI!$A$1:$K$39</definedName>
    <definedName name="_xlnm.Print_Area" localSheetId="0">CAPA!$A$1:$I$41</definedName>
    <definedName name="_xlnm.Print_Area" localSheetId="2">'Preços de Referência'!$A$1:$AA$105</definedName>
    <definedName name="_xlnm.Print_Area" localSheetId="3">PRODUTOS!$A$1:$H$39</definedName>
    <definedName name="_xlnm.Print_Area">#REF!</definedName>
    <definedName name="Área_impressão_IM" localSheetId="1">#REF!</definedName>
    <definedName name="Área_impressão_IM">#REF!</definedName>
    <definedName name="AreaCustoOrç" localSheetId="1">#REF!</definedName>
    <definedName name="AreaCustoOrç">#REF!</definedName>
    <definedName name="Armador" localSheetId="1">#REF!</definedName>
    <definedName name="Armador">#REF!</definedName>
    <definedName name="asadadada" localSheetId="1" hidden="1">{#N/A,#N/A,TRUE,"Resumo de Preços"}</definedName>
    <definedName name="asadadada" hidden="1">{#N/A,#N/A,TRUE,"Resumo de Preços"}</definedName>
    <definedName name="ASDFASFA" localSheetId="1" hidden="1">{#N/A,#N/A,TRUE,"Resumo de Preços"}</definedName>
    <definedName name="ASDFASFA" hidden="1">{#N/A,#N/A,TRUE,"Resumo de Preços"}</definedName>
    <definedName name="ASDFASFA2" localSheetId="1" hidden="1">{#N/A,#N/A,TRUE,"Resumo de Preços"}</definedName>
    <definedName name="ASDFASFA2" hidden="1">{#N/A,#N/A,TRUE,"Resumo de Preços"}</definedName>
    <definedName name="ASI" localSheetId="1">#REF!</definedName>
    <definedName name="ASI">#REF!</definedName>
    <definedName name="ASP">#REF!</definedName>
    <definedName name="aux" localSheetId="1">#REF!</definedName>
    <definedName name="aux">#REF!</definedName>
    <definedName name="auxiliar" localSheetId="1">#REF!</definedName>
    <definedName name="auxiliar">#REF!</definedName>
    <definedName name="B" localSheetId="1">#REF!</definedName>
    <definedName name="B">#REF!</definedName>
    <definedName name="_xlnm.Database" localSheetId="1">#REF!</definedName>
    <definedName name="_xlnm.Database">#REF!</definedName>
    <definedName name="BBB" localSheetId="1">#REF!</definedName>
    <definedName name="BBB">#REF!</definedName>
    <definedName name="BBC" localSheetId="1">#REF!</definedName>
    <definedName name="BBC">#REF!</definedName>
    <definedName name="BBD" localSheetId="1">#REF!</definedName>
    <definedName name="BBD">#REF!</definedName>
    <definedName name="BBE" localSheetId="1">#REF!</definedName>
    <definedName name="BBE">#REF!</definedName>
    <definedName name="BBF" localSheetId="1">#REF!</definedName>
    <definedName name="BBF">#REF!</definedName>
    <definedName name="BBG" localSheetId="1">#REF!</definedName>
    <definedName name="BBG">#REF!</definedName>
    <definedName name="BBH" localSheetId="1">#REF!</definedName>
    <definedName name="BBH">#REF!</definedName>
    <definedName name="BBI" localSheetId="1">#REF!</definedName>
    <definedName name="BBI">#REF!</definedName>
    <definedName name="BBJ" localSheetId="1">#REF!</definedName>
    <definedName name="BBJ">#REF!</definedName>
    <definedName name="BBK" localSheetId="1">#REF!</definedName>
    <definedName name="BBK">#REF!</definedName>
    <definedName name="BBL" localSheetId="1">#REF!</definedName>
    <definedName name="BBL">#REF!</definedName>
    <definedName name="BBM" localSheetId="1">#REF!</definedName>
    <definedName name="BBM">#REF!</definedName>
    <definedName name="bbujoj">#REF!</definedName>
    <definedName name="BDI">#REF!</definedName>
    <definedName name="BDI." localSheetId="1">#REF!</definedName>
    <definedName name="BDI.">#REF!</definedName>
    <definedName name="Bomba_putzmeister" localSheetId="1">#REF!</definedName>
    <definedName name="Bomba_putzmeister">#REF!</definedName>
    <definedName name="br" localSheetId="1">#REF!</definedName>
    <definedName name="br">#REF!</definedName>
    <definedName name="BuiltIn_Print_Area" localSheetId="1">#REF!</definedName>
    <definedName name="BuiltIn_Print_Area">#REF!</definedName>
    <definedName name="BuiltIn_Print_Area___0" localSheetId="1">#REF!</definedName>
    <definedName name="BuiltIn_Print_Area___0">#REF!</definedName>
    <definedName name="BuiltIn_Print_Titles" localSheetId="1">#REF!</definedName>
    <definedName name="BuiltIn_Print_Titles">#REF!</definedName>
    <definedName name="BuiltIn_Print_Titles___0" localSheetId="1">#REF!</definedName>
    <definedName name="BuiltIn_Print_Titles___0">#REF!</definedName>
    <definedName name="C_" localSheetId="1">#REF!</definedName>
    <definedName name="C_">#REF!</definedName>
    <definedName name="cab">#REF!</definedName>
    <definedName name="cab_cortes" localSheetId="1">#REF!</definedName>
    <definedName name="cab_cortes">#REF!</definedName>
    <definedName name="cab_dmt">#REF!</definedName>
    <definedName name="cab_limpeza" localSheetId="1">#REF!</definedName>
    <definedName name="cab_limpeza">#REF!</definedName>
    <definedName name="cab_pmf">#REF!</definedName>
    <definedName name="cabmeio">#REF!</definedName>
    <definedName name="CadCompCodJaCad">#REF!</definedName>
    <definedName name="caixa">#REF!</definedName>
    <definedName name="Calafate" localSheetId="1">#REF!</definedName>
    <definedName name="Calafate">#REF!</definedName>
    <definedName name="CALCBDI">#REF!</definedName>
    <definedName name="Caldeireiro" localSheetId="1">#REF!</definedName>
    <definedName name="Caldeireiro">#REF!</definedName>
    <definedName name="campo1">#REF!</definedName>
    <definedName name="cap">#REF!</definedName>
    <definedName name="Carpinteiro" localSheetId="1">#REF!</definedName>
    <definedName name="Carpinteiro">#REF!</definedName>
    <definedName name="Carvoeiro" localSheetId="1">#REF!</definedName>
    <definedName name="Carvoeiro">#REF!</definedName>
    <definedName name="CBUQ">#REF!</definedName>
    <definedName name="CCC" localSheetId="1">#REF!</definedName>
    <definedName name="CCC">#REF!</definedName>
    <definedName name="CCCC" localSheetId="1">#REF!</definedName>
    <definedName name="CCCC">#REF!</definedName>
    <definedName name="ccccccc" localSheetId="1" hidden="1">{#N/A,#N/A,TRUE,"Resumo de Preços"}</definedName>
    <definedName name="ccccccc" hidden="1">{#N/A,#N/A,TRUE,"Resumo de Preços"}</definedName>
    <definedName name="CCCCCCCCCC" localSheetId="1" hidden="1">{#N/A,#N/A,TRUE,"Resumo de Preços"}</definedName>
    <definedName name="CCCCCCCCCC" hidden="1">{#N/A,#N/A,TRUE,"Resumo de Preços"}</definedName>
    <definedName name="CCD" localSheetId="1">#REF!</definedName>
    <definedName name="CCD">#REF!</definedName>
    <definedName name="CCE" localSheetId="1">#REF!</definedName>
    <definedName name="CCE">#REF!</definedName>
    <definedName name="CCF" localSheetId="1">#REF!</definedName>
    <definedName name="CCF">#REF!</definedName>
    <definedName name="CelAux" localSheetId="1">#REF!</definedName>
    <definedName name="CelAux">#REF!</definedName>
    <definedName name="CENTRO_DE_CUSTO">#REF!</definedName>
    <definedName name="CFM" localSheetId="1">#REF!</definedName>
    <definedName name="CFM">#REF!</definedName>
    <definedName name="CFU" localSheetId="1">#REF!</definedName>
    <definedName name="CFU">#REF!</definedName>
    <definedName name="Classif_Plan_Serv." localSheetId="1">#REF!</definedName>
    <definedName name="Classif_Plan_Serv.">#REF!</definedName>
    <definedName name="CM" localSheetId="1">#REF!</definedName>
    <definedName name="CM">#REF!</definedName>
    <definedName name="CodFerrManual">#REF!</definedName>
    <definedName name="CÓDIGO" localSheetId="1">#REF!</definedName>
    <definedName name="CÓDIGO">#REF!</definedName>
    <definedName name="Código." localSheetId="1">#REF!</definedName>
    <definedName name="Código.">#REF!</definedName>
    <definedName name="Código_DNIT" localSheetId="1">#REF!</definedName>
    <definedName name="Código_DNIT">#REF!</definedName>
    <definedName name="ColarCustoFixar" localSheetId="1">#REF!</definedName>
    <definedName name="ColarCustoFixar">#REF!</definedName>
    <definedName name="Colchão">#REF!</definedName>
    <definedName name="ColItemServ." localSheetId="1">#REF!</definedName>
    <definedName name="ColItemServ.">#REF!</definedName>
    <definedName name="ColQuantServ." localSheetId="1">#REF!</definedName>
    <definedName name="ColQuantServ.">#REF!</definedName>
    <definedName name="COMI" localSheetId="1">#REF!</definedName>
    <definedName name="COMI">#REF!</definedName>
    <definedName name="COMPOSIÇÃO_DE_PREÇO_UNITÁRIO" localSheetId="1">#REF!</definedName>
    <definedName name="COMPOSIÇÃO_DE_PREÇO_UNITÁRIO">#REF!</definedName>
    <definedName name="CONSTRUTORA" localSheetId="1">#REF!</definedName>
    <definedName name="CONSTRUTORA">#REF!</definedName>
    <definedName name="Consumo_Diesel" localSheetId="1">#REF!</definedName>
    <definedName name="Consumo_Diesel">#REF!</definedName>
    <definedName name="CopiaCusto" localSheetId="1">#REF!</definedName>
    <definedName name="CopiaCusto">#REF!</definedName>
    <definedName name="Copiar_Colar" localSheetId="1">#REF!</definedName>
    <definedName name="Copiar_Colar">#REF!</definedName>
    <definedName name="CopiarLinhaInteira" localSheetId="1">#REF!</definedName>
    <definedName name="CopiarLinhaInteira">#REF!</definedName>
    <definedName name="corte" localSheetId="1">#REF!</definedName>
    <definedName name="corte">#REF!</definedName>
    <definedName name="CPAV" localSheetId="1">#REF!</definedName>
    <definedName name="CPAV">#REF!</definedName>
    <definedName name="CPV" localSheetId="1">#REF!</definedName>
    <definedName name="CPV">#REF!</definedName>
    <definedName name="Criteria" localSheetId="1">#REF!</definedName>
    <definedName name="Criteria">#REF!</definedName>
    <definedName name="_xlnm.Criteria" localSheetId="1">#REF!</definedName>
    <definedName name="_xlnm.Criteria">#REF!</definedName>
    <definedName name="Custo_Ad_Not_Horista" localSheetId="1">#REF!</definedName>
    <definedName name="Custo_Ad_Not_Horista">#REF!</definedName>
    <definedName name="Custo_Ad_Not_Mensalista" localSheetId="1">#REF!</definedName>
    <definedName name="Custo_Ad_Not_Mensalista">#REF!</definedName>
    <definedName name="Custo_HE_Horista_Diurno" localSheetId="1">#REF!</definedName>
    <definedName name="Custo_HE_Horista_Diurno">#REF!</definedName>
    <definedName name="Custo_HE_Horista_Notur" localSheetId="1">#REF!</definedName>
    <definedName name="Custo_HE_Horista_Notur">#REF!</definedName>
    <definedName name="Custo_HE_Mensalista_Diurno" localSheetId="1">#REF!</definedName>
    <definedName name="Custo_HE_Mensalista_Diurno">#REF!</definedName>
    <definedName name="Custo_HE_Mensalista_Notur" localSheetId="1">#REF!</definedName>
    <definedName name="Custo_HE_Mensalista_Notur">#REF!</definedName>
    <definedName name="cvnm">#REF!</definedName>
    <definedName name="d" localSheetId="1">#REF!</definedName>
    <definedName name="d">#REF!</definedName>
    <definedName name="da">#REF!</definedName>
    <definedName name="Dados" localSheetId="1">#REF!</definedName>
    <definedName name="Dados">#REF!</definedName>
    <definedName name="DadosInicio">#REF!</definedName>
    <definedName name="data">#REF!</definedName>
    <definedName name="data_1">#REF!</definedName>
    <definedName name="dbdata_sheet_deg" localSheetId="1">#REF!</definedName>
    <definedName name="dbdata_sheet_deg">#REF!</definedName>
    <definedName name="dbdata_sheet_length" localSheetId="1">#REF!</definedName>
    <definedName name="dbdata_sheet_length">#REF!</definedName>
    <definedName name="dbdata_sheet_track" localSheetId="1">#REF!</definedName>
    <definedName name="dbdata_sheet_track">#REF!</definedName>
    <definedName name="DDD" localSheetId="1">#REF!</definedName>
    <definedName name="DDD">#REF!</definedName>
    <definedName name="DDDDDD" localSheetId="1" hidden="1">{#N/A,#N/A,TRUE,"Resumo de Preços"}</definedName>
    <definedName name="DDDDDD" hidden="1">{#N/A,#N/A,TRUE,"Resumo de Preços"}</definedName>
    <definedName name="dddddddddd" localSheetId="1" hidden="1">{#N/A,#N/A,TRUE,"Resumo de Preços"}</definedName>
    <definedName name="dddddddddd" hidden="1">{#N/A,#N/A,TRUE,"Resumo de Preços"}</definedName>
    <definedName name="DDE" localSheetId="1">#REF!</definedName>
    <definedName name="DDE">#REF!</definedName>
    <definedName name="DDF" localSheetId="1">#REF!</definedName>
    <definedName name="DDF">#REF!</definedName>
    <definedName name="DDG" localSheetId="1">#REF!</definedName>
    <definedName name="DDG">#REF!</definedName>
    <definedName name="DDH" localSheetId="1">#REF!</definedName>
    <definedName name="DDH">#REF!</definedName>
    <definedName name="DDI" localSheetId="1">#REF!</definedName>
    <definedName name="DDI">#REF!</definedName>
    <definedName name="DDJ" localSheetId="1">#REF!</definedName>
    <definedName name="DDJ">#REF!</definedName>
    <definedName name="DDK" localSheetId="1">#REF!</definedName>
    <definedName name="DDK">#REF!</definedName>
    <definedName name="DDL" localSheetId="1">#REF!</definedName>
    <definedName name="DDL">#REF!</definedName>
    <definedName name="DDM" localSheetId="1">#REF!</definedName>
    <definedName name="DDM">#REF!</definedName>
    <definedName name="densidade_cap">#REF!</definedName>
    <definedName name="Depreciação" localSheetId="1">#REF!</definedName>
    <definedName name="Depreciação">#REF!</definedName>
    <definedName name="DES" localSheetId="1">#REF!</definedName>
    <definedName name="DES">#REF!</definedName>
    <definedName name="dffffffffffffffffffff">#REF!</definedName>
    <definedName name="DigitarFixo" localSheetId="1">#REF!</definedName>
    <definedName name="DigitarFixo">#REF!</definedName>
    <definedName name="Diminuir_Memoria" localSheetId="1">#REF!</definedName>
    <definedName name="Diminuir_Memoria">#REF!</definedName>
    <definedName name="DIST" localSheetId="1">#REF!</definedName>
    <definedName name="DIST">#REF!</definedName>
    <definedName name="DIST1" localSheetId="1">#REF!</definedName>
    <definedName name="DIST1">#REF!</definedName>
    <definedName name="DIST10">#REF!</definedName>
    <definedName name="DIST2" localSheetId="1">#REF!</definedName>
    <definedName name="DIST2">#REF!</definedName>
    <definedName name="dmt">"$#REF!.$A$10:$G$95"</definedName>
    <definedName name="DMT_0_50">#REF!</definedName>
    <definedName name="dmt_1">0</definedName>
    <definedName name="dmt_10">0</definedName>
    <definedName name="DMT_1000">#REF!</definedName>
    <definedName name="dmt_11">0</definedName>
    <definedName name="dmt_12">0</definedName>
    <definedName name="dmt_13">0</definedName>
    <definedName name="dmt_14">0</definedName>
    <definedName name="dmt_15">0</definedName>
    <definedName name="dmt_16">0</definedName>
    <definedName name="dmt_17">0</definedName>
    <definedName name="dmt_18">0</definedName>
    <definedName name="dmt_19">0</definedName>
    <definedName name="dmt_2">0</definedName>
    <definedName name="dmt_20">0</definedName>
    <definedName name="DMT_200" localSheetId="1">#REF!</definedName>
    <definedName name="DMT_200">#REF!</definedName>
    <definedName name="DMT_200_400">#REF!</definedName>
    <definedName name="dmt_21">0</definedName>
    <definedName name="dmt_22">0</definedName>
    <definedName name="dmt_23">0</definedName>
    <definedName name="dmt_24">0</definedName>
    <definedName name="dmt_25">0</definedName>
    <definedName name="dmt_26">0</definedName>
    <definedName name="dmt_27">0</definedName>
    <definedName name="dmt_28">0</definedName>
    <definedName name="dmt_29">0</definedName>
    <definedName name="dmt_3">0</definedName>
    <definedName name="dmt_30">0</definedName>
    <definedName name="dmt_31">0</definedName>
    <definedName name="dmt_32">0</definedName>
    <definedName name="dmt_33">0</definedName>
    <definedName name="dmt_34">0</definedName>
    <definedName name="dmt_35">0</definedName>
    <definedName name="dmt_36">0</definedName>
    <definedName name="dmt_37">0</definedName>
    <definedName name="dmt_38">0</definedName>
    <definedName name="dmt_39">0</definedName>
    <definedName name="dmt_4">0</definedName>
    <definedName name="dmt_40">0</definedName>
    <definedName name="DMT_400" localSheetId="1">#REF!</definedName>
    <definedName name="DMT_400">#REF!</definedName>
    <definedName name="DMT_400_600">#REF!</definedName>
    <definedName name="dmt_5">0</definedName>
    <definedName name="DMT_50" localSheetId="1">#REF!</definedName>
    <definedName name="DMT_50">#REF!</definedName>
    <definedName name="DMT_50_200">#REF!</definedName>
    <definedName name="dmt_6">0</definedName>
    <definedName name="DMT_600" localSheetId="1">#REF!</definedName>
    <definedName name="DMT_600">#REF!</definedName>
    <definedName name="dmt_7">0</definedName>
    <definedName name="dmt_8">0</definedName>
    <definedName name="DMT_800" localSheetId="1">#REF!</definedName>
    <definedName name="DMT_800">#REF!</definedName>
    <definedName name="dmt_9">0</definedName>
    <definedName name="DPRE" localSheetId="1">#REF!</definedName>
    <definedName name="DPRE">#REF!</definedName>
    <definedName name="drena">#REF!</definedName>
    <definedName name="EEE" localSheetId="1">#REF!</definedName>
    <definedName name="EEE">#REF!</definedName>
    <definedName name="EEF" localSheetId="1">#REF!</definedName>
    <definedName name="EEF">#REF!</definedName>
    <definedName name="EEG" localSheetId="1">#REF!</definedName>
    <definedName name="EEG">#REF!</definedName>
    <definedName name="EEH" localSheetId="1">#REF!</definedName>
    <definedName name="EEH">#REF!</definedName>
    <definedName name="EEI" localSheetId="1">#REF!</definedName>
    <definedName name="EEI">#REF!</definedName>
    <definedName name="Eletricista_F_C" localSheetId="1">#REF!</definedName>
    <definedName name="Eletricista_F_C">#REF!</definedName>
    <definedName name="Eletricista_FC" localSheetId="1">#REF!</definedName>
    <definedName name="Eletricista_FC">#REF!</definedName>
    <definedName name="Eletricista_Mo" localSheetId="1">#REF!</definedName>
    <definedName name="Eletricista_Mo">#REF!</definedName>
    <definedName name="Eletricista_Mont" localSheetId="1">#REF!</definedName>
    <definedName name="Eletricista_Mont">#REF!</definedName>
    <definedName name="EletricistaFC" localSheetId="1">#REF!</definedName>
    <definedName name="EletricistaFC">#REF!</definedName>
    <definedName name="Empo">#REF!</definedName>
    <definedName name="Empolamento">#REF!</definedName>
    <definedName name="Encanador" localSheetId="1">#REF!</definedName>
    <definedName name="Encanador">#REF!</definedName>
    <definedName name="Encarregado" localSheetId="1">#REF!</definedName>
    <definedName name="Encarregado">#REF!</definedName>
    <definedName name="EntraCatServ">#REF!</definedName>
    <definedName name="EntraCodServ">#REF!</definedName>
    <definedName name="EntraEquip1">#REF!</definedName>
    <definedName name="EntraEquip10">#REF!</definedName>
    <definedName name="EntraEquip11">#REF!</definedName>
    <definedName name="EntraEquip2">#REF!</definedName>
    <definedName name="EntraEquip3">#REF!</definedName>
    <definedName name="EntraEquip4">#REF!</definedName>
    <definedName name="EntraEquip5">#REF!</definedName>
    <definedName name="EntraEquip6">#REF!</definedName>
    <definedName name="EntraEquip7">#REF!</definedName>
    <definedName name="EntraEquip8">#REF!</definedName>
    <definedName name="EntraEquip9">#REF!</definedName>
    <definedName name="EntraPEquip">#REF!</definedName>
    <definedName name="EntraServ">#REF!</definedName>
    <definedName name="EntraServAlt" localSheetId="1">#REF!</definedName>
    <definedName name="EntraServAlt">#REF!</definedName>
    <definedName name="EntraUnid">#REF!</definedName>
    <definedName name="EPVT" localSheetId="1">#REF!</definedName>
    <definedName name="EPVT">#REF!</definedName>
    <definedName name="EQPTO" localSheetId="1">#REF!</definedName>
    <definedName name="EQPTO">#REF!</definedName>
    <definedName name="Equipamento" localSheetId="1">#REF!</definedName>
    <definedName name="Equipamento">#REF!</definedName>
    <definedName name="erer" localSheetId="1">#REF!</definedName>
    <definedName name="erer">#REF!</definedName>
    <definedName name="erew" localSheetId="1">#REF!</definedName>
    <definedName name="erew">#REF!</definedName>
    <definedName name="Escavadeira_Hidráulica__Caterpillar__320L___c__est.___cap_600l" localSheetId="1">#REF!</definedName>
    <definedName name="Escavadeira_Hidráulica__Caterpillar__320L___c__est.___cap_600l">#REF!</definedName>
    <definedName name="Esmerilhador" localSheetId="1">#REF!</definedName>
    <definedName name="Esmerilhador">#REF!</definedName>
    <definedName name="est" localSheetId="1">#REF!</definedName>
    <definedName name="est">#REF!</definedName>
    <definedName name="Excel_BuiltIn__FilterDatabase_3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4" localSheetId="1">#REF!</definedName>
    <definedName name="Excel_BuiltIn_Print_Area_1_4">#REF!</definedName>
    <definedName name="Excel_BuiltIn_Print_Area_2" localSheetId="1">#REF!</definedName>
    <definedName name="Excel_BuiltIn_Print_Area_2">#REF!</definedName>
    <definedName name="Excel_BuiltIn_Print_Area_2_1" localSheetId="1">#REF!</definedName>
    <definedName name="Excel_BuiltIn_Print_Area_2_1">#REF!</definedName>
    <definedName name="Excel_BuiltIn_Print_Area_3" localSheetId="1">#REF!</definedName>
    <definedName name="Excel_BuiltIn_Print_Area_3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4" localSheetId="1">#REF!</definedName>
    <definedName name="Excel_BuiltIn_Print_Titles_1_1_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2_4" localSheetId="1">#REF!</definedName>
    <definedName name="Excel_BuiltIn_Print_Titles_2_4">#REF!</definedName>
    <definedName name="faixa">#REF!</definedName>
    <definedName name="faixa2">#REF!</definedName>
    <definedName name="FFF" localSheetId="1">#REF!</definedName>
    <definedName name="FFF">#REF!</definedName>
    <definedName name="FFG" localSheetId="1">#REF!</definedName>
    <definedName name="FFG">#REF!</definedName>
    <definedName name="FFH" localSheetId="1">#REF!</definedName>
    <definedName name="FFH">#REF!</definedName>
    <definedName name="FFI" localSheetId="1">#REF!</definedName>
    <definedName name="FFI">#REF!</definedName>
    <definedName name="FINAL" localSheetId="1">#REF!</definedName>
    <definedName name="FINAL">#REF!</definedName>
    <definedName name="firma2" localSheetId="1">#REF!</definedName>
    <definedName name="firma2">#REF!</definedName>
    <definedName name="FORNECEDOR" localSheetId="1">#REF!</definedName>
    <definedName name="FORNECEDOR">#REF!</definedName>
    <definedName name="FRT" localSheetId="1">#REF!</definedName>
    <definedName name="FRT">#REF!</definedName>
    <definedName name="Funileiro" localSheetId="1">#REF!</definedName>
    <definedName name="Funileiro">#REF!</definedName>
    <definedName name="gg" localSheetId="1">#REF!</definedName>
    <definedName name="gg">#REF!</definedName>
    <definedName name="GGG" localSheetId="1">#REF!</definedName>
    <definedName name="GGG">#REF!</definedName>
    <definedName name="GGH" localSheetId="1">#REF!</definedName>
    <definedName name="GGH">#REF!</definedName>
    <definedName name="GGI" localSheetId="1">#REF!</definedName>
    <definedName name="GGI">#REF!</definedName>
    <definedName name="GGJ" localSheetId="1">#REF!</definedName>
    <definedName name="GGJ">#REF!</definedName>
    <definedName name="GRAMA">#REF!</definedName>
    <definedName name="grt" localSheetId="1">#REF!</definedName>
    <definedName name="grt">#REF!</definedName>
    <definedName name="h">#REF!</definedName>
    <definedName name="HHH" localSheetId="1">#REF!</definedName>
    <definedName name="HHH">#REF!</definedName>
    <definedName name="HHI" localSheetId="1">#REF!</definedName>
    <definedName name="HHI">#REF!</definedName>
    <definedName name="HHJ" localSheetId="1">#REF!</definedName>
    <definedName name="HHJ">#REF!</definedName>
    <definedName name="HHK" localSheetId="1">#REF!</definedName>
    <definedName name="HHK">#REF!</definedName>
    <definedName name="Horas_Ano" localSheetId="1">#REF!</definedName>
    <definedName name="Horas_Ano">#REF!</definedName>
    <definedName name="I" localSheetId="1">#REF!</definedName>
    <definedName name="I">#REF!</definedName>
    <definedName name="III" localSheetId="1">#REF!</definedName>
    <definedName name="III">#REF!</definedName>
    <definedName name="IIIA" localSheetId="1">#REF!</definedName>
    <definedName name="IIIA">#REF!</definedName>
    <definedName name="IMP_03" localSheetId="1">#REF!</definedName>
    <definedName name="IMP_03">#REF!</definedName>
    <definedName name="indi_33">#REF!</definedName>
    <definedName name="INDI22">#REF!</definedName>
    <definedName name="inf">#REF!</definedName>
    <definedName name="inic">#REF!</definedName>
    <definedName name="InicioAbrServ" localSheetId="1">#REF!</definedName>
    <definedName name="InicioAbrServ">#REF!</definedName>
    <definedName name="InicioAbrServTransp" localSheetId="1">#REF!</definedName>
    <definedName name="InicioAbrServTransp">#REF!</definedName>
    <definedName name="InicioCompGeral" localSheetId="1">#REF!</definedName>
    <definedName name="InicioCompGeral">#REF!</definedName>
    <definedName name="InicioDescAuternat" localSheetId="1">#REF!</definedName>
    <definedName name="InicioDescAuternat">#REF!</definedName>
    <definedName name="InicioDescr." localSheetId="1">#REF!</definedName>
    <definedName name="InicioDescr.">#REF!</definedName>
    <definedName name="InicioEquip." localSheetId="1">#REF!</definedName>
    <definedName name="InicioEquip.">#REF!</definedName>
    <definedName name="InicioItem" localSheetId="1">#REF!</definedName>
    <definedName name="InicioItem">#REF!</definedName>
    <definedName name="InicioMat" localSheetId="1">#REF!</definedName>
    <definedName name="InicioMat">#REF!</definedName>
    <definedName name="InicioNomeEquip" localSheetId="1">#REF!</definedName>
    <definedName name="InicioNomeEquip">#REF!</definedName>
    <definedName name="InicioNomeMat" localSheetId="1">#REF!</definedName>
    <definedName name="InicioNomeMat">#REF!</definedName>
    <definedName name="InicioNomeMO" localSheetId="1">#REF!</definedName>
    <definedName name="InicioNomeMO">#REF!</definedName>
    <definedName name="InicioNomeTransp" localSheetId="1">#REF!</definedName>
    <definedName name="InicioNomeTransp">#REF!</definedName>
    <definedName name="InicioOrgãoPlanServ" localSheetId="1">#REF!</definedName>
    <definedName name="InicioOrgãoPlanServ">#REF!</definedName>
    <definedName name="InicioTDCompGeral" localSheetId="1">#REF!</definedName>
    <definedName name="InicioTDCompGeral">#REF!</definedName>
    <definedName name="InicioTDIns" localSheetId="1">#REF!</definedName>
    <definedName name="InicioTDIns">#REF!</definedName>
    <definedName name="InicioTipoTransp" localSheetId="1">#REF!</definedName>
    <definedName name="InicioTipoTransp">#REF!</definedName>
    <definedName name="insp_comment" localSheetId="1">#REF!</definedName>
    <definedName name="insp_comment">#REF!</definedName>
    <definedName name="insp_high" localSheetId="1">#REF!</definedName>
    <definedName name="insp_high">#REF!</definedName>
    <definedName name="insp_low" localSheetId="1">#REF!</definedName>
    <definedName name="insp_low">#REF!</definedName>
    <definedName name="insp_sheet_deg" localSheetId="1">#REF!</definedName>
    <definedName name="insp_sheet_deg">#REF!</definedName>
    <definedName name="insp_sheet_length" localSheetId="1">#REF!</definedName>
    <definedName name="insp_sheet_length">#REF!</definedName>
    <definedName name="insp_sheet_passes" localSheetId="1">#REF!</definedName>
    <definedName name="insp_sheet_passes">#REF!</definedName>
    <definedName name="insp_sheet_track" localSheetId="1">#REF!</definedName>
    <definedName name="insp_sheet_track">#REF!</definedName>
    <definedName name="Instr_Controle" localSheetId="1">#REF!</definedName>
    <definedName name="Instr_Controle">#REF!</definedName>
    <definedName name="Instrum_Con" localSheetId="1">#REF!</definedName>
    <definedName name="Instrum_Con">#REF!</definedName>
    <definedName name="Instrum_Controle" localSheetId="1">#REF!</definedName>
    <definedName name="Instrum_Controle">#REF!</definedName>
    <definedName name="Instrum_Mo" localSheetId="1">#REF!</definedName>
    <definedName name="Instrum_Mo">#REF!</definedName>
    <definedName name="Instrum_Montador" localSheetId="1">#REF!</definedName>
    <definedName name="Instrum_Montador">#REF!</definedName>
    <definedName name="Instrum_Tubista" localSheetId="1">#REF!</definedName>
    <definedName name="Instrum_Tubista">#REF!</definedName>
    <definedName name="INSUMOS">#REF!</definedName>
    <definedName name="Isolador" localSheetId="1">#REF!</definedName>
    <definedName name="Isolador">#REF!</definedName>
    <definedName name="ITEM" localSheetId="1">#REF!</definedName>
    <definedName name="ITEM">#REF!</definedName>
    <definedName name="item1">#REF!</definedName>
    <definedName name="item3">#REF!</definedName>
    <definedName name="item4">#REF!</definedName>
    <definedName name="J" localSheetId="1">#REF!</definedName>
    <definedName name="J">#REF!</definedName>
    <definedName name="J45A45149150" localSheetId="1">#REF!</definedName>
    <definedName name="J45A45149150">#REF!</definedName>
    <definedName name="Jatista" localSheetId="1">#REF!</definedName>
    <definedName name="Jatista">#REF!</definedName>
    <definedName name="JJJ" localSheetId="1">#REF!</definedName>
    <definedName name="JJJ">#REF!</definedName>
    <definedName name="JJJA" localSheetId="1">#REF!</definedName>
    <definedName name="JJJA">#REF!</definedName>
    <definedName name="JOSE">#REF!</definedName>
    <definedName name="Juros" localSheetId="1">#REF!</definedName>
    <definedName name="Juros">#REF!</definedName>
    <definedName name="K" localSheetId="1">#REF!</definedName>
    <definedName name="K">#REF!</definedName>
    <definedName name="KKK" localSheetId="1">#REF!</definedName>
    <definedName name="KKK">#REF!</definedName>
    <definedName name="KKKA" localSheetId="1">#REF!</definedName>
    <definedName name="KKKA">#REF!</definedName>
    <definedName name="koae">#REF!</definedName>
    <definedName name="kpavi">#REF!</definedName>
    <definedName name="kterra">#REF!</definedName>
    <definedName name="Laminador" localSheetId="1">#REF!</definedName>
    <definedName name="Laminador">#REF!</definedName>
    <definedName name="LEIS" localSheetId="1">#REF!</definedName>
    <definedName name="LEIS">#REF!</definedName>
    <definedName name="limcount" hidden="1">2</definedName>
    <definedName name="Linha1Equip" localSheetId="1">#REF!</definedName>
    <definedName name="Linha1Equip">#REF!</definedName>
    <definedName name="Linha1Material" localSheetId="1">#REF!</definedName>
    <definedName name="Linha1Material">#REF!</definedName>
    <definedName name="linha1Mobra" localSheetId="1">#REF!</definedName>
    <definedName name="linha1Mobra">#REF!</definedName>
    <definedName name="LISTA_NUM_CONTRATOS" localSheetId="1">#REF!</definedName>
    <definedName name="LISTA_NUM_CONTRATOS">#REF!</definedName>
    <definedName name="ListaAbrServ">#REF!</definedName>
    <definedName name="ListaCod">#REF!</definedName>
    <definedName name="LLL" localSheetId="1">#REF!</definedName>
    <definedName name="LLL">#REF!</definedName>
    <definedName name="LLLA" localSheetId="1">#REF!</definedName>
    <definedName name="LLLA">#REF!</definedName>
    <definedName name="Local">#REF!</definedName>
    <definedName name="LOP" localSheetId="1">#REF!</definedName>
    <definedName name="LOP">#REF!</definedName>
    <definedName name="Lotação">#REF!</definedName>
    <definedName name="lote02">#REF!</definedName>
    <definedName name="LOTE03" localSheetId="1">#REF!</definedName>
    <definedName name="LOTE03">#REF!</definedName>
    <definedName name="M" localSheetId="1">#REF!</definedName>
    <definedName name="M">#REF!</definedName>
    <definedName name="Maçariqueiro" localSheetId="1">#REF!</definedName>
    <definedName name="Maçariqueiro">#REF!</definedName>
    <definedName name="MACROS" localSheetId="1">#REF!</definedName>
    <definedName name="MACROS">#REF!</definedName>
    <definedName name="Manutenção" localSheetId="1">#REF!</definedName>
    <definedName name="Manutenção">#REF!</definedName>
    <definedName name="Mão_de_Obra" localSheetId="1">#REF!</definedName>
    <definedName name="Mão_de_Obra">#REF!</definedName>
    <definedName name="maria">#REF!</definedName>
    <definedName name="MAT" localSheetId="1">#REF!</definedName>
    <definedName name="MAT">#REF!</definedName>
    <definedName name="MatLinhaFormula" localSheetId="1">#REF!</definedName>
    <definedName name="MatLinhaFormula">#REF!</definedName>
    <definedName name="MatrizCompAux">#REF!</definedName>
    <definedName name="MATRIZlimpa" localSheetId="1">#REF!</definedName>
    <definedName name="MATRIZlimpa">#REF!</definedName>
    <definedName name="Mecanico_Aj" localSheetId="1">#REF!</definedName>
    <definedName name="Mecanico_Aj">#REF!</definedName>
    <definedName name="Mecânico_Ajust" localSheetId="1">#REF!</definedName>
    <definedName name="Mecânico_Ajust">#REF!</definedName>
    <definedName name="Mecanico_Mon" localSheetId="1">#REF!</definedName>
    <definedName name="Mecanico_Mon">#REF!</definedName>
    <definedName name="Mecânico_Mont" localSheetId="1">#REF!</definedName>
    <definedName name="Mecânico_Mont">#REF!</definedName>
    <definedName name="MED" localSheetId="1">#REF!</definedName>
    <definedName name="MED">#REF!</definedName>
    <definedName name="MEDAGOREAL">#REF!</definedName>
    <definedName name="MedEquip">#REF!</definedName>
    <definedName name="MEDIÇÃO" localSheetId="1">#REF!</definedName>
    <definedName name="MEDIÇÃO">#REF!</definedName>
    <definedName name="MEIO_FIO">#REF!</definedName>
    <definedName name="MMM" localSheetId="1">#REF!</definedName>
    <definedName name="MMM">#REF!</definedName>
    <definedName name="MMMA" localSheetId="1">#REF!</definedName>
    <definedName name="MMMA">#REF!</definedName>
    <definedName name="MO" localSheetId="1">#REF!</definedName>
    <definedName name="MO">#REF!</definedName>
    <definedName name="mo_base">#REF!</definedName>
    <definedName name="mo_sub_base">#REF!</definedName>
    <definedName name="MOE" localSheetId="1">#REF!</definedName>
    <definedName name="MOE">#REF!</definedName>
    <definedName name="MOH" localSheetId="1">#REF!</definedName>
    <definedName name="MOH">#REF!</definedName>
    <definedName name="Montador" localSheetId="1">#REF!</definedName>
    <definedName name="Montador">#REF!</definedName>
    <definedName name="mp_inc" localSheetId="1">#REF!</definedName>
    <definedName name="mp_inc">#REF!</definedName>
    <definedName name="nei">#REF!</definedName>
    <definedName name="num_linhas" localSheetId="1">#REF!</definedName>
    <definedName name="num_linhas">#REF!</definedName>
    <definedName name="Número" localSheetId="1">#REF!</definedName>
    <definedName name="Número">#REF!</definedName>
    <definedName name="OAC" localSheetId="1">#REF!</definedName>
    <definedName name="OAC">#REF!</definedName>
    <definedName name="OAE" localSheetId="1">#REF!</definedName>
    <definedName name="OAE">#REF!</definedName>
    <definedName name="ocom">#REF!</definedName>
    <definedName name="OcultarCodAux" localSheetId="1">#REF!</definedName>
    <definedName name="OcultarCodAux">#REF!</definedName>
    <definedName name="oid" localSheetId="1">#REF!</definedName>
    <definedName name="oid">#REF!</definedName>
    <definedName name="Operação_Improdutivo" localSheetId="1">#REF!</definedName>
    <definedName name="Operação_Improdutivo">#REF!</definedName>
    <definedName name="Operação_Produtivo" localSheetId="1">#REF!</definedName>
    <definedName name="Operação_Produtivo">#REF!</definedName>
    <definedName name="OUTR" localSheetId="1">#REF!</definedName>
    <definedName name="OUTR">#REF!</definedName>
    <definedName name="P" localSheetId="1">#REF!</definedName>
    <definedName name="P">#REF!</definedName>
    <definedName name="pagani" localSheetId="1" hidden="1">{#N/A,#N/A,TRUE,"Resumo de Preços"}</definedName>
    <definedName name="pagani" hidden="1">{#N/A,#N/A,TRUE,"Resumo de Preços"}</definedName>
    <definedName name="pasta2" localSheetId="1">#REF!</definedName>
    <definedName name="pasta2">#REF!</definedName>
    <definedName name="pasta3" localSheetId="1">#REF!</definedName>
    <definedName name="pasta3">#REF!</definedName>
    <definedName name="pasta4" localSheetId="1">#REF!</definedName>
    <definedName name="pasta4">#REF!</definedName>
    <definedName name="pasta6" localSheetId="1">#REF!</definedName>
    <definedName name="pasta6">#REF!</definedName>
    <definedName name="pasta7" localSheetId="1">#REF!</definedName>
    <definedName name="pasta7">#REF!</definedName>
    <definedName name="PAV_2" localSheetId="1">#REF!</definedName>
    <definedName name="PAV_2">#REF!</definedName>
    <definedName name="PAVI">#REF!</definedName>
    <definedName name="Pedr_Refrat" localSheetId="1">#REF!</definedName>
    <definedName name="Pedr_Refrat">#REF!</definedName>
    <definedName name="Pedreiro" localSheetId="1">#REF!</definedName>
    <definedName name="Pedreiro">#REF!</definedName>
    <definedName name="Pedreiro_Ref" localSheetId="1">#REF!</definedName>
    <definedName name="Pedreiro_Ref">#REF!</definedName>
    <definedName name="Pedreiro_Refrat" localSheetId="1">#REF!</definedName>
    <definedName name="Pedreiro_Refrat">#REF!</definedName>
    <definedName name="Pintor" localSheetId="1">#REF!</definedName>
    <definedName name="Pintor">#REF!</definedName>
    <definedName name="PL_ABC" localSheetId="1">#REF!</definedName>
    <definedName name="PL_ABC">#REF!</definedName>
    <definedName name="plan275" localSheetId="1">#REF!</definedName>
    <definedName name="plan275">#REF!</definedName>
    <definedName name="planilha" localSheetId="1">#REF!</definedName>
    <definedName name="planilha">#REF!</definedName>
    <definedName name="plano">#REF!</definedName>
    <definedName name="PlanServ_A_CO" localSheetId="1">#REF!</definedName>
    <definedName name="PlanServ_A_CO">#REF!</definedName>
    <definedName name="PlaSerCod">#REF!</definedName>
    <definedName name="PlaSerCodAlf">#REF!</definedName>
    <definedName name="pm" localSheetId="1">#REF!</definedName>
    <definedName name="pm">#REF!</definedName>
    <definedName name="Potência_HP" localSheetId="1">#REF!</definedName>
    <definedName name="Potência_HP">#REF!</definedName>
    <definedName name="Potência_kW" localSheetId="1">#REF!</definedName>
    <definedName name="Potência_kW">#REF!</definedName>
    <definedName name="ppt_pistas_e_patios" localSheetId="1">#REF!</definedName>
    <definedName name="ppt_pistas_e_patios">#REF!</definedName>
    <definedName name="PREÇOTOTAL" localSheetId="1">#REF!</definedName>
    <definedName name="PREÇOTOTAL">#REF!</definedName>
    <definedName name="PreçoUnitário" localSheetId="1">#REF!</definedName>
    <definedName name="PreçoUnitário">#REF!</definedName>
    <definedName name="prefix" localSheetId="1">#REF!</definedName>
    <definedName name="prefix">#REF!</definedName>
    <definedName name="Print_Area_MI" localSheetId="1">#REF!</definedName>
    <definedName name="Print_Area_MI">#REF!</definedName>
    <definedName name="Print_Titles_MI" localSheetId="1">#REF!</definedName>
    <definedName name="Print_Titles_MI">#REF!</definedName>
    <definedName name="ProcServ" localSheetId="1">IF(#REF!="TG","TOTAL GERAL",IF(AND(ISNUMBER(#REF!),#REF!&lt;&gt;0),"Total Item "&amp;VLOOKUP(#REF!,#REF!,COLUMN(#REF!)-COLUMN(#REF!)+1,FALSE),IF(#REF!=0,0,VLOOKUP(#REF!,#REF!,#REF!,FALSE))))</definedName>
    <definedName name="ProcServ">IF(#REF!="TG","TOTAL GERAL",IF(AND(ISNUMBER(#REF!),#REF!&lt;&gt;0),"Total Item "&amp;VLOOKUP(#REF!,#REF!,COLUMN(#REF!)-COLUMN(#REF!)+1,FALSE),IF(#REF!=0,0,VLOOKUP(#REF!,#REF!,#REF!,FALSE))))</definedName>
    <definedName name="ProcvSev" localSheetId="1">IF(ISERROR(VLOOKUP(#REF!,#REF!,2,FALSE)),#REF!,VLOOKUP(#REF!,#REF!,2,FALSE))</definedName>
    <definedName name="ProcvSev">IF(ISERROR(VLOOKUP(#REF!,#REF!,2,FALSE)),#REF!,VLOOKUP(#REF!,#REF!,2,FALSE))</definedName>
    <definedName name="pssta5" localSheetId="1">#REF!</definedName>
    <definedName name="pssta5">#REF!</definedName>
    <definedName name="Q" localSheetId="1">#REF!</definedName>
    <definedName name="Q">#REF!</definedName>
    <definedName name="Q_MOI_FIS">#REF!</definedName>
    <definedName name="QQQQQ" localSheetId="1">#REF!</definedName>
    <definedName name="QQQQQ">#REF!</definedName>
    <definedName name="qualquer" localSheetId="1">#REF!</definedName>
    <definedName name="qualquer">#REF!</definedName>
    <definedName name="QUANT." localSheetId="1">#REF!</definedName>
    <definedName name="QUANT.">#REF!</definedName>
    <definedName name="QUANT_acumu">#REF!</definedName>
    <definedName name="QUANTIDADE" localSheetId="1">#REF!</definedName>
    <definedName name="QUANTIDADE">#REF!</definedName>
    <definedName name="QuantServiços" localSheetId="1">#REF!</definedName>
    <definedName name="QuantServiços">#REF!</definedName>
    <definedName name="RAFAEL" localSheetId="1" hidden="1">{#N/A,#N/A,TRUE,"Resumo de Preços"}</definedName>
    <definedName name="RAFAEL" hidden="1">{#N/A,#N/A,TRUE,"Resumo de Preços"}</definedName>
    <definedName name="rea">#REF!</definedName>
    <definedName name="REG" localSheetId="1">#REF!</definedName>
    <definedName name="REG">#REF!</definedName>
    <definedName name="Região">#REF!</definedName>
    <definedName name="REGULA">#REF!</definedName>
    <definedName name="RELACAO_SUBCONTRATADOS" localSheetId="1">#REF!</definedName>
    <definedName name="RELACAO_SUBCONTRATADOS">#REF!</definedName>
    <definedName name="RELATÓRIO_DOS_SERVIÇOS_EXECUTADOS">#REF!</definedName>
    <definedName name="rere" localSheetId="1">#REF!</definedName>
    <definedName name="rere">#REF!</definedName>
    <definedName name="rerer" localSheetId="1" hidden="1">{#N/A,#N/A,TRUE,"Resumo de Preços"}</definedName>
    <definedName name="rerer" hidden="1">{#N/A,#N/A,TRUE,"Resumo de Preços"}</definedName>
    <definedName name="resumo" localSheetId="1">#REF!</definedName>
    <definedName name="resumo">#REF!</definedName>
    <definedName name="Revestidor" localSheetId="1">#REF!</definedName>
    <definedName name="Revestidor">#REF!</definedName>
    <definedName name="robs" localSheetId="1">#REF!</definedName>
    <definedName name="robs">#REF!</definedName>
    <definedName name="rrrrrrrrrr" localSheetId="1">#REF!</definedName>
    <definedName name="rrrrrrrrrr">#REF!</definedName>
    <definedName name="salario">#REF!</definedName>
    <definedName name="saux">#REF!</definedName>
    <definedName name="scon">#REF!</definedName>
    <definedName name="sda" localSheetId="1">#REF!</definedName>
    <definedName name="sda">#REF!</definedName>
    <definedName name="seg_count" localSheetId="1">#REF!</definedName>
    <definedName name="seg_count">#REF!</definedName>
    <definedName name="seg_index" localSheetId="1">#REF!</definedName>
    <definedName name="seg_index">#REF!</definedName>
    <definedName name="sencount" hidden="1">3</definedName>
    <definedName name="Serralheiro" localSheetId="1">#REF!</definedName>
    <definedName name="Serralheiro">#REF!</definedName>
    <definedName name="SGDAGT" localSheetId="1" hidden="1">{#N/A,#N/A,TRUE,"Resumo de Preços"}</definedName>
    <definedName name="SGDAGT" hidden="1">{#N/A,#N/A,TRUE,"Resumo de Preços"}</definedName>
    <definedName name="sjp" localSheetId="1">#REF!</definedName>
    <definedName name="sjp">#REF!</definedName>
    <definedName name="Soldador_AC" localSheetId="1">#REF!</definedName>
    <definedName name="Soldador_AC">#REF!</definedName>
    <definedName name="Soldador_AC_TIG" localSheetId="1">#REF!</definedName>
    <definedName name="Soldador_AC_TIG">#REF!</definedName>
    <definedName name="Soldador_ACarb" localSheetId="1">#REF!</definedName>
    <definedName name="Soldador_ACarb">#REF!</definedName>
    <definedName name="Soldador_AI" localSheetId="1">#REF!</definedName>
    <definedName name="Soldador_AI">#REF!</definedName>
    <definedName name="Soldador_AI_TIG" localSheetId="1">#REF!</definedName>
    <definedName name="Soldador_AI_TIG">#REF!</definedName>
    <definedName name="Soldador_AInox" localSheetId="1">#REF!</definedName>
    <definedName name="Soldador_AInox">#REF!</definedName>
    <definedName name="Soldador_AL" localSheetId="1">#REF!</definedName>
    <definedName name="Soldador_AL">#REF!</definedName>
    <definedName name="Soldador_AL_TIG" localSheetId="1">#REF!</definedName>
    <definedName name="Soldador_AL_TIG">#REF!</definedName>
    <definedName name="Soldador_ALiga" localSheetId="1">#REF!</definedName>
    <definedName name="Soldador_ALiga">#REF!</definedName>
    <definedName name="Soldador_Alum" localSheetId="1">#REF!</definedName>
    <definedName name="Soldador_Alum">#REF!</definedName>
    <definedName name="Soldador_Alumínio" localSheetId="1">#REF!</definedName>
    <definedName name="Soldador_Alumínio">#REF!</definedName>
    <definedName name="Soldador_Cob" localSheetId="1">#REF!</definedName>
    <definedName name="Soldador_Cob">#REF!</definedName>
    <definedName name="Soldador_Cobre" localSheetId="1">#REF!</definedName>
    <definedName name="Soldador_Cobre">#REF!</definedName>
    <definedName name="Soldador_Est" localSheetId="1">#REF!</definedName>
    <definedName name="Soldador_Est">#REF!</definedName>
    <definedName name="Soldador_Estrut" localSheetId="1">#REF!</definedName>
    <definedName name="Soldador_Estrut">#REF!</definedName>
    <definedName name="Soldador_TIG_AC" localSheetId="1">#REF!</definedName>
    <definedName name="Soldador_TIG_AC">#REF!</definedName>
    <definedName name="Soldador_TIG_AI" localSheetId="1">#REF!</definedName>
    <definedName name="Soldador_TIG_AI">#REF!</definedName>
    <definedName name="Soldador_TIG_AL" localSheetId="1">#REF!</definedName>
    <definedName name="Soldador_TIG_AL">#REF!</definedName>
    <definedName name="sss" localSheetId="1">#REF!</definedName>
    <definedName name="sss">#REF!</definedName>
    <definedName name="T" localSheetId="1">#REF!</definedName>
    <definedName name="T">#REF!</definedName>
    <definedName name="tab092003_1">0</definedName>
    <definedName name="tab092003_10">0</definedName>
    <definedName name="tab092003_11">0</definedName>
    <definedName name="tab092003_12">0</definedName>
    <definedName name="tab092003_13">0</definedName>
    <definedName name="tab092003_14">0</definedName>
    <definedName name="tab092003_15">0</definedName>
    <definedName name="tab092003_16">0</definedName>
    <definedName name="tab092003_17">0</definedName>
    <definedName name="tab092003_18">0</definedName>
    <definedName name="tab092003_19">0</definedName>
    <definedName name="tab092003_2">0</definedName>
    <definedName name="tab092003_20">0</definedName>
    <definedName name="tab092003_21">0</definedName>
    <definedName name="tab092003_22">0</definedName>
    <definedName name="tab092003_23">0</definedName>
    <definedName name="tab092003_24">0</definedName>
    <definedName name="tab092003_25">0</definedName>
    <definedName name="tab092003_26">0</definedName>
    <definedName name="tab092003_27">0</definedName>
    <definedName name="tab092003_28">0</definedName>
    <definedName name="tab092003_29">0</definedName>
    <definedName name="tab092003_3">0</definedName>
    <definedName name="tab092003_30">0</definedName>
    <definedName name="tab092003_31">0</definedName>
    <definedName name="tab092003_32">0</definedName>
    <definedName name="tab092003_33">0</definedName>
    <definedName name="tab092003_34">0</definedName>
    <definedName name="tab092003_35">0</definedName>
    <definedName name="tab092003_36">0</definedName>
    <definedName name="tab092003_37">0</definedName>
    <definedName name="tab092003_38">0</definedName>
    <definedName name="tab092003_39">0</definedName>
    <definedName name="tab092003_4">0</definedName>
    <definedName name="tab092003_40">0</definedName>
    <definedName name="tab092003_5">0</definedName>
    <definedName name="tab092003_6">0</definedName>
    <definedName name="tab092003_7">0</definedName>
    <definedName name="tab092003_8">0</definedName>
    <definedName name="tab092003_9">0</definedName>
    <definedName name="tabder" localSheetId="1">#REF!</definedName>
    <definedName name="tabder">#REF!</definedName>
    <definedName name="TABELA">#REF!</definedName>
    <definedName name="tabela_1">0</definedName>
    <definedName name="tabela_10">0</definedName>
    <definedName name="tabela_11">0</definedName>
    <definedName name="tabela_12">0</definedName>
    <definedName name="tabela_13">0</definedName>
    <definedName name="tabela_14">0</definedName>
    <definedName name="tabela_15">0</definedName>
    <definedName name="tabela_16">0</definedName>
    <definedName name="tabela_17">0</definedName>
    <definedName name="tabela_18">0</definedName>
    <definedName name="tabela_19">0</definedName>
    <definedName name="tabela_2">0</definedName>
    <definedName name="tabela_20">0</definedName>
    <definedName name="tabela_21">0</definedName>
    <definedName name="tabela_22">0</definedName>
    <definedName name="tabela_23">0</definedName>
    <definedName name="tabela_24">0</definedName>
    <definedName name="tabela_25">0</definedName>
    <definedName name="tabela_26">0</definedName>
    <definedName name="tabela_27">0</definedName>
    <definedName name="tabela_28">0</definedName>
    <definedName name="tabela_29">0</definedName>
    <definedName name="tabela_3">0</definedName>
    <definedName name="tabela_30">0</definedName>
    <definedName name="tabela_31">0</definedName>
    <definedName name="tabela_32">0</definedName>
    <definedName name="tabela_33">0</definedName>
    <definedName name="tabela_34">0</definedName>
    <definedName name="tabela_35">0</definedName>
    <definedName name="tabela_36">0</definedName>
    <definedName name="tabela_37">0</definedName>
    <definedName name="tabela_38">0</definedName>
    <definedName name="tabela_39">0</definedName>
    <definedName name="tabela_4">0</definedName>
    <definedName name="tabela_40">0</definedName>
    <definedName name="tabela_5">0</definedName>
    <definedName name="tabela_6">0</definedName>
    <definedName name="tabela_7">0</definedName>
    <definedName name="tabela_8">0</definedName>
    <definedName name="tabela_9">0</definedName>
    <definedName name="tabela_de_mão_de_obra">#REF!</definedName>
    <definedName name="tabela_de_materiais">#REF!</definedName>
    <definedName name="tabelaPMF">"$#REF!.$L$9:$S$702"</definedName>
    <definedName name="tabelaPMF_1">0</definedName>
    <definedName name="tabelaPMF_10">0</definedName>
    <definedName name="tabelaPMF_11">0</definedName>
    <definedName name="tabelaPMF_12">0</definedName>
    <definedName name="tabelaPMF_13">0</definedName>
    <definedName name="tabelaPMF_14">0</definedName>
    <definedName name="tabelaPMF_15">0</definedName>
    <definedName name="tabelaPMF_16">0</definedName>
    <definedName name="tabelaPMF_17">0</definedName>
    <definedName name="tabelaPMF_18">0</definedName>
    <definedName name="tabelaPMF_19">0</definedName>
    <definedName name="tabelaPMF_2">0</definedName>
    <definedName name="tabelaPMF_20">0</definedName>
    <definedName name="tabelaPMF_21">0</definedName>
    <definedName name="tabelaPMF_22">0</definedName>
    <definedName name="tabelaPMF_23">0</definedName>
    <definedName name="tabelaPMF_24">0</definedName>
    <definedName name="tabelaPMF_25">0</definedName>
    <definedName name="tabelaPMF_26">0</definedName>
    <definedName name="tabelaPMF_27">0</definedName>
    <definedName name="tabelaPMF_28">0</definedName>
    <definedName name="tabelaPMF_29">0</definedName>
    <definedName name="tabelaPMF_3">0</definedName>
    <definedName name="tabelaPMF_30">0</definedName>
    <definedName name="tabelaPMF_31">0</definedName>
    <definedName name="tabelaPMF_32">0</definedName>
    <definedName name="tabelaPMF_33">0</definedName>
    <definedName name="tabelaPMF_34">0</definedName>
    <definedName name="tabelaPMF_35">0</definedName>
    <definedName name="tabelaPMF_36">0</definedName>
    <definedName name="tabelaPMF_37">0</definedName>
    <definedName name="tabelaPMF_38">0</definedName>
    <definedName name="tabelaPMF_39">0</definedName>
    <definedName name="tabelaPMF_4">0</definedName>
    <definedName name="tabelaPMF_40">0</definedName>
    <definedName name="tabelaPMF_5">0</definedName>
    <definedName name="tabelaPMF_6">0</definedName>
    <definedName name="tabelaPMF_7">0</definedName>
    <definedName name="tabelaPMF_8">0</definedName>
    <definedName name="tabelaPMF_9">0</definedName>
    <definedName name="taxa_cap">#REF!</definedName>
    <definedName name="terra">#REF!</definedName>
    <definedName name="TESTE" localSheetId="1" hidden="1">#REF!</definedName>
    <definedName name="TESTE" hidden="1">#REF!</definedName>
    <definedName name="Tipo_Casa">#REF!</definedName>
    <definedName name="Tipo_Veículo">#REF!</definedName>
    <definedName name="tm" localSheetId="1">#REF!</definedName>
    <definedName name="tm">#REF!</definedName>
    <definedName name="tmat" localSheetId="1">#REF!</definedName>
    <definedName name="tmat">#REF!</definedName>
    <definedName name="TOTA" localSheetId="1">#REF!</definedName>
    <definedName name="TOTA">#REF!</definedName>
    <definedName name="total" localSheetId="1">#REF!</definedName>
    <definedName name="total">#REF!</definedName>
    <definedName name="TotalItemOrçam" localSheetId="1">#REF!</definedName>
    <definedName name="TotalItemOrçam">#REF!</definedName>
    <definedName name="TotalParcial" localSheetId="1">#REF!</definedName>
    <definedName name="TotalParcial">#REF!</definedName>
    <definedName name="TOTB" localSheetId="1">#REF!</definedName>
    <definedName name="TOTB">#REF!</definedName>
    <definedName name="TOTC" localSheetId="1">#REF!</definedName>
    <definedName name="TOTC">#REF!</definedName>
    <definedName name="TOTD" localSheetId="1">#REF!</definedName>
    <definedName name="TOTD">#REF!</definedName>
    <definedName name="TOTE" localSheetId="1">#REF!</definedName>
    <definedName name="TOTE">#REF!</definedName>
    <definedName name="TOTF" localSheetId="1">#REF!</definedName>
    <definedName name="TOTF">#REF!</definedName>
    <definedName name="TOTG" localSheetId="1">#REF!</definedName>
    <definedName name="TOTG">#REF!</definedName>
    <definedName name="TOTH" localSheetId="1">#REF!</definedName>
    <definedName name="TOTH">#REF!</definedName>
    <definedName name="TOTI" localSheetId="1">#REF!</definedName>
    <definedName name="TOTI">#REF!</definedName>
    <definedName name="TOTJ" localSheetId="1">#REF!</definedName>
    <definedName name="TOTJ">#REF!</definedName>
    <definedName name="TOTK" localSheetId="1">#REF!</definedName>
    <definedName name="TOTK">#REF!</definedName>
    <definedName name="TOTL" localSheetId="1">#REF!</definedName>
    <definedName name="TOTL">#REF!</definedName>
    <definedName name="TOTM" localSheetId="1">#REF!</definedName>
    <definedName name="TOTM">#REF!</definedName>
    <definedName name="TOTN" localSheetId="1">#REF!</definedName>
    <definedName name="TOTN">#REF!</definedName>
    <definedName name="TOTP" localSheetId="1">#REF!</definedName>
    <definedName name="TOTP">#REF!</definedName>
    <definedName name="TOTQ" localSheetId="1">#REF!</definedName>
    <definedName name="TOTQ">#REF!</definedName>
    <definedName name="TOTRES" localSheetId="1">#REF!</definedName>
    <definedName name="TOTRES">#REF!</definedName>
    <definedName name="TRSC" localSheetId="1">#REF!</definedName>
    <definedName name="TRSC">#REF!</definedName>
    <definedName name="ts" localSheetId="1">#REF!</definedName>
    <definedName name="ts">#REF!</definedName>
    <definedName name="TT" localSheetId="1">#REF!</definedName>
    <definedName name="TT">#REF!</definedName>
    <definedName name="ttra" localSheetId="1">#REF!</definedName>
    <definedName name="ttra">#REF!</definedName>
    <definedName name="update_high" localSheetId="1">#REF!</definedName>
    <definedName name="update_high">#REF!</definedName>
    <definedName name="update_low" localSheetId="1">#REF!</definedName>
    <definedName name="update_low">#REF!</definedName>
    <definedName name="V" localSheetId="1">#REF!</definedName>
    <definedName name="V">#REF!</definedName>
    <definedName name="VALOR">#REF!</definedName>
    <definedName name="Valor_Aquisição" localSheetId="1">#REF!</definedName>
    <definedName name="Valor_Aquisição">#REF!</definedName>
    <definedName name="Valor_Diesel" localSheetId="1">#REF!</definedName>
    <definedName name="Valor_Diesel">#REF!</definedName>
    <definedName name="Valor_Residual" localSheetId="1">#REF!</definedName>
    <definedName name="Valor_Residual">#REF!</definedName>
    <definedName name="Vida_Útil" localSheetId="1">#REF!</definedName>
    <definedName name="Vida_Útil">#REF!</definedName>
    <definedName name="VOL_MASSA">#REF!</definedName>
    <definedName name="wewqw" localSheetId="1">#REF!</definedName>
    <definedName name="wewqw">#REF!</definedName>
    <definedName name="wrn.Relatório._.01." localSheetId="1" hidden="1">{#N/A,#N/A,TRUE,"Resumo de Preços"}</definedName>
    <definedName name="wrn.Relatório._.01." hidden="1">{#N/A,#N/A,TRUE,"Resumo de Preços"}</definedName>
    <definedName name="wrn.Relatório.1_.01." localSheetId="1" hidden="1">{#N/A,#N/A,TRUE,"Resumo de Preços"}</definedName>
    <definedName name="wrn.Relatório.1_.01." hidden="1">{#N/A,#N/A,TRUE,"Resumo de Preços"}</definedName>
    <definedName name="WRN.RELATORIO.2_01." localSheetId="1" hidden="1">{#N/A,#N/A,TRUE,"Resumo de Preços"}</definedName>
    <definedName name="WRN.RELATORIO.2_01." hidden="1">{#N/A,#N/A,TRUE,"Resumo de Preços"}</definedName>
    <definedName name="WW" localSheetId="1">#REF!</definedName>
    <definedName name="WW">#REF!</definedName>
    <definedName name="www" localSheetId="1">#REF!</definedName>
    <definedName name="www">#REF!</definedName>
    <definedName name="wwww" localSheetId="1">#REF!</definedName>
    <definedName name="wwww">#REF!</definedName>
    <definedName name="xapagar1">#REF!</definedName>
    <definedName name="xapagar8">#REF!</definedName>
    <definedName name="xApagar9">#REF!</definedName>
    <definedName name="XapagarCatServ">#REF!</definedName>
    <definedName name="XApagarNomeServ">#REF!</definedName>
    <definedName name="XapagarUnidServ">#REF!</definedName>
    <definedName name="xx" localSheetId="1">#REF!</definedName>
    <definedName name="xx">#REF!</definedName>
    <definedName name="xxx" localSheetId="1">#REF!</definedName>
    <definedName name="xxx">#REF!</definedName>
    <definedName name="Z_3B80DBF4_56CD_41A2_8BB2_E6500AE63509_.wvu.PrintArea" localSheetId="1" hidden="1">BDI!$A$1:$E$17</definedName>
    <definedName name="Z_3B80DBF4_56CD_41A2_8BB2_E6500AE63509_.wvu.Rows" localSheetId="1" hidden="1">BDI!#REF!</definedName>
    <definedName name="Z_9E98BFD7_F269_47A3_9B66_CB5560330FBB_.wvu.PrintArea" localSheetId="1" hidden="1">BDI!$A$1:$E$17</definedName>
    <definedName name="Z_9E98BFD7_F269_47A3_9B66_CB5560330FBB_.wvu.Rows" localSheetId="1" hidden="1">BDI!#REF!</definedName>
    <definedName name="Z_BFA41300_6EEA_421C_8501_2FF91E442E28_.wvu.PrintArea" localSheetId="1" hidden="1">BDI!$A$1:$E$17</definedName>
    <definedName name="Z_BFA41300_6EEA_421C_8501_2FF91E442E28_.wvu.Rows" localSheetId="1" hidden="1">BDI!#REF!</definedName>
    <definedName name="zsv" localSheetId="1">#REF!</definedName>
    <definedName name="zsv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63" l="1"/>
  <c r="I30" i="243"/>
  <c r="I34" i="210"/>
  <c r="I29" i="234"/>
  <c r="I31" i="232"/>
  <c r="I29" i="229"/>
  <c r="I30" i="228"/>
  <c r="I30" i="227"/>
  <c r="I31" i="225"/>
  <c r="I31" i="224"/>
  <c r="I30" i="223"/>
  <c r="I30" i="222"/>
  <c r="I29" i="220"/>
  <c r="I35" i="218"/>
  <c r="I30" i="217"/>
  <c r="I27" i="215"/>
  <c r="I34" i="212"/>
  <c r="I35" i="209"/>
  <c r="I32" i="208"/>
  <c r="I34" i="163"/>
  <c r="A3" i="234" l="1"/>
  <c r="B3" i="243"/>
  <c r="E3" i="243"/>
  <c r="A3" i="243"/>
  <c r="B3" i="210"/>
  <c r="E3" i="210"/>
  <c r="A3" i="210"/>
  <c r="B3" i="241"/>
  <c r="E3" i="241"/>
  <c r="A3" i="241"/>
  <c r="B3" i="239"/>
  <c r="E3" i="239"/>
  <c r="A3" i="239"/>
  <c r="B3" i="238"/>
  <c r="E3" i="238"/>
  <c r="A3" i="238"/>
  <c r="B3" i="237"/>
  <c r="E3" i="237"/>
  <c r="A3" i="237"/>
  <c r="B3" i="234"/>
  <c r="E3" i="234"/>
  <c r="E3" i="233"/>
  <c r="B3" i="233"/>
  <c r="A3" i="233"/>
  <c r="B3" i="232"/>
  <c r="E3" i="232"/>
  <c r="A3" i="232"/>
  <c r="B3" i="231"/>
  <c r="E3" i="231"/>
  <c r="A3" i="231"/>
  <c r="H29" i="243"/>
  <c r="H33" i="210"/>
  <c r="H26" i="241"/>
  <c r="H25" i="239"/>
  <c r="H25" i="238"/>
  <c r="H26" i="237"/>
  <c r="H28" i="234"/>
  <c r="H30" i="233"/>
  <c r="H30" i="232"/>
  <c r="H26" i="231"/>
  <c r="H26" i="230"/>
  <c r="B3" i="230"/>
  <c r="E3" i="230"/>
  <c r="A3" i="230"/>
  <c r="E3" i="229"/>
  <c r="B3" i="229"/>
  <c r="A3" i="229"/>
  <c r="H28" i="229"/>
  <c r="H29" i="228"/>
  <c r="E3" i="228"/>
  <c r="B3" i="228"/>
  <c r="A3" i="228"/>
  <c r="H29" i="227"/>
  <c r="B3" i="227"/>
  <c r="E3" i="227"/>
  <c r="A3" i="227"/>
  <c r="E3" i="225"/>
  <c r="B3" i="225"/>
  <c r="A3" i="225"/>
  <c r="H30" i="225"/>
  <c r="C12" i="224"/>
  <c r="H30" i="224"/>
  <c r="E3" i="224"/>
  <c r="B3" i="224"/>
  <c r="A3" i="224"/>
  <c r="H29" i="223"/>
  <c r="E3" i="223"/>
  <c r="B3" i="223"/>
  <c r="A3" i="223"/>
  <c r="E3" i="222"/>
  <c r="B3" i="222"/>
  <c r="A3" i="222"/>
  <c r="H29" i="222"/>
  <c r="H26" i="221"/>
  <c r="E3" i="221"/>
  <c r="B3" i="221"/>
  <c r="A3" i="221"/>
  <c r="H27" i="220"/>
  <c r="E3" i="220"/>
  <c r="B3" i="220"/>
  <c r="A3" i="220"/>
  <c r="H32" i="219"/>
  <c r="E3" i="219"/>
  <c r="B3" i="219"/>
  <c r="A3" i="219"/>
  <c r="E3" i="218"/>
  <c r="B3" i="218"/>
  <c r="A3" i="218"/>
  <c r="E3" i="217"/>
  <c r="B3" i="217"/>
  <c r="A3" i="217"/>
  <c r="E3" i="216"/>
  <c r="B3" i="216"/>
  <c r="A3" i="216"/>
  <c r="H33" i="218"/>
  <c r="H28" i="217"/>
  <c r="H32" i="216"/>
  <c r="H26" i="215"/>
  <c r="H32" i="212"/>
  <c r="E3" i="215"/>
  <c r="B3" i="215"/>
  <c r="A3" i="215"/>
  <c r="E3" i="213"/>
  <c r="B3" i="213"/>
  <c r="A3" i="213"/>
  <c r="E3" i="212"/>
  <c r="B3" i="212"/>
  <c r="A3" i="212"/>
  <c r="H32" i="211"/>
  <c r="H33" i="209"/>
  <c r="H94" i="9" l="1"/>
  <c r="I14" i="241" s="1"/>
  <c r="G14" i="241" s="1"/>
  <c r="C16" i="229"/>
  <c r="C14" i="229"/>
  <c r="H89" i="9"/>
  <c r="G16" i="229" s="1"/>
  <c r="U70" i="9"/>
  <c r="C18" i="205"/>
  <c r="C18" i="206"/>
  <c r="C17" i="158"/>
  <c r="G17" i="206"/>
  <c r="I17" i="206" s="1"/>
  <c r="G17" i="205"/>
  <c r="I17" i="205" s="1"/>
  <c r="F69" i="9"/>
  <c r="K61" i="9" s="1"/>
  <c r="L61" i="9" s="1"/>
  <c r="H62" i="9"/>
  <c r="J62" i="9" s="1"/>
  <c r="H61" i="9"/>
  <c r="J61" i="9" s="1"/>
  <c r="H60" i="9"/>
  <c r="J60" i="9" s="1"/>
  <c r="K62" i="9" l="1"/>
  <c r="L62" i="9" s="1"/>
  <c r="M62" i="9" s="1"/>
  <c r="G18" i="206" s="1"/>
  <c r="I18" i="206" s="1"/>
  <c r="I16" i="206" s="1"/>
  <c r="M61" i="9"/>
  <c r="G18" i="205" s="1"/>
  <c r="I18" i="205" s="1"/>
  <c r="I16" i="205" s="1"/>
  <c r="K60" i="9"/>
  <c r="L60" i="9" s="1"/>
  <c r="M60" i="9" l="1"/>
  <c r="G17" i="158" s="1"/>
  <c r="I17" i="158" s="1"/>
  <c r="C27" i="243"/>
  <c r="C26" i="243"/>
  <c r="G27" i="243"/>
  <c r="G31" i="210"/>
  <c r="C31" i="210"/>
  <c r="C30" i="210"/>
  <c r="C26" i="234"/>
  <c r="C25" i="234"/>
  <c r="C28" i="232"/>
  <c r="C27" i="232"/>
  <c r="C26" i="229"/>
  <c r="C25" i="229"/>
  <c r="C27" i="228"/>
  <c r="C26" i="228"/>
  <c r="G26" i="234"/>
  <c r="G28" i="232"/>
  <c r="G26" i="229"/>
  <c r="G27" i="228"/>
  <c r="G27" i="227"/>
  <c r="G28" i="225"/>
  <c r="G28" i="224"/>
  <c r="G27" i="223"/>
  <c r="G27" i="222"/>
  <c r="C27" i="227"/>
  <c r="C26" i="227"/>
  <c r="C28" i="225"/>
  <c r="C27" i="225"/>
  <c r="C28" i="224"/>
  <c r="C27" i="224"/>
  <c r="C27" i="223"/>
  <c r="C26" i="223"/>
  <c r="C27" i="222"/>
  <c r="C26" i="222"/>
  <c r="C25" i="220"/>
  <c r="C24" i="220"/>
  <c r="G25" i="220"/>
  <c r="G31" i="218"/>
  <c r="C31" i="218"/>
  <c r="C30" i="218"/>
  <c r="C26" i="217"/>
  <c r="C25" i="217"/>
  <c r="G26" i="217"/>
  <c r="G24" i="215"/>
  <c r="G30" i="212"/>
  <c r="G31" i="209"/>
  <c r="G29" i="208"/>
  <c r="C24" i="215"/>
  <c r="C23" i="215"/>
  <c r="C30" i="212"/>
  <c r="C29" i="212"/>
  <c r="C31" i="209"/>
  <c r="C30" i="209"/>
  <c r="C29" i="208"/>
  <c r="C28" i="208"/>
  <c r="C31" i="163"/>
  <c r="C30" i="163"/>
  <c r="C18" i="163"/>
  <c r="C15" i="205"/>
  <c r="C14" i="205"/>
  <c r="G16" i="158"/>
  <c r="I16" i="158" s="1"/>
  <c r="O6" i="9"/>
  <c r="O5" i="9"/>
  <c r="O4" i="9"/>
  <c r="K6" i="9"/>
  <c r="M6" i="9" s="1"/>
  <c r="J6" i="9"/>
  <c r="L6" i="9" s="1"/>
  <c r="K5" i="9"/>
  <c r="M5" i="9" s="1"/>
  <c r="J5" i="9"/>
  <c r="L5" i="9" s="1"/>
  <c r="K4" i="9"/>
  <c r="J4" i="9"/>
  <c r="L9" i="9"/>
  <c r="N9" i="9" s="1"/>
  <c r="M9" i="9"/>
  <c r="W70" i="9"/>
  <c r="O32" i="9"/>
  <c r="G25" i="217" l="1"/>
  <c r="G30" i="209"/>
  <c r="G27" i="224"/>
  <c r="G25" i="229"/>
  <c r="G30" i="210"/>
  <c r="G28" i="208"/>
  <c r="G26" i="223"/>
  <c r="G29" i="212"/>
  <c r="G27" i="225"/>
  <c r="G27" i="232"/>
  <c r="G26" i="243"/>
  <c r="G26" i="228"/>
  <c r="G24" i="220"/>
  <c r="G30" i="163"/>
  <c r="G23" i="215"/>
  <c r="G30" i="218"/>
  <c r="G26" i="222"/>
  <c r="G26" i="227"/>
  <c r="G25" i="234"/>
  <c r="N6" i="9"/>
  <c r="N5" i="9"/>
  <c r="G14" i="229" s="1"/>
  <c r="B15" i="110"/>
  <c r="B5" i="110"/>
  <c r="F18" i="218"/>
  <c r="F8" i="218"/>
  <c r="F10" i="153"/>
  <c r="Q5" i="9" l="1"/>
  <c r="G18" i="163"/>
  <c r="P6" i="9"/>
  <c r="H15" i="205" s="1"/>
  <c r="G15" i="205"/>
  <c r="Q6" i="9"/>
  <c r="P5" i="9"/>
  <c r="G33" i="220"/>
  <c r="G29" i="239"/>
  <c r="G29" i="238"/>
  <c r="G31" i="237"/>
  <c r="F12" i="213"/>
  <c r="F14" i="213"/>
  <c r="F13" i="213"/>
  <c r="F11" i="213"/>
  <c r="F10" i="213"/>
  <c r="F9" i="213"/>
  <c r="F8" i="213"/>
  <c r="F9" i="215"/>
  <c r="D16" i="110" l="1"/>
  <c r="F11" i="243"/>
  <c r="F10" i="243"/>
  <c r="F9" i="243"/>
  <c r="F14" i="243"/>
  <c r="F12" i="243"/>
  <c r="F8" i="243"/>
  <c r="C11" i="243"/>
  <c r="G11" i="243"/>
  <c r="H11" i="243" s="1"/>
  <c r="F34" i="243"/>
  <c r="G24" i="243"/>
  <c r="H24" i="243" s="1"/>
  <c r="F24" i="243"/>
  <c r="D24" i="243"/>
  <c r="C24" i="243"/>
  <c r="G22" i="243"/>
  <c r="H22" i="243" s="1"/>
  <c r="F22" i="243"/>
  <c r="D22" i="243"/>
  <c r="C22" i="243"/>
  <c r="G20" i="243"/>
  <c r="H20" i="243" s="1"/>
  <c r="F20" i="243"/>
  <c r="E20" i="243"/>
  <c r="D20" i="243"/>
  <c r="C20" i="243"/>
  <c r="F17" i="243"/>
  <c r="G17" i="243" s="1"/>
  <c r="F16" i="243"/>
  <c r="I16" i="243" s="1"/>
  <c r="C14" i="243"/>
  <c r="G12" i="243"/>
  <c r="H12" i="243" s="1"/>
  <c r="C12" i="243"/>
  <c r="G10" i="243"/>
  <c r="H10" i="243" s="1"/>
  <c r="C10" i="243"/>
  <c r="G9" i="243"/>
  <c r="H9" i="243" s="1"/>
  <c r="C9" i="243"/>
  <c r="G8" i="243"/>
  <c r="H8" i="243" s="1"/>
  <c r="C8" i="243"/>
  <c r="B2" i="243"/>
  <c r="A2" i="243"/>
  <c r="F33" i="243" s="1"/>
  <c r="F8" i="153"/>
  <c r="I11" i="243" l="1"/>
  <c r="I24" i="243"/>
  <c r="I27" i="243"/>
  <c r="I10" i="243"/>
  <c r="I22" i="243"/>
  <c r="I17" i="243"/>
  <c r="I9" i="243"/>
  <c r="I12" i="243"/>
  <c r="I8" i="243"/>
  <c r="I7" i="243" l="1"/>
  <c r="F9" i="220"/>
  <c r="F10" i="220"/>
  <c r="F8" i="220"/>
  <c r="F24" i="220"/>
  <c r="F12" i="220"/>
  <c r="F37" i="59"/>
  <c r="F36" i="59"/>
  <c r="F35" i="59"/>
  <c r="F34" i="59"/>
  <c r="F33" i="59"/>
  <c r="F32" i="59"/>
  <c r="F31" i="59"/>
  <c r="F30" i="59"/>
  <c r="F29" i="59"/>
  <c r="F28" i="59"/>
  <c r="F27" i="59"/>
  <c r="F26" i="59"/>
  <c r="F25" i="59"/>
  <c r="F24" i="59"/>
  <c r="F23" i="59"/>
  <c r="F22" i="59"/>
  <c r="F19" i="59"/>
  <c r="F17" i="59"/>
  <c r="F16" i="59"/>
  <c r="F14" i="59"/>
  <c r="F13" i="59"/>
  <c r="F12" i="59"/>
  <c r="B3" i="211"/>
  <c r="E3" i="211"/>
  <c r="A3" i="211"/>
  <c r="E3" i="209"/>
  <c r="B3" i="209"/>
  <c r="A3" i="209"/>
  <c r="E3" i="208"/>
  <c r="B3" i="208"/>
  <c r="A3" i="208"/>
  <c r="E3" i="207"/>
  <c r="B3" i="207"/>
  <c r="A3" i="207"/>
  <c r="F11" i="59"/>
  <c r="F10" i="59"/>
  <c r="F9" i="59"/>
  <c r="F7" i="59"/>
  <c r="E3" i="163"/>
  <c r="B3" i="163"/>
  <c r="A3" i="163"/>
  <c r="D3" i="206"/>
  <c r="B3" i="206"/>
  <c r="A3" i="206"/>
  <c r="E3" i="205"/>
  <c r="B3" i="205"/>
  <c r="A3" i="205"/>
  <c r="B3" i="153"/>
  <c r="A3" i="153"/>
  <c r="F6" i="59"/>
  <c r="F4" i="59"/>
  <c r="F8" i="241"/>
  <c r="F29" i="238"/>
  <c r="C8" i="241"/>
  <c r="G8" i="241"/>
  <c r="H8" i="241" s="1"/>
  <c r="C9" i="241"/>
  <c r="F9" i="241"/>
  <c r="G9" i="241"/>
  <c r="H9" i="241" s="1"/>
  <c r="F10" i="241"/>
  <c r="G10" i="241"/>
  <c r="H10" i="241" s="1"/>
  <c r="C12" i="241"/>
  <c r="F12" i="241"/>
  <c r="I13" i="241"/>
  <c r="C17" i="241"/>
  <c r="D17" i="241"/>
  <c r="E17" i="241"/>
  <c r="F17" i="241"/>
  <c r="G17" i="241"/>
  <c r="H17" i="241" s="1"/>
  <c r="C19" i="241"/>
  <c r="D19" i="241"/>
  <c r="F19" i="241"/>
  <c r="G19" i="241"/>
  <c r="H19" i="241" s="1"/>
  <c r="C21" i="241"/>
  <c r="D21" i="241"/>
  <c r="F21" i="241"/>
  <c r="G21" i="241"/>
  <c r="H21" i="241" s="1"/>
  <c r="I23" i="241"/>
  <c r="I24" i="241"/>
  <c r="A2" i="241"/>
  <c r="F30" i="241" s="1"/>
  <c r="B2" i="241"/>
  <c r="F29" i="239"/>
  <c r="G13" i="239"/>
  <c r="H13" i="239" s="1"/>
  <c r="F13" i="239"/>
  <c r="F9" i="239"/>
  <c r="F8" i="239"/>
  <c r="C8" i="239"/>
  <c r="G8" i="239"/>
  <c r="H8" i="239" s="1"/>
  <c r="C9" i="239"/>
  <c r="G9" i="239"/>
  <c r="H9" i="239" s="1"/>
  <c r="C11" i="239"/>
  <c r="C16" i="239"/>
  <c r="D16" i="239"/>
  <c r="E16" i="239"/>
  <c r="F16" i="239"/>
  <c r="G16" i="239"/>
  <c r="H16" i="239" s="1"/>
  <c r="C18" i="239"/>
  <c r="D18" i="239"/>
  <c r="F18" i="239"/>
  <c r="G18" i="239"/>
  <c r="H18" i="239" s="1"/>
  <c r="C20" i="239"/>
  <c r="D20" i="239"/>
  <c r="F20" i="239"/>
  <c r="G20" i="239"/>
  <c r="H20" i="239" s="1"/>
  <c r="I22" i="239"/>
  <c r="I23" i="239"/>
  <c r="A2" i="239"/>
  <c r="F28" i="239" s="1"/>
  <c r="B2" i="239"/>
  <c r="F8" i="238"/>
  <c r="C8" i="238"/>
  <c r="G8" i="238"/>
  <c r="H8" i="238" s="1"/>
  <c r="C10" i="238"/>
  <c r="F12" i="238"/>
  <c r="I12" i="238" s="1"/>
  <c r="F13" i="238"/>
  <c r="G13" i="238" s="1"/>
  <c r="C16" i="238"/>
  <c r="D16" i="238"/>
  <c r="E16" i="238"/>
  <c r="F16" i="238"/>
  <c r="G16" i="238"/>
  <c r="H16" i="238" s="1"/>
  <c r="C18" i="238"/>
  <c r="D18" i="238"/>
  <c r="F18" i="238"/>
  <c r="G18" i="238"/>
  <c r="H18" i="238" s="1"/>
  <c r="C20" i="238"/>
  <c r="D20" i="238"/>
  <c r="F20" i="238"/>
  <c r="G20" i="238"/>
  <c r="H20" i="238" s="1"/>
  <c r="I22" i="238"/>
  <c r="I23" i="238"/>
  <c r="A2" i="238"/>
  <c r="F28" i="238" s="1"/>
  <c r="B2" i="238"/>
  <c r="I24" i="237"/>
  <c r="I23" i="237"/>
  <c r="G21" i="237"/>
  <c r="H21" i="237" s="1"/>
  <c r="F21" i="237"/>
  <c r="D21" i="237"/>
  <c r="C21" i="237"/>
  <c r="G19" i="237"/>
  <c r="H19" i="237" s="1"/>
  <c r="F19" i="237"/>
  <c r="D19" i="237"/>
  <c r="C19" i="237"/>
  <c r="G17" i="237"/>
  <c r="H17" i="237" s="1"/>
  <c r="F17" i="237"/>
  <c r="E17" i="237"/>
  <c r="D17" i="237"/>
  <c r="C17" i="237"/>
  <c r="F14" i="237"/>
  <c r="I14" i="237" s="1"/>
  <c r="F13" i="237"/>
  <c r="I13" i="237" s="1"/>
  <c r="C11" i="237"/>
  <c r="G9" i="237"/>
  <c r="H9" i="237" s="1"/>
  <c r="F9" i="237"/>
  <c r="C9" i="237"/>
  <c r="G8" i="237"/>
  <c r="H8" i="237" s="1"/>
  <c r="F8" i="237"/>
  <c r="C8" i="237"/>
  <c r="B2" i="237"/>
  <c r="A2" i="237"/>
  <c r="F30" i="237" s="1"/>
  <c r="F11" i="234"/>
  <c r="F9" i="234"/>
  <c r="F8" i="234"/>
  <c r="F10" i="234"/>
  <c r="G10" i="234"/>
  <c r="H10" i="234" s="1"/>
  <c r="C10" i="234"/>
  <c r="G9" i="234"/>
  <c r="H9" i="234" s="1"/>
  <c r="C9" i="234"/>
  <c r="C8" i="234"/>
  <c r="F34" i="234"/>
  <c r="I26" i="234"/>
  <c r="G23" i="234"/>
  <c r="H23" i="234" s="1"/>
  <c r="F23" i="234"/>
  <c r="D23" i="234"/>
  <c r="C23" i="234"/>
  <c r="G21" i="234"/>
  <c r="H21" i="234" s="1"/>
  <c r="F21" i="234"/>
  <c r="D21" i="234"/>
  <c r="C21" i="234"/>
  <c r="G19" i="234"/>
  <c r="H19" i="234" s="1"/>
  <c r="F19" i="234"/>
  <c r="E19" i="234"/>
  <c r="D19" i="234"/>
  <c r="C19" i="234"/>
  <c r="F16" i="234"/>
  <c r="I16" i="234" s="1"/>
  <c r="F15" i="234"/>
  <c r="I15" i="234" s="1"/>
  <c r="C13" i="234"/>
  <c r="G11" i="234"/>
  <c r="H11" i="234" s="1"/>
  <c r="C11" i="234"/>
  <c r="G8" i="234"/>
  <c r="H8" i="234" s="1"/>
  <c r="B2" i="234"/>
  <c r="A2" i="234"/>
  <c r="F33" i="234" s="1"/>
  <c r="F13" i="233"/>
  <c r="F12" i="233"/>
  <c r="F11" i="233"/>
  <c r="F10" i="233"/>
  <c r="F9" i="233"/>
  <c r="F8" i="233"/>
  <c r="I13" i="239" l="1"/>
  <c r="I12" i="239" s="1"/>
  <c r="I8" i="237"/>
  <c r="I9" i="241"/>
  <c r="I9" i="239"/>
  <c r="I7" i="239" s="1"/>
  <c r="I18" i="238"/>
  <c r="I20" i="238"/>
  <c r="I10" i="241"/>
  <c r="I23" i="234"/>
  <c r="I19" i="237"/>
  <c r="I18" i="239"/>
  <c r="I19" i="241"/>
  <c r="I8" i="241"/>
  <c r="I8" i="238"/>
  <c r="I7" i="238" s="1"/>
  <c r="I24" i="238" s="1"/>
  <c r="I21" i="241"/>
  <c r="I8" i="239"/>
  <c r="I20" i="239"/>
  <c r="I13" i="238"/>
  <c r="I21" i="237"/>
  <c r="I9" i="237"/>
  <c r="G14" i="237"/>
  <c r="I9" i="234"/>
  <c r="I10" i="234"/>
  <c r="I11" i="234"/>
  <c r="I21" i="234"/>
  <c r="I8" i="234"/>
  <c r="G16" i="234"/>
  <c r="F34" i="233"/>
  <c r="I28" i="233"/>
  <c r="I27" i="233"/>
  <c r="G25" i="233"/>
  <c r="H25" i="233" s="1"/>
  <c r="F25" i="233"/>
  <c r="D25" i="233"/>
  <c r="C25" i="233"/>
  <c r="G23" i="233"/>
  <c r="H23" i="233" s="1"/>
  <c r="F23" i="233"/>
  <c r="D23" i="233"/>
  <c r="C23" i="233"/>
  <c r="G21" i="233"/>
  <c r="H21" i="233" s="1"/>
  <c r="F21" i="233"/>
  <c r="E21" i="233"/>
  <c r="D21" i="233"/>
  <c r="C21" i="233"/>
  <c r="F18" i="233"/>
  <c r="G18" i="233" s="1"/>
  <c r="F17" i="233"/>
  <c r="I17" i="233" s="1"/>
  <c r="F15" i="233"/>
  <c r="C15" i="233"/>
  <c r="G13" i="233"/>
  <c r="H13" i="233" s="1"/>
  <c r="I13" i="233" s="1"/>
  <c r="C13" i="233"/>
  <c r="G12" i="233"/>
  <c r="H12" i="233" s="1"/>
  <c r="I12" i="233" s="1"/>
  <c r="C12" i="233"/>
  <c r="G11" i="233"/>
  <c r="H11" i="233" s="1"/>
  <c r="I11" i="233" s="1"/>
  <c r="C11" i="233"/>
  <c r="G10" i="233"/>
  <c r="H10" i="233" s="1"/>
  <c r="I10" i="233" s="1"/>
  <c r="C10" i="233"/>
  <c r="G9" i="233"/>
  <c r="H9" i="233" s="1"/>
  <c r="I9" i="233" s="1"/>
  <c r="C9" i="233"/>
  <c r="G8" i="233"/>
  <c r="H8" i="233" s="1"/>
  <c r="I8" i="233" s="1"/>
  <c r="C8" i="233"/>
  <c r="B2" i="233"/>
  <c r="A2" i="233"/>
  <c r="F33" i="233" s="1"/>
  <c r="I16" i="229"/>
  <c r="I15" i="229" s="1"/>
  <c r="F36" i="232"/>
  <c r="I28" i="232"/>
  <c r="G25" i="232"/>
  <c r="H25" i="232" s="1"/>
  <c r="F25" i="232"/>
  <c r="D25" i="232"/>
  <c r="C25" i="232"/>
  <c r="G23" i="232"/>
  <c r="H23" i="232" s="1"/>
  <c r="F23" i="232"/>
  <c r="D23" i="232"/>
  <c r="C23" i="232"/>
  <c r="G21" i="232"/>
  <c r="H21" i="232" s="1"/>
  <c r="F21" i="232"/>
  <c r="E21" i="232"/>
  <c r="D21" i="232"/>
  <c r="C21" i="232"/>
  <c r="F18" i="232"/>
  <c r="G18" i="232" s="1"/>
  <c r="F17" i="232"/>
  <c r="I17" i="232" s="1"/>
  <c r="F15" i="232"/>
  <c r="C15" i="232"/>
  <c r="G13" i="232"/>
  <c r="H13" i="232" s="1"/>
  <c r="F13" i="232"/>
  <c r="C13" i="232"/>
  <c r="G12" i="232"/>
  <c r="H12" i="232" s="1"/>
  <c r="F12" i="232"/>
  <c r="C12" i="232"/>
  <c r="G11" i="232"/>
  <c r="H11" i="232" s="1"/>
  <c r="F11" i="232"/>
  <c r="C11" i="232"/>
  <c r="G10" i="232"/>
  <c r="H10" i="232" s="1"/>
  <c r="F10" i="232"/>
  <c r="C10" i="232"/>
  <c r="G9" i="232"/>
  <c r="H9" i="232" s="1"/>
  <c r="F9" i="232"/>
  <c r="C9" i="232"/>
  <c r="G8" i="232"/>
  <c r="H8" i="232" s="1"/>
  <c r="F8" i="232"/>
  <c r="C8" i="232"/>
  <c r="B2" i="232"/>
  <c r="A2" i="232"/>
  <c r="F35" i="232" s="1"/>
  <c r="F31" i="231"/>
  <c r="I24" i="231"/>
  <c r="I23" i="231"/>
  <c r="G21" i="231"/>
  <c r="H21" i="231" s="1"/>
  <c r="F21" i="231"/>
  <c r="D21" i="231"/>
  <c r="C21" i="231"/>
  <c r="G19" i="231"/>
  <c r="H19" i="231" s="1"/>
  <c r="F19" i="231"/>
  <c r="D19" i="231"/>
  <c r="C19" i="231"/>
  <c r="G17" i="231"/>
  <c r="H17" i="231" s="1"/>
  <c r="F17" i="231"/>
  <c r="E17" i="231"/>
  <c r="D17" i="231"/>
  <c r="C17" i="231"/>
  <c r="F14" i="231"/>
  <c r="G14" i="231" s="1"/>
  <c r="F13" i="231"/>
  <c r="I13" i="231" s="1"/>
  <c r="C11" i="231"/>
  <c r="G9" i="231"/>
  <c r="H9" i="231" s="1"/>
  <c r="F9" i="231"/>
  <c r="G8" i="231"/>
  <c r="H8" i="231" s="1"/>
  <c r="F8" i="231"/>
  <c r="C8" i="231"/>
  <c r="B2" i="231"/>
  <c r="A2" i="231"/>
  <c r="F30" i="231" s="1"/>
  <c r="F31" i="230"/>
  <c r="I24" i="230"/>
  <c r="I23" i="230"/>
  <c r="G21" i="230"/>
  <c r="H21" i="230" s="1"/>
  <c r="F21" i="230"/>
  <c r="D21" i="230"/>
  <c r="C21" i="230"/>
  <c r="G19" i="230"/>
  <c r="H19" i="230" s="1"/>
  <c r="F19" i="230"/>
  <c r="D19" i="230"/>
  <c r="C19" i="230"/>
  <c r="G17" i="230"/>
  <c r="H17" i="230" s="1"/>
  <c r="F17" i="230"/>
  <c r="E17" i="230"/>
  <c r="D17" i="230"/>
  <c r="C17" i="230"/>
  <c r="F14" i="230"/>
  <c r="I14" i="230" s="1"/>
  <c r="F13" i="230"/>
  <c r="I13" i="230" s="1"/>
  <c r="C11" i="230"/>
  <c r="G9" i="230"/>
  <c r="H9" i="230" s="1"/>
  <c r="F9" i="230"/>
  <c r="G8" i="230"/>
  <c r="H8" i="230" s="1"/>
  <c r="F8" i="230"/>
  <c r="C8" i="230"/>
  <c r="B2" i="230"/>
  <c r="A2" i="230"/>
  <c r="F30" i="230" s="1"/>
  <c r="F12" i="229"/>
  <c r="F11" i="229"/>
  <c r="F9" i="229"/>
  <c r="F34" i="229"/>
  <c r="I26" i="229"/>
  <c r="G23" i="229"/>
  <c r="H23" i="229" s="1"/>
  <c r="F23" i="229"/>
  <c r="D23" i="229"/>
  <c r="C23" i="229"/>
  <c r="G21" i="229"/>
  <c r="H21" i="229" s="1"/>
  <c r="F21" i="229"/>
  <c r="D21" i="229"/>
  <c r="C21" i="229"/>
  <c r="G19" i="229"/>
  <c r="H19" i="229" s="1"/>
  <c r="F19" i="229"/>
  <c r="E19" i="229"/>
  <c r="D19" i="229"/>
  <c r="C19" i="229"/>
  <c r="G12" i="229"/>
  <c r="H12" i="229" s="1"/>
  <c r="C12" i="229"/>
  <c r="G11" i="229"/>
  <c r="H11" i="229" s="1"/>
  <c r="G10" i="229"/>
  <c r="H10" i="229" s="1"/>
  <c r="F10" i="229"/>
  <c r="C10" i="229"/>
  <c r="G9" i="229"/>
  <c r="H9" i="229" s="1"/>
  <c r="C9" i="229"/>
  <c r="G8" i="229"/>
  <c r="H8" i="229" s="1"/>
  <c r="F8" i="229"/>
  <c r="C8" i="229"/>
  <c r="B2" i="229"/>
  <c r="A2" i="229"/>
  <c r="F33" i="229" s="1"/>
  <c r="F12" i="227"/>
  <c r="F11" i="227"/>
  <c r="F8" i="227"/>
  <c r="G10" i="228"/>
  <c r="H10" i="228" s="1"/>
  <c r="F10" i="228"/>
  <c r="C10" i="228"/>
  <c r="F9" i="228"/>
  <c r="F12" i="228"/>
  <c r="F11" i="228"/>
  <c r="F8" i="228"/>
  <c r="C8" i="228"/>
  <c r="F35" i="228"/>
  <c r="I27" i="228"/>
  <c r="G24" i="228"/>
  <c r="H24" i="228" s="1"/>
  <c r="F24" i="228"/>
  <c r="D24" i="228"/>
  <c r="C24" i="228"/>
  <c r="G22" i="228"/>
  <c r="H22" i="228" s="1"/>
  <c r="F22" i="228"/>
  <c r="D22" i="228"/>
  <c r="C22" i="228"/>
  <c r="G20" i="228"/>
  <c r="H20" i="228" s="1"/>
  <c r="F20" i="228"/>
  <c r="E20" i="228"/>
  <c r="D20" i="228"/>
  <c r="C20" i="228"/>
  <c r="F17" i="228"/>
  <c r="I17" i="228" s="1"/>
  <c r="F16" i="228"/>
  <c r="I16" i="228" s="1"/>
  <c r="C14" i="228"/>
  <c r="G12" i="228"/>
  <c r="H12" i="228" s="1"/>
  <c r="C12" i="228"/>
  <c r="G11" i="228"/>
  <c r="H11" i="228" s="1"/>
  <c r="G9" i="228"/>
  <c r="H9" i="228" s="1"/>
  <c r="C9" i="228"/>
  <c r="G8" i="228"/>
  <c r="H8" i="228" s="1"/>
  <c r="B2" i="228"/>
  <c r="A2" i="228"/>
  <c r="F34" i="228" s="1"/>
  <c r="F9" i="227"/>
  <c r="F10" i="227"/>
  <c r="G11" i="227"/>
  <c r="H11" i="227" s="1"/>
  <c r="C11" i="227"/>
  <c r="F35" i="227"/>
  <c r="I27" i="227"/>
  <c r="G24" i="227"/>
  <c r="H24" i="227" s="1"/>
  <c r="F24" i="227"/>
  <c r="D24" i="227"/>
  <c r="C24" i="227"/>
  <c r="G22" i="227"/>
  <c r="H22" i="227" s="1"/>
  <c r="F22" i="227"/>
  <c r="D22" i="227"/>
  <c r="C22" i="227"/>
  <c r="G20" i="227"/>
  <c r="H20" i="227" s="1"/>
  <c r="F20" i="227"/>
  <c r="E20" i="227"/>
  <c r="D20" i="227"/>
  <c r="C20" i="227"/>
  <c r="F17" i="227"/>
  <c r="I17" i="227" s="1"/>
  <c r="F16" i="227"/>
  <c r="I16" i="227" s="1"/>
  <c r="C14" i="227"/>
  <c r="G12" i="227"/>
  <c r="H12" i="227" s="1"/>
  <c r="C12" i="227"/>
  <c r="G10" i="227"/>
  <c r="H10" i="227" s="1"/>
  <c r="C10" i="227"/>
  <c r="G9" i="227"/>
  <c r="H9" i="227" s="1"/>
  <c r="C9" i="227"/>
  <c r="G8" i="227"/>
  <c r="H8" i="227" s="1"/>
  <c r="B2" i="227"/>
  <c r="A2" i="227"/>
  <c r="F34" i="227" s="1"/>
  <c r="F8" i="219"/>
  <c r="F13" i="225"/>
  <c r="F11" i="225"/>
  <c r="F10" i="225"/>
  <c r="F9" i="225"/>
  <c r="F8" i="225"/>
  <c r="G11" i="225"/>
  <c r="H11" i="225" s="1"/>
  <c r="C11" i="225"/>
  <c r="F12" i="225"/>
  <c r="G13" i="225"/>
  <c r="H13" i="225" s="1"/>
  <c r="G12" i="225"/>
  <c r="H12" i="225" s="1"/>
  <c r="G10" i="225"/>
  <c r="H10" i="225" s="1"/>
  <c r="G9" i="225"/>
  <c r="H9" i="225" s="1"/>
  <c r="C10" i="225"/>
  <c r="C9" i="225"/>
  <c r="C12" i="225"/>
  <c r="G8" i="225"/>
  <c r="H8" i="225" s="1"/>
  <c r="F36" i="225"/>
  <c r="I28" i="225"/>
  <c r="G25" i="225"/>
  <c r="H25" i="225" s="1"/>
  <c r="F25" i="225"/>
  <c r="D25" i="225"/>
  <c r="C25" i="225"/>
  <c r="G23" i="225"/>
  <c r="H23" i="225" s="1"/>
  <c r="F23" i="225"/>
  <c r="D23" i="225"/>
  <c r="C23" i="225"/>
  <c r="G21" i="225"/>
  <c r="H21" i="225" s="1"/>
  <c r="F21" i="225"/>
  <c r="E21" i="225"/>
  <c r="D21" i="225"/>
  <c r="C21" i="225"/>
  <c r="F18" i="225"/>
  <c r="I18" i="225" s="1"/>
  <c r="F17" i="225"/>
  <c r="I17" i="225" s="1"/>
  <c r="C15" i="225"/>
  <c r="C13" i="225"/>
  <c r="B2" i="225"/>
  <c r="A2" i="225"/>
  <c r="F35" i="225" s="1"/>
  <c r="F13" i="224"/>
  <c r="F12" i="224"/>
  <c r="F11" i="224"/>
  <c r="F10" i="224"/>
  <c r="F9" i="224"/>
  <c r="G10" i="224"/>
  <c r="H10" i="224" s="1"/>
  <c r="C10" i="224"/>
  <c r="F8" i="224"/>
  <c r="F36" i="224"/>
  <c r="I28" i="224"/>
  <c r="G25" i="224"/>
  <c r="H25" i="224" s="1"/>
  <c r="F25" i="224"/>
  <c r="D25" i="224"/>
  <c r="C25" i="224"/>
  <c r="G23" i="224"/>
  <c r="H23" i="224" s="1"/>
  <c r="F23" i="224"/>
  <c r="D23" i="224"/>
  <c r="C23" i="224"/>
  <c r="G21" i="224"/>
  <c r="H21" i="224" s="1"/>
  <c r="F21" i="224"/>
  <c r="E21" i="224"/>
  <c r="D21" i="224"/>
  <c r="C21" i="224"/>
  <c r="F18" i="224"/>
  <c r="I18" i="224" s="1"/>
  <c r="F17" i="224"/>
  <c r="I17" i="224" s="1"/>
  <c r="C15" i="224"/>
  <c r="G13" i="224"/>
  <c r="H13" i="224" s="1"/>
  <c r="C13" i="224"/>
  <c r="G12" i="224"/>
  <c r="H12" i="224" s="1"/>
  <c r="G11" i="224"/>
  <c r="H11" i="224" s="1"/>
  <c r="C11" i="224"/>
  <c r="G9" i="224"/>
  <c r="H9" i="224" s="1"/>
  <c r="C9" i="224"/>
  <c r="G8" i="224"/>
  <c r="H8" i="224" s="1"/>
  <c r="C8" i="224"/>
  <c r="B2" i="224"/>
  <c r="A2" i="224"/>
  <c r="F35" i="224" s="1"/>
  <c r="F14" i="223"/>
  <c r="F12" i="223"/>
  <c r="F11" i="223"/>
  <c r="F10" i="223"/>
  <c r="F9" i="223"/>
  <c r="F8" i="223"/>
  <c r="F35" i="223"/>
  <c r="I27" i="223"/>
  <c r="G24" i="223"/>
  <c r="H24" i="223" s="1"/>
  <c r="F24" i="223"/>
  <c r="D24" i="223"/>
  <c r="C24" i="223"/>
  <c r="G22" i="223"/>
  <c r="H22" i="223" s="1"/>
  <c r="F22" i="223"/>
  <c r="D22" i="223"/>
  <c r="C22" i="223"/>
  <c r="G20" i="223"/>
  <c r="H20" i="223" s="1"/>
  <c r="F20" i="223"/>
  <c r="E20" i="223"/>
  <c r="D20" i="223"/>
  <c r="C20" i="223"/>
  <c r="F17" i="223"/>
  <c r="I17" i="223" s="1"/>
  <c r="F16" i="223"/>
  <c r="I16" i="223" s="1"/>
  <c r="C14" i="223"/>
  <c r="G12" i="223"/>
  <c r="H12" i="223" s="1"/>
  <c r="C12" i="223"/>
  <c r="G11" i="223"/>
  <c r="H11" i="223" s="1"/>
  <c r="C11" i="223"/>
  <c r="G10" i="223"/>
  <c r="H10" i="223" s="1"/>
  <c r="C10" i="223"/>
  <c r="G9" i="223"/>
  <c r="H9" i="223" s="1"/>
  <c r="C9" i="223"/>
  <c r="G8" i="223"/>
  <c r="H8" i="223" s="1"/>
  <c r="C8" i="223"/>
  <c r="B2" i="223"/>
  <c r="A2" i="223"/>
  <c r="F34" i="223" s="1"/>
  <c r="F12" i="222"/>
  <c r="F11" i="222"/>
  <c r="F10" i="222"/>
  <c r="F9" i="222"/>
  <c r="F8" i="222"/>
  <c r="I27" i="222"/>
  <c r="G24" i="222"/>
  <c r="H24" i="222" s="1"/>
  <c r="F24" i="222"/>
  <c r="D24" i="222"/>
  <c r="C24" i="222"/>
  <c r="G22" i="222"/>
  <c r="H22" i="222" s="1"/>
  <c r="F22" i="222"/>
  <c r="D22" i="222"/>
  <c r="C22" i="222"/>
  <c r="G20" i="222"/>
  <c r="H20" i="222" s="1"/>
  <c r="F20" i="222"/>
  <c r="E20" i="222"/>
  <c r="D20" i="222"/>
  <c r="C20" i="222"/>
  <c r="F17" i="222"/>
  <c r="I17" i="222" s="1"/>
  <c r="F16" i="222"/>
  <c r="I16" i="222" s="1"/>
  <c r="F14" i="222"/>
  <c r="C14" i="222"/>
  <c r="G12" i="222"/>
  <c r="H12" i="222" s="1"/>
  <c r="C12" i="222"/>
  <c r="G11" i="222"/>
  <c r="H11" i="222" s="1"/>
  <c r="C11" i="222"/>
  <c r="G10" i="222"/>
  <c r="H10" i="222" s="1"/>
  <c r="C10" i="222"/>
  <c r="G9" i="222"/>
  <c r="H9" i="222" s="1"/>
  <c r="C9" i="222"/>
  <c r="G8" i="222"/>
  <c r="H8" i="222" s="1"/>
  <c r="C8" i="222"/>
  <c r="F35" i="222"/>
  <c r="B2" i="222"/>
  <c r="A2" i="222"/>
  <c r="F34" i="222" s="1"/>
  <c r="F9" i="221"/>
  <c r="F8" i="221"/>
  <c r="F30" i="221"/>
  <c r="I24" i="221"/>
  <c r="I23" i="221"/>
  <c r="G21" i="221"/>
  <c r="H21" i="221" s="1"/>
  <c r="F21" i="221"/>
  <c r="D21" i="221"/>
  <c r="C21" i="221"/>
  <c r="G19" i="221"/>
  <c r="H19" i="221" s="1"/>
  <c r="F19" i="221"/>
  <c r="D19" i="221"/>
  <c r="C19" i="221"/>
  <c r="G17" i="221"/>
  <c r="H17" i="221" s="1"/>
  <c r="F17" i="221"/>
  <c r="E17" i="221"/>
  <c r="D17" i="221"/>
  <c r="C17" i="221"/>
  <c r="F14" i="221"/>
  <c r="G14" i="221" s="1"/>
  <c r="F13" i="221"/>
  <c r="I13" i="221" s="1"/>
  <c r="F11" i="221"/>
  <c r="C11" i="221"/>
  <c r="G9" i="221"/>
  <c r="H9" i="221" s="1"/>
  <c r="C9" i="221"/>
  <c r="G8" i="221"/>
  <c r="H8" i="221" s="1"/>
  <c r="C8" i="221"/>
  <c r="B2" i="221"/>
  <c r="A2" i="221"/>
  <c r="F29" i="221" s="1"/>
  <c r="C10" i="220"/>
  <c r="F33" i="220"/>
  <c r="I25" i="220"/>
  <c r="G22" i="220"/>
  <c r="H22" i="220" s="1"/>
  <c r="F22" i="220"/>
  <c r="D22" i="220"/>
  <c r="C22" i="220"/>
  <c r="G20" i="220"/>
  <c r="H20" i="220" s="1"/>
  <c r="F20" i="220"/>
  <c r="D20" i="220"/>
  <c r="C20" i="220"/>
  <c r="G18" i="220"/>
  <c r="H18" i="220" s="1"/>
  <c r="F18" i="220"/>
  <c r="E18" i="220"/>
  <c r="D18" i="220"/>
  <c r="C18" i="220"/>
  <c r="F15" i="220"/>
  <c r="G15" i="220" s="1"/>
  <c r="F14" i="220"/>
  <c r="I14" i="220" s="1"/>
  <c r="C12" i="220"/>
  <c r="G10" i="220"/>
  <c r="H10" i="220" s="1"/>
  <c r="G9" i="220"/>
  <c r="H9" i="220" s="1"/>
  <c r="I9" i="220" s="1"/>
  <c r="C9" i="220"/>
  <c r="G8" i="220"/>
  <c r="H8" i="220" s="1"/>
  <c r="I8" i="220" s="1"/>
  <c r="C8" i="220"/>
  <c r="B2" i="220"/>
  <c r="A2" i="220"/>
  <c r="F32" i="220" s="1"/>
  <c r="F15" i="219"/>
  <c r="F14" i="219"/>
  <c r="F13" i="219"/>
  <c r="F12" i="219"/>
  <c r="F11" i="219"/>
  <c r="F10" i="219"/>
  <c r="F9" i="219"/>
  <c r="C8" i="219"/>
  <c r="G8" i="219"/>
  <c r="H8" i="219" s="1"/>
  <c r="C9" i="219"/>
  <c r="G9" i="219"/>
  <c r="H9" i="219" s="1"/>
  <c r="C10" i="219"/>
  <c r="G10" i="219"/>
  <c r="H10" i="219" s="1"/>
  <c r="C11" i="219"/>
  <c r="G11" i="219"/>
  <c r="H11" i="219" s="1"/>
  <c r="C12" i="219"/>
  <c r="G12" i="219"/>
  <c r="H12" i="219" s="1"/>
  <c r="C13" i="219"/>
  <c r="G13" i="219"/>
  <c r="H13" i="219" s="1"/>
  <c r="C14" i="219"/>
  <c r="G14" i="219"/>
  <c r="H14" i="219" s="1"/>
  <c r="C15" i="219"/>
  <c r="G15" i="219"/>
  <c r="H15" i="219" s="1"/>
  <c r="C17" i="219"/>
  <c r="F17" i="219"/>
  <c r="F19" i="219"/>
  <c r="I19" i="219" s="1"/>
  <c r="F20" i="219"/>
  <c r="G20" i="219" s="1"/>
  <c r="C23" i="219"/>
  <c r="D23" i="219"/>
  <c r="E23" i="219"/>
  <c r="F23" i="219"/>
  <c r="G23" i="219"/>
  <c r="H23" i="219" s="1"/>
  <c r="C25" i="219"/>
  <c r="D25" i="219"/>
  <c r="F25" i="219"/>
  <c r="G25" i="219"/>
  <c r="H25" i="219" s="1"/>
  <c r="C27" i="219"/>
  <c r="D27" i="219"/>
  <c r="F27" i="219"/>
  <c r="G27" i="219"/>
  <c r="H27" i="219" s="1"/>
  <c r="I29" i="219"/>
  <c r="I30" i="219"/>
  <c r="F36" i="219"/>
  <c r="B2" i="219"/>
  <c r="A2" i="219"/>
  <c r="F35" i="219" s="1"/>
  <c r="F10" i="218"/>
  <c r="C9" i="218"/>
  <c r="F9" i="218"/>
  <c r="G9" i="218"/>
  <c r="H9" i="218" s="1"/>
  <c r="G10" i="218"/>
  <c r="H10" i="218" s="1"/>
  <c r="F16" i="218"/>
  <c r="F15" i="218"/>
  <c r="F13" i="218"/>
  <c r="F12" i="218"/>
  <c r="F11" i="218"/>
  <c r="F39" i="218"/>
  <c r="I31" i="218"/>
  <c r="G28" i="218"/>
  <c r="H28" i="218" s="1"/>
  <c r="F28" i="218"/>
  <c r="D28" i="218"/>
  <c r="C28" i="218"/>
  <c r="G26" i="218"/>
  <c r="H26" i="218" s="1"/>
  <c r="F26" i="218"/>
  <c r="D26" i="218"/>
  <c r="C26" i="218"/>
  <c r="G24" i="218"/>
  <c r="H24" i="218" s="1"/>
  <c r="F24" i="218"/>
  <c r="E24" i="218"/>
  <c r="D24" i="218"/>
  <c r="C24" i="218"/>
  <c r="F21" i="218"/>
  <c r="I21" i="218" s="1"/>
  <c r="F20" i="218"/>
  <c r="I20" i="218" s="1"/>
  <c r="C18" i="218"/>
  <c r="G16" i="218"/>
  <c r="H16" i="218" s="1"/>
  <c r="C16" i="218"/>
  <c r="G15" i="218"/>
  <c r="H15" i="218" s="1"/>
  <c r="C15" i="218"/>
  <c r="G14" i="218"/>
  <c r="H14" i="218" s="1"/>
  <c r="F14" i="218"/>
  <c r="C14" i="218"/>
  <c r="G13" i="218"/>
  <c r="H13" i="218" s="1"/>
  <c r="C13" i="218"/>
  <c r="G12" i="218"/>
  <c r="H12" i="218" s="1"/>
  <c r="C12" i="218"/>
  <c r="G11" i="218"/>
  <c r="H11" i="218" s="1"/>
  <c r="C11" i="218"/>
  <c r="C10" i="218"/>
  <c r="G8" i="218"/>
  <c r="H8" i="218" s="1"/>
  <c r="C8" i="218"/>
  <c r="B2" i="218"/>
  <c r="A2" i="218"/>
  <c r="F38" i="218" s="1"/>
  <c r="F11" i="217"/>
  <c r="F10" i="217"/>
  <c r="F9" i="217"/>
  <c r="F8" i="217"/>
  <c r="F13" i="217"/>
  <c r="C9" i="217"/>
  <c r="G9" i="217"/>
  <c r="H9" i="217" s="1"/>
  <c r="F34" i="217"/>
  <c r="I26" i="217"/>
  <c r="G23" i="217"/>
  <c r="H23" i="217" s="1"/>
  <c r="F23" i="217"/>
  <c r="D23" i="217"/>
  <c r="C23" i="217"/>
  <c r="G21" i="217"/>
  <c r="H21" i="217" s="1"/>
  <c r="F21" i="217"/>
  <c r="D21" i="217"/>
  <c r="C21" i="217"/>
  <c r="G19" i="217"/>
  <c r="H19" i="217" s="1"/>
  <c r="F19" i="217"/>
  <c r="E19" i="217"/>
  <c r="D19" i="217"/>
  <c r="C19" i="217"/>
  <c r="F16" i="217"/>
  <c r="G16" i="217" s="1"/>
  <c r="F15" i="217"/>
  <c r="I15" i="217" s="1"/>
  <c r="C13" i="217"/>
  <c r="G11" i="217"/>
  <c r="H11" i="217" s="1"/>
  <c r="C11" i="217"/>
  <c r="G10" i="217"/>
  <c r="H10" i="217" s="1"/>
  <c r="C10" i="217"/>
  <c r="G8" i="217"/>
  <c r="H8" i="217" s="1"/>
  <c r="C8" i="217"/>
  <c r="B2" i="217"/>
  <c r="A2" i="217"/>
  <c r="F33" i="217" s="1"/>
  <c r="F13" i="216"/>
  <c r="F12" i="216"/>
  <c r="F14" i="216"/>
  <c r="F15" i="216"/>
  <c r="F11" i="216"/>
  <c r="F10" i="216"/>
  <c r="F9" i="216"/>
  <c r="F8" i="216"/>
  <c r="G8" i="216"/>
  <c r="H8" i="216" s="1"/>
  <c r="C8" i="216"/>
  <c r="G9" i="216"/>
  <c r="H9" i="216" s="1"/>
  <c r="C9" i="216"/>
  <c r="C10" i="216"/>
  <c r="G10" i="216"/>
  <c r="H10" i="216" s="1"/>
  <c r="I10" i="216" s="1"/>
  <c r="I30" i="216"/>
  <c r="I29" i="216"/>
  <c r="G27" i="216"/>
  <c r="H27" i="216" s="1"/>
  <c r="F27" i="216"/>
  <c r="D27" i="216"/>
  <c r="C27" i="216"/>
  <c r="G25" i="216"/>
  <c r="H25" i="216" s="1"/>
  <c r="F25" i="216"/>
  <c r="D25" i="216"/>
  <c r="C25" i="216"/>
  <c r="G23" i="216"/>
  <c r="H23" i="216" s="1"/>
  <c r="F23" i="216"/>
  <c r="E23" i="216"/>
  <c r="D23" i="216"/>
  <c r="C23" i="216"/>
  <c r="F20" i="216"/>
  <c r="G20" i="216" s="1"/>
  <c r="F19" i="216"/>
  <c r="I19" i="216" s="1"/>
  <c r="F17" i="216"/>
  <c r="C17" i="216"/>
  <c r="G15" i="216"/>
  <c r="H15" i="216" s="1"/>
  <c r="C15" i="216"/>
  <c r="G14" i="216"/>
  <c r="H14" i="216" s="1"/>
  <c r="C14" i="216"/>
  <c r="G13" i="216"/>
  <c r="H13" i="216" s="1"/>
  <c r="C13" i="216"/>
  <c r="G12" i="216"/>
  <c r="H12" i="216" s="1"/>
  <c r="C12" i="216"/>
  <c r="G11" i="216"/>
  <c r="H11" i="216" s="1"/>
  <c r="C11" i="216"/>
  <c r="F37" i="216"/>
  <c r="B2" i="216"/>
  <c r="A2" i="216"/>
  <c r="F36" i="216" s="1"/>
  <c r="F11" i="215"/>
  <c r="F8" i="215"/>
  <c r="G9" i="215"/>
  <c r="H9" i="215" s="1"/>
  <c r="C9" i="215"/>
  <c r="G8" i="215"/>
  <c r="H8" i="215" s="1"/>
  <c r="C8" i="215"/>
  <c r="F31" i="215"/>
  <c r="I24" i="215"/>
  <c r="G21" i="215"/>
  <c r="H21" i="215" s="1"/>
  <c r="F21" i="215"/>
  <c r="D21" i="215"/>
  <c r="C21" i="215"/>
  <c r="G19" i="215"/>
  <c r="H19" i="215" s="1"/>
  <c r="F19" i="215"/>
  <c r="D19" i="215"/>
  <c r="C19" i="215"/>
  <c r="G17" i="215"/>
  <c r="H17" i="215" s="1"/>
  <c r="F17" i="215"/>
  <c r="E17" i="215"/>
  <c r="D17" i="215"/>
  <c r="C17" i="215"/>
  <c r="F14" i="215"/>
  <c r="I14" i="215" s="1"/>
  <c r="F13" i="215"/>
  <c r="I13" i="215" s="1"/>
  <c r="C11" i="215"/>
  <c r="B2" i="215"/>
  <c r="A2" i="215"/>
  <c r="F30" i="215" s="1"/>
  <c r="F35" i="213"/>
  <c r="I29" i="213"/>
  <c r="I28" i="213"/>
  <c r="G26" i="213"/>
  <c r="H26" i="213" s="1"/>
  <c r="F26" i="213"/>
  <c r="D26" i="213"/>
  <c r="C26" i="213"/>
  <c r="G24" i="213"/>
  <c r="H24" i="213" s="1"/>
  <c r="F24" i="213"/>
  <c r="D24" i="213"/>
  <c r="C24" i="213"/>
  <c r="G22" i="213"/>
  <c r="H22" i="213" s="1"/>
  <c r="F22" i="213"/>
  <c r="E22" i="213"/>
  <c r="D22" i="213"/>
  <c r="C22" i="213"/>
  <c r="F19" i="213"/>
  <c r="G19" i="213" s="1"/>
  <c r="F18" i="213"/>
  <c r="I18" i="213" s="1"/>
  <c r="F16" i="213"/>
  <c r="C16" i="213"/>
  <c r="G14" i="213"/>
  <c r="H14" i="213" s="1"/>
  <c r="C14" i="213"/>
  <c r="G13" i="213"/>
  <c r="H13" i="213" s="1"/>
  <c r="C13" i="213"/>
  <c r="G12" i="213"/>
  <c r="H12" i="213" s="1"/>
  <c r="C12" i="213"/>
  <c r="G11" i="213"/>
  <c r="H11" i="213" s="1"/>
  <c r="C11" i="213"/>
  <c r="G10" i="213"/>
  <c r="H10" i="213" s="1"/>
  <c r="C10" i="213"/>
  <c r="G9" i="213"/>
  <c r="H9" i="213" s="1"/>
  <c r="C9" i="213"/>
  <c r="G8" i="213"/>
  <c r="H8" i="213" s="1"/>
  <c r="C8" i="213"/>
  <c r="B2" i="213"/>
  <c r="A2" i="213"/>
  <c r="F34" i="213" s="1"/>
  <c r="I30" i="212"/>
  <c r="G27" i="212"/>
  <c r="H27" i="212" s="1"/>
  <c r="F27" i="212"/>
  <c r="D27" i="212"/>
  <c r="C27" i="212"/>
  <c r="G25" i="212"/>
  <c r="H25" i="212" s="1"/>
  <c r="F25" i="212"/>
  <c r="D25" i="212"/>
  <c r="C25" i="212"/>
  <c r="G23" i="212"/>
  <c r="H23" i="212" s="1"/>
  <c r="F23" i="212"/>
  <c r="E23" i="212"/>
  <c r="D23" i="212"/>
  <c r="C23" i="212"/>
  <c r="F20" i="212"/>
  <c r="G20" i="212" s="1"/>
  <c r="F19" i="212"/>
  <c r="I19" i="212" s="1"/>
  <c r="F17" i="212"/>
  <c r="C17" i="212"/>
  <c r="G15" i="212"/>
  <c r="H15" i="212" s="1"/>
  <c r="F15" i="212"/>
  <c r="C15" i="212"/>
  <c r="G14" i="212"/>
  <c r="H14" i="212" s="1"/>
  <c r="F14" i="212"/>
  <c r="C14" i="212"/>
  <c r="G13" i="212"/>
  <c r="H13" i="212" s="1"/>
  <c r="F13" i="212"/>
  <c r="C13" i="212"/>
  <c r="G12" i="212"/>
  <c r="H12" i="212" s="1"/>
  <c r="F12" i="212"/>
  <c r="C12" i="212"/>
  <c r="G11" i="212"/>
  <c r="H11" i="212" s="1"/>
  <c r="F11" i="212"/>
  <c r="C11" i="212"/>
  <c r="G10" i="212"/>
  <c r="H10" i="212" s="1"/>
  <c r="F10" i="212"/>
  <c r="C10" i="212"/>
  <c r="G9" i="212"/>
  <c r="H9" i="212" s="1"/>
  <c r="F9" i="212"/>
  <c r="C9" i="212"/>
  <c r="G8" i="212"/>
  <c r="H8" i="212" s="1"/>
  <c r="F8" i="212"/>
  <c r="C8" i="212"/>
  <c r="F38" i="212"/>
  <c r="B2" i="212"/>
  <c r="A2" i="212"/>
  <c r="F37" i="212" s="1"/>
  <c r="G37" i="211"/>
  <c r="C9" i="211"/>
  <c r="F37" i="211"/>
  <c r="I30" i="211"/>
  <c r="E30" i="211"/>
  <c r="I29" i="211"/>
  <c r="E29" i="211"/>
  <c r="G27" i="211"/>
  <c r="H27" i="211" s="1"/>
  <c r="F27" i="211"/>
  <c r="D27" i="211"/>
  <c r="C27" i="211"/>
  <c r="G25" i="211"/>
  <c r="H25" i="211" s="1"/>
  <c r="F25" i="211"/>
  <c r="D25" i="211"/>
  <c r="C25" i="211"/>
  <c r="G23" i="211"/>
  <c r="H23" i="211" s="1"/>
  <c r="F23" i="211"/>
  <c r="E23" i="211"/>
  <c r="D23" i="211"/>
  <c r="C23" i="211"/>
  <c r="F20" i="211"/>
  <c r="I20" i="211" s="1"/>
  <c r="F19" i="211"/>
  <c r="I19" i="211" s="1"/>
  <c r="F17" i="211"/>
  <c r="C17" i="211"/>
  <c r="G15" i="211"/>
  <c r="H15" i="211" s="1"/>
  <c r="F15" i="211"/>
  <c r="C15" i="211"/>
  <c r="G14" i="211"/>
  <c r="H14" i="211" s="1"/>
  <c r="F14" i="211"/>
  <c r="C14" i="211"/>
  <c r="G13" i="211"/>
  <c r="H13" i="211" s="1"/>
  <c r="F13" i="211"/>
  <c r="C13" i="211"/>
  <c r="G12" i="211"/>
  <c r="H12" i="211" s="1"/>
  <c r="F12" i="211"/>
  <c r="C12" i="211"/>
  <c r="G11" i="211"/>
  <c r="H11" i="211" s="1"/>
  <c r="F11" i="211"/>
  <c r="C11" i="211"/>
  <c r="G10" i="211"/>
  <c r="H10" i="211" s="1"/>
  <c r="F10" i="211"/>
  <c r="C10" i="211"/>
  <c r="G9" i="211"/>
  <c r="H9" i="211" s="1"/>
  <c r="F9" i="211"/>
  <c r="G8" i="211"/>
  <c r="H8" i="211" s="1"/>
  <c r="F8" i="211"/>
  <c r="C8" i="211"/>
  <c r="B2" i="211"/>
  <c r="A2" i="211"/>
  <c r="F36" i="211" s="1"/>
  <c r="F31" i="210"/>
  <c r="F30" i="210"/>
  <c r="F18" i="210"/>
  <c r="F14" i="210"/>
  <c r="F12" i="210"/>
  <c r="F13" i="210"/>
  <c r="F16" i="210"/>
  <c r="F15" i="210"/>
  <c r="F11" i="210"/>
  <c r="F10" i="210"/>
  <c r="F9" i="210"/>
  <c r="F8" i="210"/>
  <c r="G39" i="210"/>
  <c r="F38" i="59" s="1"/>
  <c r="E31" i="210"/>
  <c r="E30" i="210"/>
  <c r="G28" i="210"/>
  <c r="H28" i="210" s="1"/>
  <c r="F28" i="210"/>
  <c r="D28" i="210"/>
  <c r="C28" i="210"/>
  <c r="G26" i="210"/>
  <c r="H26" i="210" s="1"/>
  <c r="F26" i="210"/>
  <c r="D26" i="210"/>
  <c r="C26" i="210"/>
  <c r="G24" i="210"/>
  <c r="H24" i="210" s="1"/>
  <c r="F24" i="210"/>
  <c r="E24" i="210"/>
  <c r="D24" i="210"/>
  <c r="C24" i="210"/>
  <c r="F21" i="210"/>
  <c r="I21" i="210" s="1"/>
  <c r="F20" i="210"/>
  <c r="I20" i="210" s="1"/>
  <c r="C18" i="210"/>
  <c r="G16" i="210"/>
  <c r="H16" i="210" s="1"/>
  <c r="C16" i="210"/>
  <c r="G15" i="210"/>
  <c r="H15" i="210" s="1"/>
  <c r="C15" i="210"/>
  <c r="G14" i="210"/>
  <c r="H14" i="210" s="1"/>
  <c r="C14" i="210"/>
  <c r="G13" i="210"/>
  <c r="H13" i="210" s="1"/>
  <c r="C13" i="210"/>
  <c r="G12" i="210"/>
  <c r="H12" i="210" s="1"/>
  <c r="C12" i="210"/>
  <c r="G11" i="210"/>
  <c r="H11" i="210" s="1"/>
  <c r="C11" i="210"/>
  <c r="G10" i="210"/>
  <c r="H10" i="210" s="1"/>
  <c r="C10" i="210"/>
  <c r="G9" i="210"/>
  <c r="H9" i="210" s="1"/>
  <c r="E9" i="210"/>
  <c r="C9" i="210"/>
  <c r="G8" i="210"/>
  <c r="H8" i="210" s="1"/>
  <c r="C8" i="210"/>
  <c r="F39" i="210"/>
  <c r="B2" i="210"/>
  <c r="A2" i="210"/>
  <c r="F38" i="210" s="1"/>
  <c r="F8" i="209"/>
  <c r="F16" i="209"/>
  <c r="E31" i="209"/>
  <c r="I31" i="209" s="1"/>
  <c r="E30" i="209"/>
  <c r="G28" i="209"/>
  <c r="H28" i="209" s="1"/>
  <c r="F28" i="209"/>
  <c r="D28" i="209"/>
  <c r="C28" i="209"/>
  <c r="G26" i="209"/>
  <c r="H26" i="209" s="1"/>
  <c r="F26" i="209"/>
  <c r="D26" i="209"/>
  <c r="C26" i="209"/>
  <c r="G24" i="209"/>
  <c r="H24" i="209" s="1"/>
  <c r="F24" i="209"/>
  <c r="E24" i="209"/>
  <c r="D24" i="209"/>
  <c r="C24" i="209"/>
  <c r="F21" i="209"/>
  <c r="I21" i="209" s="1"/>
  <c r="F20" i="209"/>
  <c r="I20" i="209" s="1"/>
  <c r="F18" i="209"/>
  <c r="C18" i="209"/>
  <c r="G16" i="209"/>
  <c r="H16" i="209" s="1"/>
  <c r="C16" i="209"/>
  <c r="G15" i="209"/>
  <c r="H15" i="209" s="1"/>
  <c r="F15" i="209"/>
  <c r="C15" i="209"/>
  <c r="G14" i="209"/>
  <c r="H14" i="209" s="1"/>
  <c r="F14" i="209"/>
  <c r="C14" i="209"/>
  <c r="G13" i="209"/>
  <c r="H13" i="209" s="1"/>
  <c r="F13" i="209"/>
  <c r="C13" i="209"/>
  <c r="G12" i="209"/>
  <c r="H12" i="209" s="1"/>
  <c r="F12" i="209"/>
  <c r="C12" i="209"/>
  <c r="G11" i="209"/>
  <c r="H11" i="209" s="1"/>
  <c r="F11" i="209"/>
  <c r="C11" i="209"/>
  <c r="G10" i="209"/>
  <c r="H10" i="209" s="1"/>
  <c r="F10" i="209"/>
  <c r="C10" i="209"/>
  <c r="G9" i="209"/>
  <c r="H9" i="209" s="1"/>
  <c r="F9" i="209"/>
  <c r="E9" i="209"/>
  <c r="C9" i="209"/>
  <c r="G8" i="209"/>
  <c r="H8" i="209" s="1"/>
  <c r="C8" i="209"/>
  <c r="F39" i="209"/>
  <c r="B2" i="209"/>
  <c r="A2" i="209"/>
  <c r="F38" i="209" s="1"/>
  <c r="F16" i="208"/>
  <c r="I29" i="208"/>
  <c r="G26" i="208"/>
  <c r="H26" i="208" s="1"/>
  <c r="F26" i="208"/>
  <c r="D26" i="208"/>
  <c r="C26" i="208"/>
  <c r="G24" i="208"/>
  <c r="H24" i="208" s="1"/>
  <c r="F24" i="208"/>
  <c r="D24" i="208"/>
  <c r="C24" i="208"/>
  <c r="G22" i="208"/>
  <c r="H22" i="208" s="1"/>
  <c r="F22" i="208"/>
  <c r="E22" i="208"/>
  <c r="D22" i="208"/>
  <c r="C22" i="208"/>
  <c r="F19" i="208"/>
  <c r="I19" i="208" s="1"/>
  <c r="F18" i="208"/>
  <c r="I18" i="208" s="1"/>
  <c r="C16" i="208"/>
  <c r="G14" i="208"/>
  <c r="H14" i="208" s="1"/>
  <c r="F14" i="208"/>
  <c r="C14" i="208"/>
  <c r="G13" i="208"/>
  <c r="H13" i="208" s="1"/>
  <c r="F13" i="208"/>
  <c r="C13" i="208"/>
  <c r="G12" i="208"/>
  <c r="H12" i="208" s="1"/>
  <c r="F12" i="208"/>
  <c r="C12" i="208"/>
  <c r="G11" i="208"/>
  <c r="H11" i="208" s="1"/>
  <c r="F11" i="208"/>
  <c r="C11" i="208"/>
  <c r="G10" i="208"/>
  <c r="H10" i="208" s="1"/>
  <c r="F10" i="208"/>
  <c r="C10" i="208"/>
  <c r="G9" i="208"/>
  <c r="H9" i="208" s="1"/>
  <c r="F9" i="208"/>
  <c r="C9" i="208"/>
  <c r="G8" i="208"/>
  <c r="H8" i="208" s="1"/>
  <c r="F8" i="208"/>
  <c r="C8" i="208"/>
  <c r="F37" i="208"/>
  <c r="B2" i="208"/>
  <c r="A2" i="208"/>
  <c r="F36" i="208" s="1"/>
  <c r="F13" i="207"/>
  <c r="F10" i="207"/>
  <c r="F14" i="207"/>
  <c r="F9" i="207"/>
  <c r="F8" i="207"/>
  <c r="F12" i="207"/>
  <c r="F11" i="207"/>
  <c r="E29" i="207"/>
  <c r="I29" i="207" s="1"/>
  <c r="E28" i="207"/>
  <c r="I28" i="207" s="1"/>
  <c r="G26" i="207"/>
  <c r="H26" i="207" s="1"/>
  <c r="F26" i="207"/>
  <c r="D26" i="207"/>
  <c r="C26" i="207"/>
  <c r="G24" i="207"/>
  <c r="H24" i="207" s="1"/>
  <c r="F24" i="207"/>
  <c r="D24" i="207"/>
  <c r="C24" i="207"/>
  <c r="G22" i="207"/>
  <c r="H22" i="207" s="1"/>
  <c r="F22" i="207"/>
  <c r="E22" i="207"/>
  <c r="D22" i="207"/>
  <c r="C22" i="207"/>
  <c r="F19" i="207"/>
  <c r="I19" i="207" s="1"/>
  <c r="F18" i="207"/>
  <c r="I18" i="207" s="1"/>
  <c r="F16" i="207"/>
  <c r="C16" i="207"/>
  <c r="G14" i="207"/>
  <c r="H14" i="207" s="1"/>
  <c r="C14" i="207"/>
  <c r="G13" i="207"/>
  <c r="H13" i="207" s="1"/>
  <c r="C13" i="207"/>
  <c r="G12" i="207"/>
  <c r="H12" i="207" s="1"/>
  <c r="C12" i="207"/>
  <c r="G11" i="207"/>
  <c r="H11" i="207" s="1"/>
  <c r="C11" i="207"/>
  <c r="G10" i="207"/>
  <c r="H10" i="207" s="1"/>
  <c r="C10" i="207"/>
  <c r="G9" i="207"/>
  <c r="H9" i="207" s="1"/>
  <c r="C9" i="207"/>
  <c r="G8" i="207"/>
  <c r="H8" i="207" s="1"/>
  <c r="C8" i="207"/>
  <c r="F36" i="207"/>
  <c r="B2" i="207"/>
  <c r="A2" i="207"/>
  <c r="F35" i="207" s="1"/>
  <c r="F12" i="163"/>
  <c r="F11" i="163"/>
  <c r="I31" i="163"/>
  <c r="I30" i="163"/>
  <c r="I13" i="219" l="1"/>
  <c r="I31" i="210"/>
  <c r="I11" i="225"/>
  <c r="I12" i="211"/>
  <c r="I24" i="239"/>
  <c r="I13" i="212"/>
  <c r="I12" i="222"/>
  <c r="I13" i="224"/>
  <c r="I27" i="211"/>
  <c r="I13" i="209"/>
  <c r="I10" i="211"/>
  <c r="I15" i="216"/>
  <c r="I13" i="208"/>
  <c r="I28" i="210"/>
  <c r="I8" i="211"/>
  <c r="I20" i="212"/>
  <c r="I12" i="209"/>
  <c r="I12" i="212"/>
  <c r="I15" i="209"/>
  <c r="I9" i="224"/>
  <c r="I24" i="207"/>
  <c r="I25" i="211"/>
  <c r="I10" i="218"/>
  <c r="I7" i="241"/>
  <c r="I25" i="241" s="1"/>
  <c r="I13" i="211"/>
  <c r="I10" i="212"/>
  <c r="I15" i="212"/>
  <c r="I21" i="231"/>
  <c r="I13" i="232"/>
  <c r="I9" i="209"/>
  <c r="I22" i="220"/>
  <c r="I9" i="211"/>
  <c r="G17" i="223"/>
  <c r="G18" i="224"/>
  <c r="I9" i="230"/>
  <c r="I8" i="208"/>
  <c r="I8" i="212"/>
  <c r="I26" i="208"/>
  <c r="I9" i="210"/>
  <c r="I11" i="223"/>
  <c r="G20" i="211"/>
  <c r="I28" i="209"/>
  <c r="I11" i="209"/>
  <c r="I26" i="210"/>
  <c r="I15" i="211"/>
  <c r="I11" i="212"/>
  <c r="I25" i="212"/>
  <c r="I9" i="218"/>
  <c r="I24" i="223"/>
  <c r="I23" i="224"/>
  <c r="I22" i="228"/>
  <c r="I10" i="228"/>
  <c r="I23" i="232"/>
  <c r="I26" i="209"/>
  <c r="I11" i="211"/>
  <c r="I9" i="212"/>
  <c r="I14" i="212"/>
  <c r="I19" i="215"/>
  <c r="I27" i="219"/>
  <c r="I12" i="223"/>
  <c r="I8" i="231"/>
  <c r="I14" i="231"/>
  <c r="I8" i="232"/>
  <c r="I23" i="233"/>
  <c r="I14" i="209"/>
  <c r="I9" i="208"/>
  <c r="I14" i="211"/>
  <c r="I27" i="212"/>
  <c r="I22" i="223"/>
  <c r="I24" i="228"/>
  <c r="I21" i="229"/>
  <c r="I9" i="231"/>
  <c r="I8" i="210"/>
  <c r="I10" i="209"/>
  <c r="I24" i="222"/>
  <c r="I19" i="230"/>
  <c r="I19" i="231"/>
  <c r="I12" i="210"/>
  <c r="I25" i="219"/>
  <c r="I11" i="208"/>
  <c r="I14" i="208"/>
  <c r="I12" i="208"/>
  <c r="I24" i="208"/>
  <c r="I10" i="208"/>
  <c r="I26" i="213"/>
  <c r="I7" i="237"/>
  <c r="I25" i="237" s="1"/>
  <c r="I7" i="234"/>
  <c r="I25" i="233"/>
  <c r="I18" i="233"/>
  <c r="I7" i="233"/>
  <c r="I29" i="233" s="1"/>
  <c r="I23" i="229"/>
  <c r="I8" i="229"/>
  <c r="I10" i="229"/>
  <c r="I25" i="232"/>
  <c r="I12" i="232"/>
  <c r="I9" i="232"/>
  <c r="I10" i="232"/>
  <c r="I11" i="232"/>
  <c r="I18" i="232"/>
  <c r="I21" i="230"/>
  <c r="I8" i="230"/>
  <c r="G14" i="230"/>
  <c r="I12" i="229"/>
  <c r="I11" i="229"/>
  <c r="I9" i="229"/>
  <c r="I11" i="228"/>
  <c r="I12" i="228"/>
  <c r="I9" i="228"/>
  <c r="I8" i="228"/>
  <c r="G17" i="228"/>
  <c r="I9" i="227"/>
  <c r="I11" i="227"/>
  <c r="I10" i="227"/>
  <c r="I22" i="227"/>
  <c r="I12" i="227"/>
  <c r="I24" i="227"/>
  <c r="I8" i="227"/>
  <c r="G17" i="227"/>
  <c r="I20" i="219"/>
  <c r="I9" i="219"/>
  <c r="I12" i="219"/>
  <c r="I8" i="219"/>
  <c r="I10" i="225"/>
  <c r="I12" i="225"/>
  <c r="I13" i="225"/>
  <c r="I9" i="225"/>
  <c r="I8" i="225"/>
  <c r="I23" i="225"/>
  <c r="G18" i="225"/>
  <c r="I25" i="225"/>
  <c r="I10" i="224"/>
  <c r="I12" i="224"/>
  <c r="I11" i="224"/>
  <c r="I25" i="224"/>
  <c r="I8" i="224"/>
  <c r="I10" i="223"/>
  <c r="I9" i="223"/>
  <c r="I8" i="223"/>
  <c r="I10" i="222"/>
  <c r="G17" i="222"/>
  <c r="I8" i="222"/>
  <c r="I11" i="222"/>
  <c r="I22" i="222"/>
  <c r="I9" i="222"/>
  <c r="I19" i="221"/>
  <c r="I9" i="221"/>
  <c r="I8" i="221"/>
  <c r="I21" i="221"/>
  <c r="I14" i="221"/>
  <c r="I15" i="220"/>
  <c r="I20" i="220"/>
  <c r="I10" i="220"/>
  <c r="I14" i="219"/>
  <c r="I11" i="219"/>
  <c r="I15" i="219"/>
  <c r="I10" i="219"/>
  <c r="I26" i="218"/>
  <c r="I11" i="218"/>
  <c r="I14" i="218"/>
  <c r="I12" i="218"/>
  <c r="I15" i="218"/>
  <c r="I28" i="218"/>
  <c r="I16" i="218"/>
  <c r="I13" i="218"/>
  <c r="I8" i="218"/>
  <c r="G21" i="218"/>
  <c r="I9" i="217"/>
  <c r="I21" i="217"/>
  <c r="I8" i="217"/>
  <c r="I16" i="217"/>
  <c r="I11" i="217"/>
  <c r="I23" i="217"/>
  <c r="I10" i="217"/>
  <c r="I8" i="216"/>
  <c r="I13" i="216"/>
  <c r="I14" i="216"/>
  <c r="I25" i="216"/>
  <c r="I27" i="216"/>
  <c r="I9" i="216"/>
  <c r="I12" i="216"/>
  <c r="I20" i="216"/>
  <c r="I11" i="216"/>
  <c r="I9" i="215"/>
  <c r="I8" i="215"/>
  <c r="G14" i="215"/>
  <c r="I21" i="215"/>
  <c r="I24" i="213"/>
  <c r="I19" i="213"/>
  <c r="I9" i="213"/>
  <c r="I14" i="213"/>
  <c r="I13" i="213"/>
  <c r="I12" i="213"/>
  <c r="I11" i="213"/>
  <c r="I10" i="213"/>
  <c r="I8" i="213"/>
  <c r="I14" i="210"/>
  <c r="I13" i="210"/>
  <c r="I16" i="210"/>
  <c r="I15" i="210"/>
  <c r="I11" i="210"/>
  <c r="I10" i="210"/>
  <c r="G21" i="210"/>
  <c r="I16" i="209"/>
  <c r="I8" i="209"/>
  <c r="G21" i="209"/>
  <c r="G19" i="208"/>
  <c r="I14" i="207"/>
  <c r="I12" i="207"/>
  <c r="I13" i="207"/>
  <c r="I11" i="207"/>
  <c r="I9" i="207"/>
  <c r="I10" i="207"/>
  <c r="I26" i="207"/>
  <c r="I8" i="207"/>
  <c r="G19" i="207"/>
  <c r="F9" i="163"/>
  <c r="F16" i="163"/>
  <c r="F15" i="163"/>
  <c r="F14" i="163"/>
  <c r="F13" i="163"/>
  <c r="F10" i="163"/>
  <c r="F8" i="163"/>
  <c r="E9" i="163"/>
  <c r="G9" i="163"/>
  <c r="H9" i="163" s="1"/>
  <c r="C9" i="163"/>
  <c r="F18" i="163"/>
  <c r="G8" i="163"/>
  <c r="H8" i="163" s="1"/>
  <c r="C8" i="163"/>
  <c r="F10" i="206"/>
  <c r="F8" i="206"/>
  <c r="F11" i="206"/>
  <c r="F12" i="206"/>
  <c r="F9" i="206"/>
  <c r="G27" i="206"/>
  <c r="H27" i="206" s="1"/>
  <c r="F27" i="206"/>
  <c r="D27" i="206"/>
  <c r="C27" i="206"/>
  <c r="G23" i="206"/>
  <c r="H23" i="206" s="1"/>
  <c r="F23" i="206"/>
  <c r="D23" i="206"/>
  <c r="C23" i="206"/>
  <c r="G21" i="206"/>
  <c r="H21" i="206" s="1"/>
  <c r="F21" i="206"/>
  <c r="E21" i="206"/>
  <c r="D21" i="206"/>
  <c r="C21" i="206"/>
  <c r="F15" i="206"/>
  <c r="H15" i="206" s="1"/>
  <c r="I15" i="206" s="1"/>
  <c r="F14" i="206"/>
  <c r="C14" i="206"/>
  <c r="G12" i="206"/>
  <c r="H12" i="206" s="1"/>
  <c r="C12" i="206"/>
  <c r="G11" i="206"/>
  <c r="H11" i="206" s="1"/>
  <c r="C11" i="206"/>
  <c r="G10" i="206"/>
  <c r="H10" i="206" s="1"/>
  <c r="C10" i="206"/>
  <c r="G9" i="206"/>
  <c r="H9" i="206" s="1"/>
  <c r="C9" i="206"/>
  <c r="G8" i="206"/>
  <c r="H8" i="206" s="1"/>
  <c r="C8" i="206"/>
  <c r="F34" i="206"/>
  <c r="B2" i="206"/>
  <c r="A2" i="206"/>
  <c r="F33" i="206" s="1"/>
  <c r="F15" i="205"/>
  <c r="I15" i="205" s="1"/>
  <c r="G27" i="205"/>
  <c r="H27" i="205" s="1"/>
  <c r="F27" i="205"/>
  <c r="D27" i="205"/>
  <c r="C27" i="205"/>
  <c r="G23" i="205"/>
  <c r="H23" i="205" s="1"/>
  <c r="F23" i="205"/>
  <c r="D23" i="205"/>
  <c r="C23" i="205"/>
  <c r="G21" i="205"/>
  <c r="H21" i="205" s="1"/>
  <c r="F21" i="205"/>
  <c r="E21" i="205"/>
  <c r="D21" i="205"/>
  <c r="C21" i="205"/>
  <c r="F14" i="205"/>
  <c r="G12" i="205"/>
  <c r="H12" i="205" s="1"/>
  <c r="F12" i="205"/>
  <c r="C12" i="205"/>
  <c r="G11" i="205"/>
  <c r="H11" i="205" s="1"/>
  <c r="F11" i="205"/>
  <c r="C11" i="205"/>
  <c r="G10" i="205"/>
  <c r="H10" i="205" s="1"/>
  <c r="F10" i="205"/>
  <c r="C10" i="205"/>
  <c r="G9" i="205"/>
  <c r="H9" i="205" s="1"/>
  <c r="F9" i="205"/>
  <c r="C9" i="205"/>
  <c r="G8" i="205"/>
  <c r="H8" i="205" s="1"/>
  <c r="F8" i="205"/>
  <c r="C8" i="205"/>
  <c r="F34" i="205"/>
  <c r="B2" i="205"/>
  <c r="A2" i="205"/>
  <c r="F33" i="205" s="1"/>
  <c r="F14" i="158"/>
  <c r="F12" i="158"/>
  <c r="C12" i="158"/>
  <c r="G12" i="158"/>
  <c r="H12" i="158" s="1"/>
  <c r="G11" i="158"/>
  <c r="H11" i="158" s="1"/>
  <c r="F11" i="158"/>
  <c r="C11" i="158"/>
  <c r="G10" i="158"/>
  <c r="H10" i="158" s="1"/>
  <c r="F10" i="158"/>
  <c r="C10" i="158"/>
  <c r="G9" i="158"/>
  <c r="H9" i="158" s="1"/>
  <c r="F9" i="158"/>
  <c r="C9" i="158"/>
  <c r="C8" i="158"/>
  <c r="F9" i="153"/>
  <c r="C10" i="153"/>
  <c r="C9" i="153"/>
  <c r="C8" i="153"/>
  <c r="I7" i="230" l="1"/>
  <c r="I25" i="230" s="1"/>
  <c r="I9" i="205"/>
  <c r="I7" i="212"/>
  <c r="I7" i="211"/>
  <c r="I31" i="211" s="1"/>
  <c r="I7" i="208"/>
  <c r="I7" i="223"/>
  <c r="I27" i="206"/>
  <c r="I7" i="224"/>
  <c r="I27" i="205"/>
  <c r="I23" i="206"/>
  <c r="I12" i="205"/>
  <c r="I8" i="205"/>
  <c r="I7" i="231"/>
  <c r="I25" i="231" s="1"/>
  <c r="I7" i="220"/>
  <c r="I7" i="232"/>
  <c r="I7" i="229"/>
  <c r="I7" i="228"/>
  <c r="I7" i="227"/>
  <c r="I7" i="219"/>
  <c r="I31" i="219" s="1"/>
  <c r="I7" i="225"/>
  <c r="I7" i="222"/>
  <c r="I7" i="221"/>
  <c r="I25" i="221" s="1"/>
  <c r="I7" i="218"/>
  <c r="I7" i="217"/>
  <c r="I7" i="216"/>
  <c r="I31" i="216" s="1"/>
  <c r="I7" i="215"/>
  <c r="I7" i="213"/>
  <c r="I30" i="213" s="1"/>
  <c r="I7" i="210"/>
  <c r="I7" i="209"/>
  <c r="I7" i="207"/>
  <c r="I30" i="207" s="1"/>
  <c r="I9" i="163"/>
  <c r="I8" i="163"/>
  <c r="I9" i="206"/>
  <c r="I12" i="206"/>
  <c r="I10" i="206"/>
  <c r="I11" i="206"/>
  <c r="I8" i="206"/>
  <c r="I23" i="205"/>
  <c r="I10" i="205"/>
  <c r="I11" i="205"/>
  <c r="I15" i="158"/>
  <c r="I10" i="158"/>
  <c r="I9" i="158"/>
  <c r="I12" i="158"/>
  <c r="I11" i="158"/>
  <c r="I7" i="205" l="1"/>
  <c r="I7" i="206"/>
  <c r="G14" i="163" l="1"/>
  <c r="H14" i="163" s="1"/>
  <c r="I14" i="163" s="1"/>
  <c r="C14" i="163"/>
  <c r="G9" i="153"/>
  <c r="H9" i="153" s="1"/>
  <c r="G10" i="153"/>
  <c r="H10" i="153" s="1"/>
  <c r="I10" i="153" s="1"/>
  <c r="I9" i="153" l="1"/>
  <c r="E18" i="153" l="1"/>
  <c r="G18" i="153"/>
  <c r="H18" i="153" s="1"/>
  <c r="F8" i="59"/>
  <c r="F5" i="59"/>
  <c r="F28" i="163"/>
  <c r="F26" i="163"/>
  <c r="F24" i="163"/>
  <c r="F21" i="163"/>
  <c r="I21" i="163" s="1"/>
  <c r="F20" i="163"/>
  <c r="I20" i="163" s="1"/>
  <c r="E24" i="163"/>
  <c r="G15" i="163"/>
  <c r="H15" i="163" s="1"/>
  <c r="C15" i="163"/>
  <c r="F39" i="163"/>
  <c r="G28" i="163"/>
  <c r="H28" i="163" s="1"/>
  <c r="D28" i="163"/>
  <c r="C28" i="163"/>
  <c r="G26" i="163"/>
  <c r="H26" i="163" s="1"/>
  <c r="D26" i="163"/>
  <c r="C26" i="163"/>
  <c r="G24" i="163"/>
  <c r="H24" i="163" s="1"/>
  <c r="D24" i="163"/>
  <c r="C24" i="163"/>
  <c r="G16" i="163"/>
  <c r="H16" i="163" s="1"/>
  <c r="C16" i="163"/>
  <c r="G13" i="163"/>
  <c r="H13" i="163" s="1"/>
  <c r="C13" i="163"/>
  <c r="G12" i="163"/>
  <c r="H12" i="163" s="1"/>
  <c r="C12" i="163"/>
  <c r="G11" i="163"/>
  <c r="H11" i="163" s="1"/>
  <c r="C11" i="163"/>
  <c r="G10" i="163"/>
  <c r="H10" i="163" s="1"/>
  <c r="C10" i="163"/>
  <c r="B2" i="163"/>
  <c r="A2" i="163"/>
  <c r="F38" i="163" s="1"/>
  <c r="D3" i="153"/>
  <c r="E3" i="158"/>
  <c r="A3" i="158"/>
  <c r="B3" i="158"/>
  <c r="E20" i="158"/>
  <c r="F26" i="158"/>
  <c r="F22" i="158"/>
  <c r="F20" i="158"/>
  <c r="F8" i="158"/>
  <c r="F12" i="153"/>
  <c r="F14" i="153"/>
  <c r="F15" i="153"/>
  <c r="F18" i="153"/>
  <c r="F20" i="153"/>
  <c r="F22" i="153"/>
  <c r="I18" i="153" l="1"/>
  <c r="I12" i="163"/>
  <c r="I13" i="163"/>
  <c r="I26" i="163"/>
  <c r="I11" i="163"/>
  <c r="I15" i="163"/>
  <c r="I10" i="163"/>
  <c r="I16" i="163"/>
  <c r="G21" i="163"/>
  <c r="I28" i="163"/>
  <c r="I7" i="163" l="1"/>
  <c r="G26" i="158" l="1"/>
  <c r="H26" i="158" s="1"/>
  <c r="I26" i="158" s="1"/>
  <c r="D26" i="158"/>
  <c r="C26" i="158"/>
  <c r="G22" i="158"/>
  <c r="H22" i="158" s="1"/>
  <c r="I22" i="158" s="1"/>
  <c r="D22" i="158"/>
  <c r="C22" i="158"/>
  <c r="G20" i="158"/>
  <c r="H20" i="158" s="1"/>
  <c r="D20" i="158"/>
  <c r="C20" i="158"/>
  <c r="C14" i="158"/>
  <c r="F33" i="158"/>
  <c r="B2" i="158"/>
  <c r="A2" i="158"/>
  <c r="F32" i="158" s="1"/>
  <c r="G8" i="158" l="1"/>
  <c r="H8" i="158" s="1"/>
  <c r="I8" i="158" s="1"/>
  <c r="I7" i="158" s="1"/>
  <c r="G8" i="153"/>
  <c r="B2" i="153" l="1"/>
  <c r="A2" i="153"/>
  <c r="G22" i="153"/>
  <c r="H22" i="153" s="1"/>
  <c r="I22" i="153" s="1"/>
  <c r="G20" i="153"/>
  <c r="H20" i="153" s="1"/>
  <c r="I20" i="153" s="1"/>
  <c r="I15" i="153"/>
  <c r="I14" i="153"/>
  <c r="C18" i="153"/>
  <c r="C12" i="153"/>
  <c r="D18" i="153"/>
  <c r="D22" i="153"/>
  <c r="D20" i="153"/>
  <c r="C22" i="153"/>
  <c r="C20" i="153"/>
  <c r="G15" i="153" l="1"/>
  <c r="F29" i="153" l="1"/>
  <c r="F28" i="153"/>
  <c r="H8" i="153" l="1"/>
  <c r="I8" i="153" l="1"/>
  <c r="I7" i="153" s="1"/>
  <c r="I23" i="153" s="1"/>
  <c r="C16" i="110" l="1"/>
  <c r="B14" i="110"/>
  <c r="B13" i="110"/>
  <c r="D11" i="110"/>
  <c r="B7" i="110"/>
  <c r="B6" i="110"/>
  <c r="I26" i="227" l="1"/>
  <c r="I25" i="227" s="1"/>
  <c r="I27" i="232"/>
  <c r="I26" i="232" s="1"/>
  <c r="I26" i="228"/>
  <c r="I25" i="228" s="1"/>
  <c r="I26" i="243"/>
  <c r="I25" i="243" s="1"/>
  <c r="I27" i="225"/>
  <c r="I26" i="225" s="1"/>
  <c r="I24" i="220"/>
  <c r="I23" i="220" s="1"/>
  <c r="I29" i="212"/>
  <c r="I28" i="212" s="1"/>
  <c r="I26" i="223"/>
  <c r="I25" i="223" s="1"/>
  <c r="I28" i="208"/>
  <c r="I27" i="208" s="1"/>
  <c r="I26" i="222"/>
  <c r="I25" i="222" s="1"/>
  <c r="I30" i="210"/>
  <c r="I29" i="210" s="1"/>
  <c r="I25" i="229"/>
  <c r="I24" i="229" s="1"/>
  <c r="I27" i="224"/>
  <c r="I26" i="224" s="1"/>
  <c r="I30" i="218"/>
  <c r="I29" i="218" s="1"/>
  <c r="I30" i="209"/>
  <c r="I29" i="209" s="1"/>
  <c r="I25" i="234"/>
  <c r="I24" i="234" s="1"/>
  <c r="I25" i="217"/>
  <c r="I24" i="217" s="1"/>
  <c r="I23" i="215"/>
  <c r="I22" i="215" s="1"/>
  <c r="I29" i="163"/>
  <c r="M4" i="9"/>
  <c r="L4" i="9"/>
  <c r="N4" i="9" l="1"/>
  <c r="G14" i="205" s="1"/>
  <c r="G11" i="221"/>
  <c r="Q4" i="9" l="1"/>
  <c r="P4" i="9"/>
  <c r="G14" i="158"/>
  <c r="G12" i="153"/>
  <c r="G13" i="217"/>
  <c r="G12" i="220"/>
  <c r="G12" i="241"/>
  <c r="G14" i="206"/>
  <c r="H14" i="205" l="1"/>
  <c r="I14" i="205" s="1"/>
  <c r="I13" i="205" s="1"/>
  <c r="I28" i="205" s="1"/>
  <c r="H12" i="241"/>
  <c r="I12" i="241" s="1"/>
  <c r="H12" i="220"/>
  <c r="I12" i="220" s="1"/>
  <c r="I11" i="220" s="1"/>
  <c r="I26" i="220" s="1"/>
  <c r="H14" i="158"/>
  <c r="I14" i="158" s="1"/>
  <c r="I13" i="158" s="1"/>
  <c r="I27" i="158" s="1"/>
  <c r="H11" i="221"/>
  <c r="I11" i="221" s="1"/>
  <c r="H13" i="217"/>
  <c r="I13" i="217" s="1"/>
  <c r="I12" i="217" s="1"/>
  <c r="I27" i="217" s="1"/>
  <c r="H12" i="153"/>
  <c r="I12" i="153" s="1"/>
  <c r="H14" i="206"/>
  <c r="I14" i="206" s="1"/>
  <c r="I13" i="206" s="1"/>
  <c r="I28" i="206" s="1"/>
  <c r="G14" i="243"/>
  <c r="G11" i="239"/>
  <c r="G10" i="238"/>
  <c r="G11" i="237"/>
  <c r="G13" i="234"/>
  <c r="G15" i="233"/>
  <c r="G11" i="231"/>
  <c r="G11" i="215"/>
  <c r="G16" i="213"/>
  <c r="G15" i="225"/>
  <c r="G14" i="222"/>
  <c r="G15" i="232"/>
  <c r="G14" i="223"/>
  <c r="G17" i="211"/>
  <c r="G18" i="209"/>
  <c r="G14" i="227"/>
  <c r="G14" i="228"/>
  <c r="G17" i="219"/>
  <c r="G18" i="218"/>
  <c r="G15" i="224"/>
  <c r="G18" i="210"/>
  <c r="G16" i="208"/>
  <c r="G16" i="207"/>
  <c r="G11" i="230"/>
  <c r="G17" i="216"/>
  <c r="G17" i="212"/>
  <c r="H14" i="243" l="1"/>
  <c r="I14" i="243" s="1"/>
  <c r="I13" i="243" s="1"/>
  <c r="I28" i="243" s="1"/>
  <c r="H13" i="234"/>
  <c r="I13" i="234" s="1"/>
  <c r="I12" i="234" s="1"/>
  <c r="I27" i="234" s="1"/>
  <c r="H11" i="237"/>
  <c r="I11" i="237" s="1"/>
  <c r="H11" i="239"/>
  <c r="I11" i="239" s="1"/>
  <c r="H10" i="238"/>
  <c r="I10" i="238" s="1"/>
  <c r="H15" i="225"/>
  <c r="I15" i="225" s="1"/>
  <c r="I14" i="225" s="1"/>
  <c r="I29" i="225" s="1"/>
  <c r="H14" i="222"/>
  <c r="I14" i="222" s="1"/>
  <c r="I13" i="222" s="1"/>
  <c r="I28" i="222" s="1"/>
  <c r="H15" i="232"/>
  <c r="I15" i="232" s="1"/>
  <c r="H14" i="223"/>
  <c r="I14" i="223" s="1"/>
  <c r="I13" i="223" s="1"/>
  <c r="I28" i="223" s="1"/>
  <c r="H17" i="211"/>
  <c r="I17" i="211" s="1"/>
  <c r="H18" i="209"/>
  <c r="I18" i="209" s="1"/>
  <c r="I17" i="209" s="1"/>
  <c r="I32" i="209" s="1"/>
  <c r="H17" i="216"/>
  <c r="I17" i="216" s="1"/>
  <c r="H14" i="228"/>
  <c r="I14" i="228" s="1"/>
  <c r="I13" i="228" s="1"/>
  <c r="I28" i="228" s="1"/>
  <c r="H18" i="218"/>
  <c r="I18" i="218" s="1"/>
  <c r="I17" i="218" s="1"/>
  <c r="I32" i="218" s="1"/>
  <c r="H15" i="233"/>
  <c r="I15" i="233" s="1"/>
  <c r="H14" i="229"/>
  <c r="I14" i="229" s="1"/>
  <c r="I13" i="229" s="1"/>
  <c r="I27" i="229" s="1"/>
  <c r="H15" i="224"/>
  <c r="I15" i="224" s="1"/>
  <c r="I14" i="224" s="1"/>
  <c r="I29" i="224" s="1"/>
  <c r="H18" i="210"/>
  <c r="I18" i="210" s="1"/>
  <c r="I17" i="210" s="1"/>
  <c r="I32" i="210" s="1"/>
  <c r="H16" i="208"/>
  <c r="I16" i="208" s="1"/>
  <c r="I15" i="208" s="1"/>
  <c r="I30" i="208" s="1"/>
  <c r="H16" i="207"/>
  <c r="I16" i="207" s="1"/>
  <c r="H16" i="213"/>
  <c r="I16" i="213" s="1"/>
  <c r="H11" i="230"/>
  <c r="I11" i="230" s="1"/>
  <c r="H14" i="227"/>
  <c r="I14" i="227" s="1"/>
  <c r="I13" i="227" s="1"/>
  <c r="I28" i="227" s="1"/>
  <c r="H17" i="219"/>
  <c r="I17" i="219" s="1"/>
  <c r="H17" i="212"/>
  <c r="I17" i="212" s="1"/>
  <c r="I16" i="212" s="1"/>
  <c r="I31" i="212" s="1"/>
  <c r="H11" i="231"/>
  <c r="I11" i="231" s="1"/>
  <c r="H11" i="215"/>
  <c r="I11" i="215" s="1"/>
  <c r="I10" i="215" s="1"/>
  <c r="I25" i="215" s="1"/>
  <c r="H18" i="163"/>
  <c r="I18" i="163" s="1"/>
  <c r="I17" i="163" s="1"/>
  <c r="I32" i="163" s="1"/>
  <c r="I14" i="232" l="1"/>
  <c r="I29" i="232" s="1"/>
  <c r="C8" i="110"/>
  <c r="C11" i="110"/>
  <c r="D8" i="110"/>
  <c r="D17" i="110" s="1"/>
  <c r="C17" i="110" l="1"/>
  <c r="I26" i="237"/>
  <c r="I27" i="237" s="1"/>
  <c r="I28" i="237" s="1"/>
  <c r="H31" i="237" s="1"/>
  <c r="G34" i="59" s="1"/>
  <c r="H34" i="59" s="1"/>
  <c r="H33" i="163"/>
  <c r="I33" i="163" s="1"/>
  <c r="I28" i="234"/>
  <c r="I30" i="233"/>
  <c r="I31" i="233" s="1"/>
  <c r="H34" i="233" s="1"/>
  <c r="G32" i="59" s="1"/>
  <c r="H32" i="59" s="1"/>
  <c r="I29" i="243"/>
  <c r="I30" i="232"/>
  <c r="I29" i="223"/>
  <c r="I26" i="215"/>
  <c r="H29" i="206"/>
  <c r="I29" i="206" s="1"/>
  <c r="I30" i="206" s="1"/>
  <c r="H34" i="206" s="1"/>
  <c r="G7" i="59" s="1"/>
  <c r="H7" i="59" s="1"/>
  <c r="I33" i="210"/>
  <c r="I29" i="222"/>
  <c r="H31" i="213"/>
  <c r="I31" i="213" s="1"/>
  <c r="I32" i="213" s="1"/>
  <c r="H35" i="213" s="1"/>
  <c r="G14" i="59" s="1"/>
  <c r="H14" i="59" s="1"/>
  <c r="H29" i="205"/>
  <c r="I29" i="205" s="1"/>
  <c r="I30" i="205" s="1"/>
  <c r="H34" i="205" s="1"/>
  <c r="G6" i="59" s="1"/>
  <c r="H6" i="59" s="1"/>
  <c r="I26" i="221"/>
  <c r="I27" i="221" s="1"/>
  <c r="H30" i="221" s="1"/>
  <c r="I30" i="221" s="1"/>
  <c r="I32" i="212"/>
  <c r="I33" i="212" s="1"/>
  <c r="I33" i="218"/>
  <c r="I34" i="218" s="1"/>
  <c r="I30" i="225"/>
  <c r="I32" i="216"/>
  <c r="I33" i="216" s="1"/>
  <c r="H37" i="216" s="1"/>
  <c r="I37" i="216" s="1"/>
  <c r="I26" i="231"/>
  <c r="I27" i="231" s="1"/>
  <c r="I28" i="231" s="1"/>
  <c r="H31" i="231" s="1"/>
  <c r="G30" i="59" s="1"/>
  <c r="H30" i="59" s="1"/>
  <c r="I30" i="224"/>
  <c r="I26" i="241"/>
  <c r="I27" i="241" s="1"/>
  <c r="I28" i="241" s="1"/>
  <c r="I26" i="230"/>
  <c r="I27" i="230" s="1"/>
  <c r="I28" i="230" s="1"/>
  <c r="H31" i="230" s="1"/>
  <c r="G29" i="59" s="1"/>
  <c r="H29" i="59" s="1"/>
  <c r="H28" i="158"/>
  <c r="I28" i="158" s="1"/>
  <c r="I29" i="158" s="1"/>
  <c r="H33" i="158" s="1"/>
  <c r="G5" i="59" s="1"/>
  <c r="H5" i="59" s="1"/>
  <c r="I28" i="217"/>
  <c r="I29" i="217" s="1"/>
  <c r="I25" i="239"/>
  <c r="I26" i="239" s="1"/>
  <c r="H29" i="239" s="1"/>
  <c r="I29" i="239" s="1"/>
  <c r="I28" i="229"/>
  <c r="I27" i="220"/>
  <c r="I28" i="220" s="1"/>
  <c r="I32" i="211"/>
  <c r="I33" i="211" s="1"/>
  <c r="I34" i="211" s="1"/>
  <c r="H37" i="211" s="1"/>
  <c r="I37" i="211" s="1"/>
  <c r="H24" i="153"/>
  <c r="I24" i="153" s="1"/>
  <c r="I25" i="153" s="1"/>
  <c r="H29" i="153" s="1"/>
  <c r="I25" i="238"/>
  <c r="I26" i="238" s="1"/>
  <c r="H29" i="238" s="1"/>
  <c r="I29" i="238" s="1"/>
  <c r="I29" i="228"/>
  <c r="I32" i="219"/>
  <c r="I33" i="219" s="1"/>
  <c r="H36" i="219" s="1"/>
  <c r="G19" i="59" s="1"/>
  <c r="H19" i="59" s="1"/>
  <c r="I33" i="209"/>
  <c r="I34" i="209" s="1"/>
  <c r="I29" i="227"/>
  <c r="H31" i="208"/>
  <c r="I31" i="208" s="1"/>
  <c r="H31" i="207"/>
  <c r="I31" i="207" s="1"/>
  <c r="I32" i="207" s="1"/>
  <c r="I35" i="213" l="1"/>
  <c r="I32" i="224"/>
  <c r="H36" i="224" s="1"/>
  <c r="G4" i="59"/>
  <c r="H4" i="59" s="1"/>
  <c r="I29" i="153"/>
  <c r="I33" i="208"/>
  <c r="H37" i="208" s="1"/>
  <c r="I30" i="220"/>
  <c r="H33" i="220" s="1"/>
  <c r="I31" i="222"/>
  <c r="H35" i="222" s="1"/>
  <c r="I30" i="234"/>
  <c r="I31" i="234" s="1"/>
  <c r="H34" i="234" s="1"/>
  <c r="I31" i="227"/>
  <c r="I32" i="227" s="1"/>
  <c r="H35" i="227" s="1"/>
  <c r="I30" i="229"/>
  <c r="I31" i="229" s="1"/>
  <c r="H34" i="229" s="1"/>
  <c r="I35" i="210"/>
  <c r="I36" i="210" s="1"/>
  <c r="H39" i="210" s="1"/>
  <c r="I35" i="163"/>
  <c r="H39" i="163" s="1"/>
  <c r="I31" i="243"/>
  <c r="H34" i="243" s="1"/>
  <c r="I34" i="243" s="1"/>
  <c r="I32" i="225"/>
  <c r="I33" i="225" s="1"/>
  <c r="H36" i="225" s="1"/>
  <c r="I36" i="225" s="1"/>
  <c r="I31" i="217"/>
  <c r="H34" i="217" s="1"/>
  <c r="I36" i="218"/>
  <c r="H39" i="218" s="1"/>
  <c r="I28" i="215"/>
  <c r="H31" i="215" s="1"/>
  <c r="I36" i="209"/>
  <c r="H39" i="209" s="1"/>
  <c r="G11" i="59" s="1"/>
  <c r="H11" i="59" s="1"/>
  <c r="I31" i="228"/>
  <c r="I32" i="228" s="1"/>
  <c r="H35" i="228" s="1"/>
  <c r="G27" i="59" s="1"/>
  <c r="H27" i="59" s="1"/>
  <c r="I35" i="212"/>
  <c r="H38" i="212" s="1"/>
  <c r="G13" i="59" s="1"/>
  <c r="H13" i="59" s="1"/>
  <c r="I31" i="223"/>
  <c r="I32" i="223" s="1"/>
  <c r="H35" i="223" s="1"/>
  <c r="I32" i="232"/>
  <c r="I33" i="232" s="1"/>
  <c r="H36" i="232" s="1"/>
  <c r="H36" i="207"/>
  <c r="H31" i="241"/>
  <c r="G37" i="59" s="1"/>
  <c r="H37" i="59" s="1"/>
  <c r="G12" i="59"/>
  <c r="H12" i="59" s="1"/>
  <c r="I34" i="233"/>
  <c r="I31" i="231"/>
  <c r="I31" i="237"/>
  <c r="G16" i="59"/>
  <c r="H16" i="59" s="1"/>
  <c r="I33" i="158"/>
  <c r="G21" i="59"/>
  <c r="H21" i="59" s="1"/>
  <c r="I31" i="230"/>
  <c r="G35" i="59"/>
  <c r="H35" i="59" s="1"/>
  <c r="I36" i="219"/>
  <c r="G36" i="59"/>
  <c r="H36" i="59" s="1"/>
  <c r="G39" i="59" s="1"/>
  <c r="H39" i="59" s="1"/>
  <c r="I34" i="206"/>
  <c r="I34" i="205"/>
  <c r="I37" i="208" l="1"/>
  <c r="G10" i="59"/>
  <c r="H10" i="59" s="1"/>
  <c r="I39" i="218"/>
  <c r="G18" i="59"/>
  <c r="H18" i="59" s="1"/>
  <c r="I34" i="217"/>
  <c r="G17" i="59"/>
  <c r="H17" i="59" s="1"/>
  <c r="I38" i="212"/>
  <c r="G20" i="59"/>
  <c r="H20" i="59" s="1"/>
  <c r="I33" i="220"/>
  <c r="I35" i="222"/>
  <c r="G22" i="59"/>
  <c r="H22" i="59" s="1"/>
  <c r="G15" i="59"/>
  <c r="H15" i="59" s="1"/>
  <c r="I31" i="215"/>
  <c r="I39" i="163"/>
  <c r="G8" i="59"/>
  <c r="H8" i="59" s="1"/>
  <c r="I35" i="223"/>
  <c r="G23" i="59"/>
  <c r="H23" i="59" s="1"/>
  <c r="I39" i="210"/>
  <c r="G38" i="59"/>
  <c r="H38" i="59" s="1"/>
  <c r="G28" i="59"/>
  <c r="H28" i="59" s="1"/>
  <c r="I34" i="229"/>
  <c r="G33" i="59"/>
  <c r="H33" i="59" s="1"/>
  <c r="I34" i="234"/>
  <c r="I36" i="232"/>
  <c r="G31" i="59"/>
  <c r="H31" i="59" s="1"/>
  <c r="I35" i="227"/>
  <c r="G26" i="59"/>
  <c r="H26" i="59" s="1"/>
  <c r="G24" i="59"/>
  <c r="H24" i="59" s="1"/>
  <c r="I36" i="224"/>
  <c r="I39" i="209"/>
  <c r="G25" i="59"/>
  <c r="H25" i="59" s="1"/>
  <c r="I35" i="228"/>
  <c r="G9" i="59"/>
  <c r="H9" i="59" s="1"/>
  <c r="I36" i="207"/>
  <c r="I31" i="241"/>
  <c r="H2" i="59" l="1"/>
</calcChain>
</file>

<file path=xl/sharedStrings.xml><?xml version="1.0" encoding="utf-8"?>
<sst xmlns="http://schemas.openxmlformats.org/spreadsheetml/2006/main" count="2792" uniqueCount="535">
  <si>
    <t>FICHA DE COMPOSIÇÃO DE PREÇOS</t>
  </si>
  <si>
    <r>
      <rPr>
        <sz val="11"/>
        <rFont val="Arial MT"/>
        <family val="2"/>
      </rPr>
      <t>ITEM</t>
    </r>
  </si>
  <si>
    <r>
      <rPr>
        <sz val="11"/>
        <rFont val="Arial MT"/>
        <family val="2"/>
      </rPr>
      <t>CÓDIGO</t>
    </r>
  </si>
  <si>
    <r>
      <rPr>
        <sz val="11"/>
        <rFont val="Arial MT"/>
        <family val="2"/>
      </rPr>
      <t>DESCRIÇÃO DO SERVIÇO</t>
    </r>
  </si>
  <si>
    <r>
      <rPr>
        <sz val="11"/>
        <rFont val="Arial MT"/>
        <family val="2"/>
      </rPr>
      <t>UNIDADE</t>
    </r>
  </si>
  <si>
    <r>
      <rPr>
        <sz val="11"/>
        <rFont val="Arial MT"/>
        <family val="2"/>
      </rPr>
      <t>QUANTIDADE</t>
    </r>
  </si>
  <si>
    <t>CUSTO MENSAL (R$)</t>
  </si>
  <si>
    <t>UNIDADE</t>
  </si>
  <si>
    <t>TOTAL (H)</t>
  </si>
  <si>
    <t>UNITÁRIO (MÊS)</t>
  </si>
  <si>
    <t>UNITÁRIO (H)</t>
  </si>
  <si>
    <r>
      <rPr>
        <sz val="11"/>
        <rFont val="Arial MT"/>
        <family val="2"/>
      </rPr>
      <t>TOTAL</t>
    </r>
  </si>
  <si>
    <t>1.</t>
  </si>
  <si>
    <t>PESSOAL</t>
  </si>
  <si>
    <t>P8033</t>
  </si>
  <si>
    <t>unidade</t>
  </si>
  <si>
    <t>P8069</t>
  </si>
  <si>
    <t>P8155</t>
  </si>
  <si>
    <t>P8058</t>
  </si>
  <si>
    <t>P8081</t>
  </si>
  <si>
    <t>P8184</t>
  </si>
  <si>
    <t>2.</t>
  </si>
  <si>
    <t>VEÍCULOS</t>
  </si>
  <si>
    <t>E8891</t>
  </si>
  <si>
    <t>3.</t>
  </si>
  <si>
    <t>EQUIPAMENTOS E SOFTWARES</t>
  </si>
  <si>
    <t>E4</t>
  </si>
  <si>
    <t>Desktop Geoprocessamento</t>
  </si>
  <si>
    <r>
      <rPr>
        <sz val="11"/>
        <rFont val="Arial MT"/>
        <family val="2"/>
      </rPr>
      <t>EQ0012</t>
    </r>
  </si>
  <si>
    <r>
      <rPr>
        <sz val="11"/>
        <rFont val="Arial MT"/>
        <family val="2"/>
      </rPr>
      <t>HD externo USB 3.0 4 TB, portátil</t>
    </r>
  </si>
  <si>
    <t>4.</t>
  </si>
  <si>
    <t>INSTALAÇÕES FÍSICAS</t>
  </si>
  <si>
    <r>
      <rPr>
        <sz val="11"/>
        <rFont val="Arial MT"/>
        <family val="2"/>
      </rPr>
      <t>4.1.</t>
    </r>
  </si>
  <si>
    <t>IMÓVEIS</t>
  </si>
  <si>
    <r>
      <rPr>
        <sz val="11"/>
        <rFont val="Arial MT"/>
        <family val="2"/>
      </rPr>
      <t>B8951</t>
    </r>
  </si>
  <si>
    <r>
      <rPr>
        <sz val="11"/>
        <rFont val="Arial MT"/>
        <family val="2"/>
      </rPr>
      <t>4.2.</t>
    </r>
  </si>
  <si>
    <t>MOBILIÁRIO</t>
  </si>
  <si>
    <r>
      <rPr>
        <sz val="11"/>
        <rFont val="Arial MT"/>
        <family val="2"/>
      </rPr>
      <t>B8953</t>
    </r>
  </si>
  <si>
    <r>
      <rPr>
        <sz val="11"/>
        <rFont val="Arial MT"/>
        <family val="2"/>
      </rPr>
      <t>4.3.</t>
    </r>
  </si>
  <si>
    <t>CUSTOS DIVERSOS</t>
  </si>
  <si>
    <r>
      <rPr>
        <sz val="11"/>
        <rFont val="Arial MT"/>
        <family val="2"/>
      </rPr>
      <t>B8959</t>
    </r>
  </si>
  <si>
    <t>CUSTO TOTAL</t>
  </si>
  <si>
    <t>B.D.I</t>
  </si>
  <si>
    <t>PREÇO UNITÁRIO REFERENCIAL</t>
  </si>
  <si>
    <t>QUADRO RESUMO</t>
  </si>
  <si>
    <t>Qtde</t>
  </si>
  <si>
    <t>R$/Unitário</t>
  </si>
  <si>
    <t>Custo total</t>
  </si>
  <si>
    <t>Orçamento Referencial</t>
  </si>
  <si>
    <t>GEMAB/SUGAT/DIREM</t>
  </si>
  <si>
    <t>Benefícios e Despesas Indiretas - BDI</t>
  </si>
  <si>
    <t>Despesas Indiretas</t>
  </si>
  <si>
    <t>% sobre o PV</t>
  </si>
  <si>
    <t>% sobre o CD</t>
  </si>
  <si>
    <t>Administração Central</t>
  </si>
  <si>
    <t>Variável - f (CD)</t>
  </si>
  <si>
    <t>Despesas Financeiras</t>
  </si>
  <si>
    <t>Riscos</t>
  </si>
  <si>
    <t>Garantias Contratuais</t>
  </si>
  <si>
    <t>Subtotal 1</t>
  </si>
  <si>
    <t>Benefícios</t>
  </si>
  <si>
    <t>Lucro Operacional</t>
  </si>
  <si>
    <t>Subtotal 2</t>
  </si>
  <si>
    <t>Tributos</t>
  </si>
  <si>
    <t>PIS</t>
  </si>
  <si>
    <t>COFINS</t>
  </si>
  <si>
    <t>ISSQN*</t>
  </si>
  <si>
    <t>Subtotal 3</t>
  </si>
  <si>
    <t>Total - BDI (%)</t>
  </si>
  <si>
    <t>DADOS DE ENTRADA</t>
  </si>
  <si>
    <t>SELIC</t>
  </si>
  <si>
    <t>ISSQN:</t>
  </si>
  <si>
    <t>ORÇAMENTO DESONERADO?</t>
  </si>
  <si>
    <t>sem desoneração</t>
  </si>
  <si>
    <t>OBSERVAÇÃO:</t>
  </si>
  <si>
    <t>CÓDIGO</t>
  </si>
  <si>
    <t>DESCRIÇÃO</t>
  </si>
  <si>
    <t>NO MÊS</t>
  </si>
  <si>
    <t>TOTAL</t>
  </si>
  <si>
    <t>UNITÁRIO</t>
  </si>
  <si>
    <t>-</t>
  </si>
  <si>
    <t>Administrador júnior</t>
  </si>
  <si>
    <t>Administrador pleno</t>
  </si>
  <si>
    <t>Advogado júnior</t>
  </si>
  <si>
    <t>Advogado pleno</t>
  </si>
  <si>
    <t>Analista de desenvolvimento de sistemas pleno</t>
  </si>
  <si>
    <t>Antropólogo sênior</t>
  </si>
  <si>
    <t>Arqueólogo pleno</t>
  </si>
  <si>
    <t>Assistente social pleno</t>
  </si>
  <si>
    <t>Biólogo pleno</t>
  </si>
  <si>
    <t xml:space="preserve">Coordenador ambiental </t>
  </si>
  <si>
    <t>Economista júnior</t>
  </si>
  <si>
    <t>Engenheiro agrônomo júnior</t>
  </si>
  <si>
    <t>Engenheiro agrônomo pleno</t>
  </si>
  <si>
    <t>Engenheiro ambiental pleno</t>
  </si>
  <si>
    <t>Engenheiro consultor especial</t>
  </si>
  <si>
    <t>Engenheiro coordenador</t>
  </si>
  <si>
    <t>Engenheiro de projetos pleno</t>
  </si>
  <si>
    <t>Engenheiro florestal pleno</t>
  </si>
  <si>
    <t>Geógrafo pleno</t>
  </si>
  <si>
    <t>Geólogo pleno</t>
  </si>
  <si>
    <t>Paleontólogo sênior</t>
  </si>
  <si>
    <t>Sociólogo pleno</t>
  </si>
  <si>
    <t>Auxiliar administrativo</t>
  </si>
  <si>
    <t>Técnico ambiental</t>
  </si>
  <si>
    <t>Técnico em geoprocessamento</t>
  </si>
  <si>
    <t>MÃO DE OBRA</t>
  </si>
  <si>
    <t>Código</t>
  </si>
  <si>
    <t>Tipo</t>
  </si>
  <si>
    <t>Valor Total</t>
  </si>
  <si>
    <t>CUSTO HORÁRIO (R$)</t>
  </si>
  <si>
    <t>QUANTIDADE DE HORAS</t>
  </si>
  <si>
    <t>HORAS TRAB. / MÊS</t>
  </si>
  <si>
    <t>com encargos</t>
  </si>
  <si>
    <t xml:space="preserve">CHP </t>
  </si>
  <si>
    <t xml:space="preserve">CHI </t>
  </si>
  <si>
    <t>PROD</t>
  </si>
  <si>
    <t>IMPROD.</t>
  </si>
  <si>
    <t>CHP</t>
  </si>
  <si>
    <t>CHI</t>
  </si>
  <si>
    <t>P8173</t>
  </si>
  <si>
    <t>E8889</t>
  </si>
  <si>
    <t>h</t>
  </si>
  <si>
    <t>P8174</t>
  </si>
  <si>
    <t>P8175</t>
  </si>
  <si>
    <t>Administrador sênior</t>
  </si>
  <si>
    <t>CUSTO DIÁRIO (R$)</t>
  </si>
  <si>
    <t>P8001</t>
  </si>
  <si>
    <t>P8002</t>
  </si>
  <si>
    <t>P8003</t>
  </si>
  <si>
    <t>Advogado sênior</t>
  </si>
  <si>
    <t>CÁLCULO DE HORAS MENSAIS</t>
  </si>
  <si>
    <t>P8007</t>
  </si>
  <si>
    <t>Analista de desenvolvimento de sistemas júnior</t>
  </si>
  <si>
    <t>produtivas</t>
  </si>
  <si>
    <t>improdutivas</t>
  </si>
  <si>
    <t>P8008</t>
  </si>
  <si>
    <t>P8009</t>
  </si>
  <si>
    <t>Analista de desenvolvimento de sistemas sênior</t>
  </si>
  <si>
    <t>P8186</t>
  </si>
  <si>
    <t>Antropólogo júnior</t>
  </si>
  <si>
    <t>P8187</t>
  </si>
  <si>
    <t>Antropólogo pleno</t>
  </si>
  <si>
    <t>P8188</t>
  </si>
  <si>
    <t>P8189</t>
  </si>
  <si>
    <t>Arqueólogo júnior</t>
  </si>
  <si>
    <t>P8190</t>
  </si>
  <si>
    <t>P8191</t>
  </si>
  <si>
    <t>Arqueólogo sênior</t>
  </si>
  <si>
    <t>P8013</t>
  </si>
  <si>
    <t>Arquiteto júnior</t>
  </si>
  <si>
    <t>P8014</t>
  </si>
  <si>
    <t>Arquiteto pleno</t>
  </si>
  <si>
    <t>P8015</t>
  </si>
  <si>
    <t>Arquiteto sênior</t>
  </si>
  <si>
    <t>https://www.gov.br/dnit/pt-br/assuntos/planejamento-e-pesquisa/custos-e-pagamentos/custos-e-pagamentos-dnit/engenharia-consultiva/tabela-de-precos-de-consultoria-resolucao-no-11-2020/tabela-de-consultoria/Resoluon11.2020ModeObra.pdf</t>
  </si>
  <si>
    <t>P8167</t>
  </si>
  <si>
    <t>Arquivista júnior</t>
  </si>
  <si>
    <t>P8168</t>
  </si>
  <si>
    <t>Arquivista pleno</t>
  </si>
  <si>
    <t>P8169</t>
  </si>
  <si>
    <t>Arquivista sênior</t>
  </si>
  <si>
    <t>P8019</t>
  </si>
  <si>
    <t>Assistente social júnior</t>
  </si>
  <si>
    <t>P8020</t>
  </si>
  <si>
    <t>P8021</t>
  </si>
  <si>
    <t>Assistente social sênior</t>
  </si>
  <si>
    <t>P8025</t>
  </si>
  <si>
    <t>Auxiliar</t>
  </si>
  <si>
    <t>P8026</t>
  </si>
  <si>
    <t>P8027</t>
  </si>
  <si>
    <t>Auxiliar de laboratório</t>
  </si>
  <si>
    <t>P8028</t>
  </si>
  <si>
    <t>Auxiliar de topografia</t>
  </si>
  <si>
    <t>P8032</t>
  </si>
  <si>
    <t>Biólogo júnior</t>
  </si>
  <si>
    <t>P8034</t>
  </si>
  <si>
    <t>Biólogo sênior</t>
  </si>
  <si>
    <t>P8038</t>
  </si>
  <si>
    <t>Chefe de escritório</t>
  </si>
  <si>
    <t>P8040</t>
  </si>
  <si>
    <t>Contador júnior</t>
  </si>
  <si>
    <t>P8041</t>
  </si>
  <si>
    <t>Contador pleno</t>
  </si>
  <si>
    <t>P8042</t>
  </si>
  <si>
    <t>Contador sênior</t>
  </si>
  <si>
    <t>P8044</t>
  </si>
  <si>
    <t>P8045</t>
  </si>
  <si>
    <t>P8046</t>
  </si>
  <si>
    <t>Economista pleno</t>
  </si>
  <si>
    <t>UNID.</t>
  </si>
  <si>
    <t>PREÇO UNIT. (R$)</t>
  </si>
  <si>
    <t>P8047</t>
  </si>
  <si>
    <t>Economista sênior</t>
  </si>
  <si>
    <t>MA1060</t>
  </si>
  <si>
    <t>PASSAGEM AÉREA - DESTINO NACIONAL</t>
  </si>
  <si>
    <t>P8180</t>
  </si>
  <si>
    <t>Engenheiro agrimensor júnior</t>
  </si>
  <si>
    <t>MA1058</t>
  </si>
  <si>
    <t>DIÁRIA (CONF. DECRETO 11.117 PR) - CUSTO MÉDIO CAT. D</t>
  </si>
  <si>
    <t>P8181</t>
  </si>
  <si>
    <t>Engenheiro agrimensor pleno</t>
  </si>
  <si>
    <t>P8182</t>
  </si>
  <si>
    <t>Engenheiro agrimensor sênior</t>
  </si>
  <si>
    <t>P8054</t>
  </si>
  <si>
    <t>PASSAGENS E DIÁRIAS</t>
  </si>
  <si>
    <t>P8055</t>
  </si>
  <si>
    <t>P8056</t>
  </si>
  <si>
    <t>Engenheiro agrônomo sênior</t>
  </si>
  <si>
    <t>HORAS/MÊS</t>
  </si>
  <si>
    <t>P8057</t>
  </si>
  <si>
    <t>Engenheiro ambiental júnior</t>
  </si>
  <si>
    <t>DIÁRIA (CONF. DECRETO 11.117 PR - CUSTO MEDIANO</t>
  </si>
  <si>
    <t>P8059</t>
  </si>
  <si>
    <t>Engenheiro ambiental sênior</t>
  </si>
  <si>
    <t>P8060</t>
  </si>
  <si>
    <t>P8061</t>
  </si>
  <si>
    <t>a) Ministros de Estado</t>
  </si>
  <si>
    <t>P8062</t>
  </si>
  <si>
    <t>Engenheiro de pesca júnior</t>
  </si>
  <si>
    <t>b) Cargos de Natureza Especial; CCE-18</t>
  </si>
  <si>
    <t>P8063</t>
  </si>
  <si>
    <t>Engenheiro de pesca pleno</t>
  </si>
  <si>
    <t>c) CCE-17; CCE-16; CCE-15; CCE-14; CCE-13 e equivalentes</t>
  </si>
  <si>
    <t>P8064</t>
  </si>
  <si>
    <t>Engenheiro de pesca sênior</t>
  </si>
  <si>
    <t>d) Demais cargos, empregos e funções</t>
  </si>
  <si>
    <t>P8065</t>
  </si>
  <si>
    <t>Engenheiro de projetos júnior</t>
  </si>
  <si>
    <t>P8066</t>
  </si>
  <si>
    <t>P8067</t>
  </si>
  <si>
    <t>Engenheiro de projetos sênior</t>
  </si>
  <si>
    <t>P8068</t>
  </si>
  <si>
    <t>Engenheiro florestal júnior</t>
  </si>
  <si>
    <t>P8070</t>
  </si>
  <si>
    <t>Engenheiro florestal sênior</t>
  </si>
  <si>
    <t>P8183</t>
  </si>
  <si>
    <t>Geógrafo júnior</t>
  </si>
  <si>
    <t>P8185</t>
  </si>
  <si>
    <t>Geógrafo sênior</t>
  </si>
  <si>
    <t>P8080</t>
  </si>
  <si>
    <t>Geólogo júnior</t>
  </si>
  <si>
    <t>P8082</t>
  </si>
  <si>
    <t>Geólogo sênior</t>
  </si>
  <si>
    <t>P8192</t>
  </si>
  <si>
    <t>Historiador júnior</t>
  </si>
  <si>
    <t>P8193</t>
  </si>
  <si>
    <t>Historiador pleno</t>
  </si>
  <si>
    <t>P8194</t>
  </si>
  <si>
    <t>Historiador sênior</t>
  </si>
  <si>
    <t>P8092</t>
  </si>
  <si>
    <t>Jornalista júnior</t>
  </si>
  <si>
    <t>P8093</t>
  </si>
  <si>
    <t>Jornalista pleno</t>
  </si>
  <si>
    <t>P8094</t>
  </si>
  <si>
    <t>Jornalista sênior</t>
  </si>
  <si>
    <t>P8098</t>
  </si>
  <si>
    <t>Laboratorista</t>
  </si>
  <si>
    <t>P8102</t>
  </si>
  <si>
    <t>Médico veterinário</t>
  </si>
  <si>
    <t>P8106</t>
  </si>
  <si>
    <t>Meteorologista júnior</t>
  </si>
  <si>
    <t>P8107</t>
  </si>
  <si>
    <t>Meteorologista pleno</t>
  </si>
  <si>
    <t>Meses do contrato</t>
  </si>
  <si>
    <t>P8108</t>
  </si>
  <si>
    <t>Meteorologista sênior</t>
  </si>
  <si>
    <t>Dias no ano (DA)</t>
  </si>
  <si>
    <t>P8112</t>
  </si>
  <si>
    <t>Motorista de caminhão</t>
  </si>
  <si>
    <t>Dias úteis</t>
  </si>
  <si>
    <t>P8113</t>
  </si>
  <si>
    <t>Motorista de veículo leve</t>
  </si>
  <si>
    <t>Jornada diária de trabalho (JDT)</t>
  </si>
  <si>
    <t>P8264</t>
  </si>
  <si>
    <t>Motorista de veículo leve - horista</t>
  </si>
  <si>
    <t xml:space="preserve">Horas globais trabalháveis (7,333 horas/dia) (HT) </t>
  </si>
  <si>
    <t>P8117</t>
  </si>
  <si>
    <t>Oceanógrafo júnior</t>
  </si>
  <si>
    <t xml:space="preserve">Horas globais/mês trabalháveis </t>
  </si>
  <si>
    <t>P8118</t>
  </si>
  <si>
    <t>Oceanógrafo pleno</t>
  </si>
  <si>
    <t xml:space="preserve">Horas trabalhadas no ano (HT1) </t>
  </si>
  <si>
    <t>P8119</t>
  </si>
  <si>
    <t>Oceanógrafo sênior</t>
  </si>
  <si>
    <t>total contrato = horas</t>
  </si>
  <si>
    <t>P8195</t>
  </si>
  <si>
    <t>Paleontólogo júnior</t>
  </si>
  <si>
    <t>P8196</t>
  </si>
  <si>
    <t>Paleontólogo pleno</t>
  </si>
  <si>
    <t>P8197</t>
  </si>
  <si>
    <t>P8129</t>
  </si>
  <si>
    <t>Pedagogo júnior</t>
  </si>
  <si>
    <t>P8130</t>
  </si>
  <si>
    <t>Pedagogo pleno</t>
  </si>
  <si>
    <t>P8131</t>
  </si>
  <si>
    <t>Pedagogo sênior</t>
  </si>
  <si>
    <t>P8135</t>
  </si>
  <si>
    <t>Secretária</t>
  </si>
  <si>
    <t>P8198</t>
  </si>
  <si>
    <t>Sociólogo júnior</t>
  </si>
  <si>
    <t>P8199</t>
  </si>
  <si>
    <t>P8200</t>
  </si>
  <si>
    <t>Sociólogo sênior</t>
  </si>
  <si>
    <t>P8139</t>
  </si>
  <si>
    <t>Sondador</t>
  </si>
  <si>
    <t>P8143</t>
  </si>
  <si>
    <t>P8147</t>
  </si>
  <si>
    <t>Técnico de obras</t>
  </si>
  <si>
    <t>P8151</t>
  </si>
  <si>
    <t>Técnico de segurança do trabalho</t>
  </si>
  <si>
    <t>P8159</t>
  </si>
  <si>
    <t>Técnico em informática - programador</t>
  </si>
  <si>
    <t>P8163</t>
  </si>
  <si>
    <t>Topógrafo</t>
  </si>
  <si>
    <t>Item</t>
  </si>
  <si>
    <t>Unidade</t>
  </si>
  <si>
    <t>Custo unitário 
(R$ / un)</t>
  </si>
  <si>
    <t>Imóveis</t>
  </si>
  <si>
    <t>B8951</t>
  </si>
  <si>
    <t>Comercial (2,60% do CMCC - SINAPI)</t>
  </si>
  <si>
    <t>m² x mês</t>
  </si>
  <si>
    <t>B8952</t>
  </si>
  <si>
    <t>Residencial (1,70% do CMCC - SINAPI)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</si>
  <si>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</si>
  <si>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</si>
  <si>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</si>
  <si>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</si>
  <si>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</si>
  <si>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</si>
  <si>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</si>
  <si>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</si>
  <si>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</si>
  <si>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</si>
  <si>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</si>
  <si>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</si>
  <si>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</si>
  <si>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</si>
  <si>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</si>
  <si>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</si>
  <si>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</si>
  <si>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</si>
  <si>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</si>
  <si>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GERÊNCIA DE LICENCIAMENTO AMBIENTAL - GEMAB/SUGAT /DIREM</t>
  </si>
  <si>
    <t>Bloco 1</t>
  </si>
  <si>
    <t>Estudos para licenciamento e Concessões</t>
  </si>
  <si>
    <r>
      <t>Produto</t>
    </r>
    <r>
      <rPr>
        <sz val="9"/>
        <color theme="0"/>
        <rFont val="Calibri"/>
        <family val="2"/>
        <scheme val="minor"/>
      </rPr>
      <t> </t>
    </r>
  </si>
  <si>
    <r>
      <t>Frequência</t>
    </r>
    <r>
      <rPr>
        <sz val="9"/>
        <color theme="0"/>
        <rFont val="Calibri"/>
        <family val="2"/>
        <scheme val="minor"/>
      </rPr>
      <t> </t>
    </r>
  </si>
  <si>
    <r>
      <t>Preço unitário (R$</t>
    </r>
    <r>
      <rPr>
        <sz val="9"/>
        <color theme="0"/>
        <rFont val="Calibri"/>
        <family val="2"/>
        <scheme val="minor"/>
      </rPr>
      <t>)</t>
    </r>
  </si>
  <si>
    <r>
      <t>Total</t>
    </r>
    <r>
      <rPr>
        <sz val="9"/>
        <color theme="0"/>
        <rFont val="Calibri"/>
        <family val="2"/>
        <scheme val="minor"/>
      </rPr>
      <t> </t>
    </r>
    <r>
      <rPr>
        <b/>
        <sz val="9"/>
        <color theme="0"/>
        <rFont val="Calibri"/>
        <family val="2"/>
        <scheme val="minor"/>
      </rPr>
      <t>(R$)</t>
    </r>
  </si>
  <si>
    <t>GERE</t>
  </si>
  <si>
    <t>Sob demanda</t>
  </si>
  <si>
    <t>AUD.PUB</t>
  </si>
  <si>
    <t>DSAP</t>
  </si>
  <si>
    <t>PACM</t>
  </si>
  <si>
    <r>
      <rPr>
        <sz val="11"/>
        <rFont val="Arial MT"/>
        <family val="2"/>
      </rPr>
      <t>E8889</t>
    </r>
  </si>
  <si>
    <t>Coffe Break (30 pessoas)</t>
  </si>
  <si>
    <t>Coffe Break (100 pessoas)</t>
  </si>
  <si>
    <t>ÔNIBUS DE TURISMO</t>
  </si>
  <si>
    <t>Coffe Break (150 pessoas)</t>
  </si>
  <si>
    <t>Diárias e Passagens</t>
  </si>
  <si>
    <t>5.</t>
  </si>
  <si>
    <t>PREÇO  REFERENCIAL 200km</t>
  </si>
  <si>
    <t>PREÇO  REFERENCIAL</t>
  </si>
  <si>
    <t>DUE DILIGENCE AMBIENTAL</t>
  </si>
  <si>
    <t>DDA</t>
  </si>
  <si>
    <t xml:space="preserve">DIAGNÓSTICO SOCIOAMBIENTAL PARTICIPATIVO </t>
  </si>
  <si>
    <t>PREÇO UNITÁRIO REFERENCIAL (km)</t>
  </si>
  <si>
    <t>APM</t>
  </si>
  <si>
    <t xml:space="preserve">PLANO DE AÇÃO DE CONTROLE DE MALÁRIA </t>
  </si>
  <si>
    <t>CADERNO SOCIOAMBIENTAL DO EVTEA – EMPREENDIMENTOS PONTUAIS</t>
  </si>
  <si>
    <t>CADERNO SOCIOAMBIENTAL DO EVTEA – EMPREENDIMENTOS LINEARES</t>
  </si>
  <si>
    <t>ESTUDOS DE PLANEJAMENTO E VIABILIDADE AMBIENTAL EM LOGÍSTICA DE TRANSPORTES</t>
  </si>
  <si>
    <t>PLANO DE RECUPERAÇÃO DE ÁREAS DEGRADADAS</t>
  </si>
  <si>
    <t>Engenheiro Civil</t>
  </si>
  <si>
    <t>ELABORAÇÃO/REVISÃO DE PLANO DE GESTÃO AMBIENTAL (PGA) OU DOCUMENTO SIMILAR – TIPO I</t>
  </si>
  <si>
    <t>ELABORAÇÃO/REVISÃO DE PLANO DE GESTÃO AMBIENTAL (PGA) OU DOCUMENTO SIMILAR – TIPO II</t>
  </si>
  <si>
    <t>Físico</t>
  </si>
  <si>
    <t>PREÇO  REFERENCIAL DE BASE (500 km)</t>
  </si>
  <si>
    <t>PREÇO UNITÁRIO REFERENCIAL (1 km)</t>
  </si>
  <si>
    <t>ESTUDO DE ANÁLISE DE RISCO – FASE DE INSTALAÇÃO</t>
  </si>
  <si>
    <t>Engenheiro Químico pleno</t>
  </si>
  <si>
    <t>PROJETO DE BARREIRA ACÚSTICA</t>
  </si>
  <si>
    <t>PROGRAMA DE GERENCIAMENTO DE RISCOS</t>
  </si>
  <si>
    <t>PGR</t>
  </si>
  <si>
    <t>Engenheiro Químico</t>
  </si>
  <si>
    <t>PLANO DE AÇÃO DE EMERGÊNCIA</t>
  </si>
  <si>
    <t>PAE</t>
  </si>
  <si>
    <t>CARACTERIZAÇÃO AMBIENTAL</t>
  </si>
  <si>
    <t>ELABORAÇÂO DE PLANO DE MANEJO</t>
  </si>
  <si>
    <t>INVENTÁRIO FLORESTAL</t>
  </si>
  <si>
    <t>PREÇO UNITÁRIO REFERENCIAL (1Ha)</t>
  </si>
  <si>
    <t>PREÇO  REFERENCIAL DE BASE (4000 Ha)</t>
  </si>
  <si>
    <t>PREÇO  REFERENCIAL DE BASE</t>
  </si>
  <si>
    <t>PRODUÇÃO DE MATERIAL DE DIVULGAÇÃO – MÍDIAS SOCIAIS</t>
  </si>
  <si>
    <t>PREÇO  REFERENCIAL UNITÁRIO (POST)</t>
  </si>
  <si>
    <t>Drone</t>
  </si>
  <si>
    <t>Redator</t>
  </si>
  <si>
    <t>Impressão de livro</t>
  </si>
  <si>
    <t>PREÇO  REFERENCIAL DE BASE (500u livro)</t>
  </si>
  <si>
    <t>PREÇO  REFERENCIAL UNITÁRIO (50 Livros)</t>
  </si>
  <si>
    <t>LIVRO</t>
  </si>
  <si>
    <t>GERENCIAMENTO DE ESTUDOS E PROJETOS (GER)</t>
  </si>
  <si>
    <t>Mês útil</t>
  </si>
  <si>
    <t>ESTUDO DE IMPACTO AMBIENTAL/RELATÓRIO DE IMPACTO AMBIENTAL – EIA/RIMA – EMPREENDIMENTOS PONTUAIS</t>
  </si>
  <si>
    <t>EIA.PONTUAL</t>
  </si>
  <si>
    <t>CONSULTA PÚBLICA/REUNIÃO PÚBLICA/REUNIÃO TÉCNICA – TIPO I</t>
  </si>
  <si>
    <t>CONSULTA PÚBLICA/REUNIÃO PÚBLICA/REUNIÃO TÉCNICA – TIPO II</t>
  </si>
  <si>
    <t>AUDIÊNCIA PÚBLICA</t>
  </si>
  <si>
    <t>ESTUDO AMBIENTAL – EMPREENDIMENTOS PONTUAIS – TIPO I</t>
  </si>
  <si>
    <t>ESTUDO AMBIENTAL – EMPREENDIMENTOS PONTUAIS – TIPO II</t>
  </si>
  <si>
    <t>Município</t>
  </si>
  <si>
    <t>Empreendimento</t>
  </si>
  <si>
    <t>ESTUDO DE IMPACTO AMBIENTAL/RELATÓRIO DE IMPACTO AMBIENTAL – EIA/RIMA – EMPREENDIMENTOS LINEARES</t>
  </si>
  <si>
    <t>EIA.LINEAR</t>
  </si>
  <si>
    <t>Quilômetro</t>
  </si>
  <si>
    <t>ESTUDO AMBIENTAL – EMPREENDIMENTOS LINEARES – TIPO I</t>
  </si>
  <si>
    <t>ESTUDO AMBIENTAL – EMPREENDIMENTOS LINEARES – TIPO II</t>
  </si>
  <si>
    <t>ESTUDO IMPACTO SINERGICO</t>
  </si>
  <si>
    <t>Unidade da Federação</t>
  </si>
  <si>
    <t>PRAD</t>
  </si>
  <si>
    <t>hectare</t>
  </si>
  <si>
    <t>ESTUDO DE ANÁLISE DE RISCO – FASE DE OPERAÇÂO</t>
  </si>
  <si>
    <t>CAR.AMB</t>
  </si>
  <si>
    <t>INV.FLORA</t>
  </si>
  <si>
    <t>Postagem</t>
  </si>
  <si>
    <t>PRODUÇÃO DE MATERIAL DE DIVULGAÇÃO – MATÉRIAS JORNALÍSTICAS</t>
  </si>
  <si>
    <t>Matéria jornalística</t>
  </si>
  <si>
    <t>PRODUÇÃO DE MATERIAL DE DIVULGAÇÃO – AUDIOVISUAL</t>
  </si>
  <si>
    <t>Vídeo institucional</t>
  </si>
  <si>
    <t>– PRODUÇÃO DE MATERIAL DE DIVULGAÇÃO – PUBLICAÇÕES - LIVRO</t>
  </si>
  <si>
    <t>50 Livros</t>
  </si>
  <si>
    <t>REVISÃO/ATUALIZAÇÃO DE ESTUDO DE IMPACTO AMBIENTAL/RELATÓRIO DE IMPACTO AMBIENTAL – EIA/RIMA</t>
  </si>
  <si>
    <t>TOTAL:</t>
  </si>
  <si>
    <r>
      <t>Tipologia da unidade</t>
    </r>
    <r>
      <rPr>
        <sz val="9"/>
        <color theme="0"/>
        <rFont val="Calibri"/>
        <family val="2"/>
        <scheme val="minor"/>
      </rPr>
      <t> </t>
    </r>
  </si>
  <si>
    <t>Quantitativo</t>
  </si>
  <si>
    <t>ELABORAÇÃO DE PLANO DE PLANTIO COMPENSATÓRIO</t>
  </si>
  <si>
    <t>PPCOMP</t>
  </si>
  <si>
    <t>AVALIAÇÃO DE POTENCIAL MALARÍGENO</t>
  </si>
  <si>
    <t>Classificação do Cargo/Emprego/Função</t>
  </si>
  <si>
    <t>Deslocamentos para Brasília/Manaus/Rio de Janeiro/São Paulo</t>
  </si>
  <si>
    <t>Deslocamentos para outras capitais de Estados</t>
  </si>
  <si>
    <t>Demais deslocamentos</t>
  </si>
  <si>
    <t>AnexoBDITabeladePreosdeConsultoria_2024SELIC1050.pdf (www.gov.br)</t>
  </si>
  <si>
    <t>https://www.gov.br/dnit/pt-br/assuntos/planejamento-e-pesquisa/custos-e-pagamentos/custos-e-pagamentos-dnit/engenharia-consultiva-2/tabela-de-precos-de-consultoria-1/relatorios/2024/janeiro/janeiro-2024</t>
  </si>
  <si>
    <t>Tabela 2 - Custos de imóveis, mobiliário, cestas de instalações e custos diversos</t>
  </si>
  <si>
    <t>PASSAGEM AÉREA - DESTINO NACIONAL (Cotação JUL/24)*</t>
  </si>
  <si>
    <t>Tabela de Preços de Consultoria - mês de referência: janeiro de 2024</t>
  </si>
  <si>
    <t>Nenhuma</t>
  </si>
  <si>
    <t xml:space="preserve">Tabela de Preços de Consultoria
Tabela 1 - Benefícios e Despesas Indiretas </t>
  </si>
  <si>
    <t>(*) Limite máximo adotado de 5%, valor variável em função da legislação de cada município. As empresas licitantes deverão adotar as alíquotas pertinentes.</t>
  </si>
  <si>
    <t>E8887</t>
  </si>
  <si>
    <t>Veículo tipo van furgão com capacidade de 1,38 t - 100 kW (com motorista)</t>
  </si>
  <si>
    <t>Veículo leve - 53 kW (sem motorista)</t>
  </si>
  <si>
    <t>Veículo leve picape 4 x 4 com capacidade de 1,10 t - 147 kW (sem motorista)</t>
  </si>
  <si>
    <t>hora</t>
  </si>
  <si>
    <t>Coffe Break</t>
  </si>
  <si>
    <t>Coffe</t>
  </si>
  <si>
    <t>E8894</t>
  </si>
  <si>
    <t>Pessoas</t>
  </si>
  <si>
    <t>unidades</t>
  </si>
  <si>
    <t>Custo</t>
  </si>
  <si>
    <t>Descrição</t>
  </si>
  <si>
    <t>N max. Pessoas</t>
  </si>
  <si>
    <t>Área comum (m2)</t>
  </si>
  <si>
    <t>Área por ocupante (m2)</t>
  </si>
  <si>
    <t>Área total (m2)</t>
  </si>
  <si>
    <t>Custo mensal (R$/m2 x mês)</t>
  </si>
  <si>
    <t>Custo diário (R$/m2 x dia)</t>
  </si>
  <si>
    <t>Custo da diária (R$)</t>
  </si>
  <si>
    <t>Aluguel de espaço até 30 participantes</t>
  </si>
  <si>
    <t>Aluguel de espaço até 100 participantes</t>
  </si>
  <si>
    <t>Aluguel de espaço até 150 participantes</t>
  </si>
  <si>
    <t>Premissas:</t>
  </si>
  <si>
    <t>Imóvel Comercial (2,60% do CMCC - SINAPI)</t>
  </si>
  <si>
    <t>dias</t>
  </si>
  <si>
    <t>RECURSOS</t>
  </si>
  <si>
    <t>Custo dia (R$)</t>
  </si>
  <si>
    <t>Custo por item (R$)</t>
  </si>
  <si>
    <t>Pessoas/recurso</t>
  </si>
  <si>
    <t>CON_PUB_Tipo I</t>
  </si>
  <si>
    <t>CON_PUB_Tipo II</t>
  </si>
  <si>
    <t>CON_PUB_Tipo III</t>
  </si>
  <si>
    <t>1- Para calcular a área total, utilizou-se a equação constante no item 4.2 do Anexo I da Resolução nº 11/2020, sem a redução da área comum (57,95 m2)</t>
  </si>
  <si>
    <t>2- Considerou-se ainda uma redução da área individual de 4,5 m2 para 1,0 m2</t>
  </si>
  <si>
    <t>3- Custo do ocupante/mês - Tabela de Preços de consultoria do DNIT</t>
  </si>
  <si>
    <t>PHAST</t>
  </si>
  <si>
    <t>Custo unitário 
(R$ / un)*</t>
  </si>
  <si>
    <t>*Valor convertido do Euro para Real.</t>
  </si>
  <si>
    <t xml:space="preserve">FONTE: </t>
  </si>
  <si>
    <t>https://www.dnv.com/software/services/plant/consequence-analysis-phast/</t>
  </si>
  <si>
    <t>Software de Simulação de cenários acidentais</t>
  </si>
  <si>
    <t>https://portal.valec.gov.br/a-valec/licitacoes-e-contratos/licitacoes/749-pregao-edital-n-009-2019</t>
  </si>
  <si>
    <r>
      <rPr>
        <u/>
        <sz val="12"/>
        <rFont val="Calibri"/>
        <family val="2"/>
        <scheme val="minor"/>
      </rPr>
      <t xml:space="preserve">Fonte: </t>
    </r>
    <r>
      <rPr>
        <u/>
        <sz val="12"/>
        <color theme="10"/>
        <rFont val="Calibri"/>
        <family val="2"/>
        <scheme val="minor"/>
      </rPr>
      <t>https://www.gov.br/dnit/pt-br/assuntos/planejamento-e-pesquisa/custos-e-pagamentos/custos-e-pagamentos-dnit/engenharia-consultiva-2/tabela-de-precos-de-consultoria-1/relatorios/2024/janeiro/janeiro-2024</t>
    </r>
  </si>
  <si>
    <r>
      <rPr>
        <b/>
        <sz val="10"/>
        <rFont val="Calibri"/>
        <family val="2"/>
      </rPr>
      <t>Fonte</t>
    </r>
    <r>
      <rPr>
        <sz val="10"/>
        <rFont val="Calibri"/>
        <family val="2"/>
      </rPr>
      <t>: Para a contação do Coffe Break, utilizou-se a média do "Mapa Comparativo de Preços 7895828" do "pregão – EDITAL Nº 012/2023" presente no processo 50050.006561/2023-08</t>
    </r>
  </si>
  <si>
    <t>*fonte de valor de referência foi o edital 09/2019 (200 livros a R$ 266.316,95). O valor da publicação a época foi corrigido pelo IPCA (MAI/19 a MAI/24 de 33,0322%) e ajustado proporcionalmente ao quantitativo de 500 livros por tiragem.</t>
  </si>
  <si>
    <t>PREÇO UNITÁRIO 200km</t>
  </si>
  <si>
    <t>PREÇO REFERENCIAL (6 municípios)</t>
  </si>
  <si>
    <t>PREÇO UNITÁRIO (até 500km)</t>
  </si>
  <si>
    <t>ITEM</t>
  </si>
  <si>
    <t>PREÇO REFERENCIAL (50Ha)</t>
  </si>
  <si>
    <t>PREÇO REFERENCIAL (500km)</t>
  </si>
  <si>
    <t>PREÇO UNITÁRIO REFERENCIAL (1km)</t>
  </si>
  <si>
    <t>REV.EIA</t>
  </si>
  <si>
    <t>PMD.LIVRO</t>
  </si>
  <si>
    <t>PMD.AUD.VIS</t>
  </si>
  <si>
    <t>PMD.MAT.JORN</t>
  </si>
  <si>
    <t>PMD.MID.SOC</t>
  </si>
  <si>
    <t>PLAN.MAN</t>
  </si>
  <si>
    <t>EAR.LO</t>
  </si>
  <si>
    <t>EAR.LI</t>
  </si>
  <si>
    <t>PROJ.BAR.AC</t>
  </si>
  <si>
    <t>PGA.II</t>
  </si>
  <si>
    <t>PGA.I</t>
  </si>
  <si>
    <t>ESTUDOS DE FAUNA - CAMPANHA</t>
  </si>
  <si>
    <t>CAMP.FAUNA</t>
  </si>
  <si>
    <t>EIS</t>
  </si>
  <si>
    <t>EA.LINEAR.II</t>
  </si>
  <si>
    <t>EA.LINEAR.I</t>
  </si>
  <si>
    <t>EA.PONTUAL.II</t>
  </si>
  <si>
    <t>EA.PONTUAL.I</t>
  </si>
  <si>
    <t>CON.PUB.II</t>
  </si>
  <si>
    <t>CON.PUB.I</t>
  </si>
  <si>
    <t>EPVALT</t>
  </si>
  <si>
    <t>índice BIOMA (1,07765625)</t>
  </si>
  <si>
    <t>EVTEA_SOCIO_PONTUAL</t>
  </si>
  <si>
    <t>EVTEA_SOCIO_LIN</t>
  </si>
  <si>
    <t xml:space="preserve"> </t>
  </si>
  <si>
    <t>Cotações passagem aérea nacional (JUL/24):</t>
  </si>
  <si>
    <t>Responsável técnico:
GUSTAVO DE OLIVEIRA LOPES
Assessor técnico II
ART Nº 0720740065276</t>
  </si>
  <si>
    <t>https://www.gov.br/dnit/pt-br/assuntos/planejamento-e-pesquisa/custos-e-pagamentos/custos-e-pagamentos-dnit/engenharia-consultiva-2/tabela-de-precos-de-consultoria-1/relatorios/2024/abril/abril-2024</t>
  </si>
  <si>
    <t>Data do Orçamento Referencial: ABRIL/2024</t>
  </si>
  <si>
    <t>Mês de Referência: ABRIL/2024</t>
  </si>
  <si>
    <t>* PREMISSAS DA PESQUISA
1. Todas as passagens tem como origem Brasília e como destino as demais capitais;
2. Foram registrados os 3 menores preços de cada trecho;
3. Cada trecho deve considerou o valor de ida e volta;
4. Foi utilizada a data para aproximadamente 1 mês após a pesquisa, considerando 5 dias úteis de trabalho;
5. os extratos das pesquisas estão anexados como arquivos de imagem, no qual consta a data da pesquisa (27/09/2024)</t>
  </si>
  <si>
    <t>Contratação de empresa especializada em engenharia consultiva para elaboração de estudos, produtos e serviços ambientais para licenciamento ambiental e estruturação de concessões dos empreendimentos de infraestrutura do portfólio da Infra S.A., conforme condições, quantidades e exigências estabelecidas neste instrumento e seus anexos.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</si>
</sst>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&quot;R$&quot;\ * #,##0.00_-;\-&quot;R$&quot;\ * #,##0.00_-;_-&quot;R$&quot;\ * &quot;-&quot;??_-;_-@_-"/>
    <numFmt numFmtId="164" formatCode="&quot;R$&quot;\ #,##0.00"/>
    <numFmt numFmtId="165" formatCode="0.00%\ &quot;do PV&quot;"/>
    <numFmt numFmtId="166" formatCode="0.00&quot;% do PV&quot;"/>
    <numFmt numFmtId="167" formatCode="0.00&quot;% sobre o (PV-Lucro)&quot;"/>
    <numFmt numFmtId="168" formatCode="0.00&quot;%&quot;"/>
    <numFmt numFmtId="169" formatCode="0.00&quot;% a.a.&quot;"/>
    <numFmt numFmtId="170" formatCode="0.0000"/>
    <numFmt numFmtId="171" formatCode="_(* #,##0.00_);_(* \(#,##0.00\);_(* &quot;-&quot;??_);_(@_)"/>
    <numFmt numFmtId="172" formatCode="0.00&quot; m²&quot;"/>
    <numFmt numFmtId="173" formatCode="#,##0.0000"/>
    <numFmt numFmtId="174" formatCode="0.00000000"/>
    <numFmt numFmtId="175" formatCode="&quot;R$&quot;\ #,##0.00000"/>
    <numFmt numFmtId="176" formatCode="_-&quot;R$&quot;\ * #,##0.0000_-;\-&quot;R$&quot;\ * #,##0.0000_-;_-&quot;R$&quot;\ * &quot;-&quot;??_-;_-@_-"/>
    <numFmt numFmtId="177" formatCode="0."/>
    <numFmt numFmtId="178" formatCode="0.00000"/>
    <numFmt numFmtId="179" formatCode="_-&quot;R$&quot;\ * #,##0.0000_-;\-&quot;R$&quot;\ * #,##0.0000_-;_-&quot;R$&quot;\ * &quot;-&quot;????_-;_-@_-"/>
    <numFmt numFmtId="180" formatCode="0.000"/>
    <numFmt numFmtId="181" formatCode="0.0"/>
  </numFmts>
  <fonts count="6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sz val="9"/>
      <name val="Calibri"/>
      <family val="2"/>
    </font>
    <font>
      <b/>
      <sz val="10"/>
      <color theme="0"/>
      <name val="Calibri"/>
      <family val="2"/>
    </font>
    <font>
      <strike/>
      <sz val="10"/>
      <color rgb="FF000000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name val="Arial MT"/>
    </font>
    <font>
      <sz val="11"/>
      <name val="Arial MT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1"/>
      <color rgb="FF000000"/>
      <name val="Arial MT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1"/>
      <color rgb="FF000000"/>
      <name val="Arial MT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sz val="14"/>
      <color theme="0"/>
      <name val="Calibri"/>
      <family val="2"/>
      <scheme val="minor"/>
    </font>
    <font>
      <b/>
      <sz val="10"/>
      <color rgb="FF000000"/>
      <name val="Arial"/>
      <family val="2"/>
    </font>
    <font>
      <u/>
      <sz val="12"/>
      <color theme="10"/>
      <name val="Calibri"/>
      <family val="2"/>
      <scheme val="minor"/>
    </font>
    <font>
      <b/>
      <sz val="11"/>
      <color theme="1"/>
      <name val="Arial"/>
      <family val="2"/>
    </font>
    <font>
      <sz val="12"/>
      <name val="Arial"/>
      <family val="2"/>
    </font>
    <font>
      <b/>
      <sz val="12"/>
      <color theme="0"/>
      <name val="Calibri"/>
      <family val="2"/>
    </font>
    <font>
      <b/>
      <sz val="14"/>
      <color theme="0"/>
      <name val="Calibri"/>
      <family val="2"/>
    </font>
    <font>
      <u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color theme="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sz val="2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FF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9D9D9"/>
      </patternFill>
    </fill>
    <fill>
      <patternFill patternType="solid">
        <fgColor rgb="FFF1F1F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171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615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0" xfId="0" applyFont="1"/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 applyProtection="1">
      <alignment vertical="center"/>
      <protection locked="0"/>
    </xf>
    <xf numFmtId="0" fontId="5" fillId="2" borderId="0" xfId="3" applyFont="1" applyFill="1" applyAlignment="1">
      <alignment vertical="center"/>
    </xf>
    <xf numFmtId="0" fontId="10" fillId="2" borderId="10" xfId="3" applyFont="1" applyFill="1" applyBorder="1" applyAlignment="1">
      <alignment horizontal="center" vertical="center"/>
    </xf>
    <xf numFmtId="0" fontId="9" fillId="2" borderId="5" xfId="3" applyFont="1" applyFill="1" applyBorder="1" applyAlignment="1">
      <alignment horizontal="left" vertical="center"/>
    </xf>
    <xf numFmtId="2" fontId="9" fillId="2" borderId="2" xfId="3" applyNumberFormat="1" applyFont="1" applyFill="1" applyBorder="1" applyAlignment="1">
      <alignment horizontal="center" vertical="center"/>
    </xf>
    <xf numFmtId="0" fontId="10" fillId="2" borderId="0" xfId="3" applyFont="1" applyFill="1" applyAlignment="1" applyProtection="1">
      <alignment vertical="center"/>
      <protection locked="0"/>
    </xf>
    <xf numFmtId="167" fontId="9" fillId="0" borderId="14" xfId="3" applyNumberFormat="1" applyFont="1" applyBorder="1" applyAlignment="1">
      <alignment horizontal="left" vertical="center"/>
    </xf>
    <xf numFmtId="166" fontId="9" fillId="2" borderId="14" xfId="3" applyNumberFormat="1" applyFont="1" applyFill="1" applyBorder="1" applyAlignment="1">
      <alignment horizontal="left" vertical="center"/>
    </xf>
    <xf numFmtId="0" fontId="10" fillId="2" borderId="10" xfId="3" applyFont="1" applyFill="1" applyBorder="1" applyAlignment="1">
      <alignment horizontal="right" vertical="center"/>
    </xf>
    <xf numFmtId="2" fontId="10" fillId="2" borderId="10" xfId="3" applyNumberFormat="1" applyFont="1" applyFill="1" applyBorder="1" applyAlignment="1">
      <alignment horizontal="center" vertical="center"/>
    </xf>
    <xf numFmtId="2" fontId="10" fillId="2" borderId="1" xfId="3" applyNumberFormat="1" applyFont="1" applyFill="1" applyBorder="1" applyAlignment="1">
      <alignment horizontal="center" vertical="center"/>
    </xf>
    <xf numFmtId="165" fontId="9" fillId="2" borderId="14" xfId="3" applyNumberFormat="1" applyFont="1" applyFill="1" applyBorder="1" applyAlignment="1">
      <alignment horizontal="left" vertical="center"/>
    </xf>
    <xf numFmtId="2" fontId="9" fillId="2" borderId="5" xfId="3" applyNumberFormat="1" applyFont="1" applyFill="1" applyBorder="1" applyAlignment="1">
      <alignment horizontal="center" vertical="center"/>
    </xf>
    <xf numFmtId="2" fontId="9" fillId="2" borderId="14" xfId="3" applyNumberFormat="1" applyFont="1" applyFill="1" applyBorder="1" applyAlignment="1">
      <alignment horizontal="center" vertical="center"/>
    </xf>
    <xf numFmtId="0" fontId="10" fillId="2" borderId="14" xfId="3" applyFont="1" applyFill="1" applyBorder="1" applyAlignment="1">
      <alignment horizontal="right" vertical="center"/>
    </xf>
    <xf numFmtId="2" fontId="10" fillId="2" borderId="14" xfId="3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21" xfId="5" applyFont="1" applyBorder="1" applyAlignment="1">
      <alignment horizontal="center" vertical="center"/>
    </xf>
    <xf numFmtId="0" fontId="17" fillId="0" borderId="0" xfId="5" applyFont="1" applyAlignment="1">
      <alignment horizontal="center" vertical="center"/>
    </xf>
    <xf numFmtId="0" fontId="17" fillId="0" borderId="0" xfId="5" applyFont="1" applyAlignment="1">
      <alignment horizontal="left" vertical="center"/>
    </xf>
    <xf numFmtId="175" fontId="17" fillId="0" borderId="0" xfId="6" applyNumberFormat="1" applyFont="1" applyFill="1" applyBorder="1" applyAlignment="1" applyProtection="1">
      <alignment horizontal="right" vertical="center"/>
    </xf>
    <xf numFmtId="17" fontId="21" fillId="10" borderId="2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170" fontId="17" fillId="0" borderId="0" xfId="0" applyNumberFormat="1" applyFont="1" applyAlignment="1">
      <alignment horizontal="center" vertical="center"/>
    </xf>
    <xf numFmtId="0" fontId="17" fillId="0" borderId="21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22" xfId="0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0" fontId="17" fillId="0" borderId="0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Alignment="1">
      <alignment horizontal="right" vertical="center" wrapText="1"/>
    </xf>
    <xf numFmtId="10" fontId="17" fillId="0" borderId="0" xfId="1" applyNumberFormat="1" applyFont="1" applyBorder="1" applyAlignment="1">
      <alignment horizontal="center" vertical="center" wrapText="1"/>
    </xf>
    <xf numFmtId="0" fontId="17" fillId="0" borderId="23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16" xfId="0" applyFont="1" applyBorder="1" applyAlignment="1">
      <alignment horizontal="right" vertical="center"/>
    </xf>
    <xf numFmtId="0" fontId="17" fillId="0" borderId="2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173" fontId="11" fillId="0" borderId="0" xfId="0" applyNumberFormat="1" applyFont="1" applyAlignment="1">
      <alignment horizontal="center" vertical="center"/>
    </xf>
    <xf numFmtId="9" fontId="11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170" fontId="11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73" fontId="17" fillId="0" borderId="2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72" fontId="17" fillId="0" borderId="0" xfId="0" applyNumberFormat="1" applyFont="1" applyAlignment="1">
      <alignment horizontal="center" vertical="center"/>
    </xf>
    <xf numFmtId="10" fontId="17" fillId="0" borderId="0" xfId="1" applyNumberFormat="1" applyFont="1" applyFill="1" applyBorder="1" applyAlignment="1">
      <alignment vertical="center"/>
    </xf>
    <xf numFmtId="173" fontId="11" fillId="0" borderId="0" xfId="0" applyNumberFormat="1" applyFont="1" applyAlignment="1">
      <alignment horizontal="center"/>
    </xf>
    <xf numFmtId="10" fontId="17" fillId="0" borderId="0" xfId="0" applyNumberFormat="1" applyFont="1" applyAlignment="1">
      <alignment vertical="center"/>
    </xf>
    <xf numFmtId="0" fontId="17" fillId="0" borderId="27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24" fillId="0" borderId="1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44" fontId="32" fillId="0" borderId="1" xfId="8" applyFont="1" applyBorder="1" applyAlignment="1">
      <alignment horizontal="right" vertical="center" wrapText="1"/>
    </xf>
    <xf numFmtId="0" fontId="33" fillId="0" borderId="11" xfId="0" applyFont="1" applyBorder="1" applyAlignment="1">
      <alignment horizontal="center" vertical="center" wrapText="1"/>
    </xf>
    <xf numFmtId="178" fontId="37" fillId="0" borderId="11" xfId="0" applyNumberFormat="1" applyFont="1" applyBorder="1" applyAlignment="1">
      <alignment horizontal="center" vertical="center" shrinkToFit="1"/>
    </xf>
    <xf numFmtId="0" fontId="0" fillId="11" borderId="11" xfId="0" applyFill="1" applyBorder="1" applyAlignment="1">
      <alignment horizontal="center" vertical="center" wrapText="1"/>
    </xf>
    <xf numFmtId="0" fontId="0" fillId="12" borderId="11" xfId="0" applyFill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0" fillId="6" borderId="11" xfId="0" applyFill="1" applyBorder="1" applyAlignment="1">
      <alignment horizontal="left" wrapText="1"/>
    </xf>
    <xf numFmtId="0" fontId="36" fillId="6" borderId="11" xfId="0" applyFont="1" applyFill="1" applyBorder="1" applyAlignment="1">
      <alignment horizontal="left" vertical="top" wrapText="1"/>
    </xf>
    <xf numFmtId="44" fontId="37" fillId="0" borderId="11" xfId="8" applyFont="1" applyBorder="1" applyAlignment="1">
      <alignment horizontal="center" vertical="center" shrinkToFit="1"/>
    </xf>
    <xf numFmtId="2" fontId="37" fillId="0" borderId="11" xfId="8" applyNumberFormat="1" applyFont="1" applyBorder="1" applyAlignment="1">
      <alignment horizontal="center" vertical="center" shrinkToFit="1"/>
    </xf>
    <xf numFmtId="2" fontId="0" fillId="11" borderId="11" xfId="0" applyNumberFormat="1" applyFill="1" applyBorder="1" applyAlignment="1">
      <alignment horizontal="center" vertical="center" wrapText="1"/>
    </xf>
    <xf numFmtId="44" fontId="37" fillId="0" borderId="39" xfId="8" applyFont="1" applyBorder="1" applyAlignment="1">
      <alignment horizontal="center" vertical="center" shrinkToFit="1"/>
    </xf>
    <xf numFmtId="44" fontId="35" fillId="11" borderId="39" xfId="8" applyFont="1" applyFill="1" applyBorder="1" applyAlignment="1">
      <alignment horizontal="center" vertical="center" shrinkToFit="1"/>
    </xf>
    <xf numFmtId="0" fontId="36" fillId="12" borderId="38" xfId="0" applyFont="1" applyFill="1" applyBorder="1" applyAlignment="1">
      <alignment horizontal="center" vertical="center" wrapText="1"/>
    </xf>
    <xf numFmtId="44" fontId="35" fillId="12" borderId="39" xfId="8" applyFont="1" applyFill="1" applyBorder="1" applyAlignment="1">
      <alignment horizontal="center" vertical="center" shrinkToFit="1"/>
    </xf>
    <xf numFmtId="0" fontId="0" fillId="11" borderId="41" xfId="0" applyFill="1" applyBorder="1" applyAlignment="1">
      <alignment horizontal="center" vertical="center" wrapText="1"/>
    </xf>
    <xf numFmtId="44" fontId="35" fillId="11" borderId="42" xfId="8" applyFont="1" applyFill="1" applyBorder="1" applyAlignment="1">
      <alignment horizontal="center" vertical="center" shrinkToFi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4" fontId="35" fillId="6" borderId="39" xfId="8" applyFont="1" applyFill="1" applyBorder="1" applyAlignment="1">
      <alignment horizontal="center" vertical="center" shrinkToFit="1"/>
    </xf>
    <xf numFmtId="44" fontId="0" fillId="0" borderId="44" xfId="8" applyFont="1" applyBorder="1" applyAlignment="1">
      <alignment horizontal="center" vertical="center" wrapText="1"/>
    </xf>
    <xf numFmtId="0" fontId="26" fillId="0" borderId="21" xfId="0" applyFont="1" applyBorder="1" applyAlignment="1">
      <alignment horizontal="right" vertical="center"/>
    </xf>
    <xf numFmtId="0" fontId="27" fillId="0" borderId="22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vertical="center"/>
    </xf>
    <xf numFmtId="0" fontId="8" fillId="4" borderId="18" xfId="0" applyFont="1" applyFill="1" applyBorder="1" applyAlignment="1">
      <alignment vertical="center"/>
    </xf>
    <xf numFmtId="0" fontId="8" fillId="4" borderId="26" xfId="0" applyFont="1" applyFill="1" applyBorder="1" applyAlignment="1">
      <alignment vertical="center"/>
    </xf>
    <xf numFmtId="0" fontId="26" fillId="5" borderId="25" xfId="0" applyFont="1" applyFill="1" applyBorder="1" applyAlignment="1">
      <alignment horizontal="right" vertical="center"/>
    </xf>
    <xf numFmtId="0" fontId="26" fillId="5" borderId="18" xfId="0" applyFont="1" applyFill="1" applyBorder="1" applyAlignment="1">
      <alignment horizontal="left" vertical="center"/>
    </xf>
    <xf numFmtId="0" fontId="26" fillId="5" borderId="18" xfId="0" applyFont="1" applyFill="1" applyBorder="1" applyAlignment="1">
      <alignment vertical="center"/>
    </xf>
    <xf numFmtId="0" fontId="26" fillId="5" borderId="26" xfId="0" applyFont="1" applyFill="1" applyBorder="1" applyAlignment="1">
      <alignment vertical="center"/>
    </xf>
    <xf numFmtId="0" fontId="26" fillId="5" borderId="36" xfId="0" applyFont="1" applyFill="1" applyBorder="1" applyAlignment="1">
      <alignment horizontal="right" vertical="center"/>
    </xf>
    <xf numFmtId="0" fontId="26" fillId="5" borderId="35" xfId="0" applyFont="1" applyFill="1" applyBorder="1" applyAlignment="1">
      <alignment horizontal="left" vertical="center"/>
    </xf>
    <xf numFmtId="0" fontId="26" fillId="5" borderId="35" xfId="0" applyFont="1" applyFill="1" applyBorder="1" applyAlignment="1">
      <alignment vertical="center"/>
    </xf>
    <xf numFmtId="0" fontId="26" fillId="5" borderId="35" xfId="0" applyFont="1" applyFill="1" applyBorder="1" applyAlignment="1">
      <alignment horizontal="right" vertical="center"/>
    </xf>
    <xf numFmtId="0" fontId="27" fillId="5" borderId="35" xfId="0" applyFont="1" applyFill="1" applyBorder="1" applyAlignment="1">
      <alignment vertical="center"/>
    </xf>
    <xf numFmtId="0" fontId="27" fillId="5" borderId="37" xfId="0" applyFont="1" applyFill="1" applyBorder="1" applyAlignment="1">
      <alignment vertical="center"/>
    </xf>
    <xf numFmtId="2" fontId="0" fillId="6" borderId="11" xfId="0" applyNumberFormat="1" applyFill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0" fontId="33" fillId="0" borderId="11" xfId="0" applyFont="1" applyBorder="1" applyAlignment="1">
      <alignment horizontal="left" vertical="center" wrapText="1"/>
    </xf>
    <xf numFmtId="0" fontId="36" fillId="6" borderId="11" xfId="0" applyFont="1" applyFill="1" applyBorder="1" applyAlignment="1">
      <alignment horizontal="left" vertical="center" wrapText="1"/>
    </xf>
    <xf numFmtId="0" fontId="36" fillId="0" borderId="15" xfId="0" applyFont="1" applyBorder="1" applyAlignment="1">
      <alignment horizontal="left" vertical="center" wrapText="1"/>
    </xf>
    <xf numFmtId="177" fontId="35" fillId="6" borderId="38" xfId="0" applyNumberFormat="1" applyFont="1" applyFill="1" applyBorder="1" applyAlignment="1">
      <alignment horizontal="center" vertical="center" shrinkToFit="1"/>
    </xf>
    <xf numFmtId="0" fontId="33" fillId="0" borderId="43" xfId="0" applyFont="1" applyBorder="1" applyAlignment="1">
      <alignment horizontal="center" vertical="center" wrapText="1"/>
    </xf>
    <xf numFmtId="0" fontId="31" fillId="5" borderId="45" xfId="0" applyFont="1" applyFill="1" applyBorder="1" applyAlignment="1">
      <alignment vertical="center"/>
    </xf>
    <xf numFmtId="0" fontId="31" fillId="5" borderId="46" xfId="0" applyFont="1" applyFill="1" applyBorder="1" applyAlignment="1">
      <alignment vertical="center"/>
    </xf>
    <xf numFmtId="0" fontId="24" fillId="0" borderId="5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 wrapText="1"/>
    </xf>
    <xf numFmtId="178" fontId="37" fillId="0" borderId="7" xfId="0" applyNumberFormat="1" applyFont="1" applyBorder="1" applyAlignment="1">
      <alignment horizontal="right" vertical="center" shrinkToFit="1"/>
    </xf>
    <xf numFmtId="0" fontId="40" fillId="0" borderId="1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3" fontId="23" fillId="0" borderId="5" xfId="0" applyNumberFormat="1" applyFont="1" applyBorder="1" applyAlignment="1">
      <alignment horizontal="center" vertical="center" wrapText="1"/>
    </xf>
    <xf numFmtId="0" fontId="26" fillId="5" borderId="30" xfId="0" applyFont="1" applyFill="1" applyBorder="1" applyAlignment="1">
      <alignment horizontal="left" vertical="center"/>
    </xf>
    <xf numFmtId="0" fontId="26" fillId="5" borderId="30" xfId="0" applyFont="1" applyFill="1" applyBorder="1" applyAlignment="1">
      <alignment vertical="center"/>
    </xf>
    <xf numFmtId="0" fontId="26" fillId="5" borderId="31" xfId="0" applyFont="1" applyFill="1" applyBorder="1" applyAlignment="1">
      <alignment vertical="center"/>
    </xf>
    <xf numFmtId="0" fontId="26" fillId="5" borderId="23" xfId="0" applyFont="1" applyFill="1" applyBorder="1" applyAlignment="1">
      <alignment horizontal="right" vertical="center"/>
    </xf>
    <xf numFmtId="0" fontId="10" fillId="5" borderId="16" xfId="0" applyFont="1" applyFill="1" applyBorder="1" applyAlignment="1">
      <alignment horizontal="left" vertical="center"/>
    </xf>
    <xf numFmtId="0" fontId="13" fillId="5" borderId="16" xfId="0" applyFont="1" applyFill="1" applyBorder="1" applyAlignment="1">
      <alignment vertical="center"/>
    </xf>
    <xf numFmtId="0" fontId="26" fillId="5" borderId="16" xfId="0" applyFont="1" applyFill="1" applyBorder="1" applyAlignment="1">
      <alignment vertical="center"/>
    </xf>
    <xf numFmtId="0" fontId="26" fillId="5" borderId="16" xfId="0" applyFont="1" applyFill="1" applyBorder="1" applyAlignment="1">
      <alignment horizontal="right" vertical="center"/>
    </xf>
    <xf numFmtId="0" fontId="26" fillId="5" borderId="16" xfId="0" applyFont="1" applyFill="1" applyBorder="1" applyAlignment="1">
      <alignment horizontal="left" vertical="center"/>
    </xf>
    <xf numFmtId="0" fontId="27" fillId="5" borderId="16" xfId="0" applyFont="1" applyFill="1" applyBorder="1" applyAlignment="1">
      <alignment vertical="center"/>
    </xf>
    <xf numFmtId="0" fontId="27" fillId="5" borderId="24" xfId="0" applyFont="1" applyFill="1" applyBorder="1" applyAlignment="1">
      <alignment vertical="center"/>
    </xf>
    <xf numFmtId="0" fontId="26" fillId="5" borderId="29" xfId="0" applyFont="1" applyFill="1" applyBorder="1" applyAlignment="1">
      <alignment horizontal="right" vertical="center"/>
    </xf>
    <xf numFmtId="177" fontId="35" fillId="6" borderId="38" xfId="0" applyNumberFormat="1" applyFont="1" applyFill="1" applyBorder="1" applyAlignment="1">
      <alignment horizontal="center" vertical="top" shrinkToFit="1"/>
    </xf>
    <xf numFmtId="44" fontId="0" fillId="0" borderId="15" xfId="8" applyFont="1" applyBorder="1" applyAlignment="1">
      <alignment horizontal="center" vertical="center" wrapText="1"/>
    </xf>
    <xf numFmtId="0" fontId="0" fillId="6" borderId="11" xfId="0" applyFill="1" applyBorder="1" applyAlignment="1">
      <alignment horizontal="center" wrapText="1"/>
    </xf>
    <xf numFmtId="0" fontId="36" fillId="6" borderId="1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180" fontId="37" fillId="0" borderId="11" xfId="0" applyNumberFormat="1" applyFont="1" applyBorder="1" applyAlignment="1">
      <alignment horizontal="center" vertical="center" shrinkToFit="1"/>
    </xf>
    <xf numFmtId="177" fontId="44" fillId="5" borderId="38" xfId="0" applyNumberFormat="1" applyFont="1" applyFill="1" applyBorder="1" applyAlignment="1">
      <alignment horizontal="center" vertical="center" shrinkToFit="1"/>
    </xf>
    <xf numFmtId="0" fontId="12" fillId="5" borderId="11" xfId="0" applyFont="1" applyFill="1" applyBorder="1" applyAlignment="1">
      <alignment horizontal="center" vertical="center" wrapText="1"/>
    </xf>
    <xf numFmtId="0" fontId="45" fillId="5" borderId="11" xfId="0" applyFont="1" applyFill="1" applyBorder="1" applyAlignment="1">
      <alignment horizontal="center" vertical="center" wrapText="1"/>
    </xf>
    <xf numFmtId="44" fontId="44" fillId="5" borderId="39" xfId="8" applyFont="1" applyFill="1" applyBorder="1" applyAlignment="1">
      <alignment horizontal="center" vertical="center" shrinkToFit="1"/>
    </xf>
    <xf numFmtId="0" fontId="12" fillId="0" borderId="38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left" vertical="center" wrapText="1"/>
    </xf>
    <xf numFmtId="44" fontId="37" fillId="0" borderId="7" xfId="8" applyFont="1" applyBorder="1" applyAlignment="1">
      <alignment horizontal="right" vertical="center" shrinkToFit="1"/>
    </xf>
    <xf numFmtId="13" fontId="37" fillId="0" borderId="7" xfId="8" applyNumberFormat="1" applyFont="1" applyBorder="1" applyAlignment="1">
      <alignment horizontal="right" vertical="center" shrinkToFit="1"/>
    </xf>
    <xf numFmtId="44" fontId="37" fillId="0" borderId="48" xfId="8" applyFont="1" applyBorder="1" applyAlignment="1">
      <alignment horizontal="center" vertical="center" shrinkToFit="1"/>
    </xf>
    <xf numFmtId="0" fontId="33" fillId="0" borderId="7" xfId="0" applyFont="1" applyBorder="1" applyAlignment="1">
      <alignment horizontal="center" vertical="center" wrapText="1"/>
    </xf>
    <xf numFmtId="0" fontId="5" fillId="0" borderId="25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6" fillId="5" borderId="20" xfId="0" applyFont="1" applyFill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33" xfId="0" applyFont="1" applyBorder="1" applyAlignment="1">
      <alignment horizontal="center" vertical="center"/>
    </xf>
    <xf numFmtId="44" fontId="5" fillId="0" borderId="33" xfId="0" applyNumberFormat="1" applyFont="1" applyBorder="1" applyAlignment="1">
      <alignment horizontal="center" vertical="center"/>
    </xf>
    <xf numFmtId="44" fontId="5" fillId="0" borderId="34" xfId="0" applyNumberFormat="1" applyFont="1" applyBorder="1" applyAlignment="1">
      <alignment horizontal="center" vertical="center"/>
    </xf>
    <xf numFmtId="0" fontId="36" fillId="11" borderId="41" xfId="0" applyFont="1" applyFill="1" applyBorder="1" applyAlignment="1">
      <alignment horizontal="left" vertical="center"/>
    </xf>
    <xf numFmtId="0" fontId="36" fillId="11" borderId="40" xfId="0" applyFont="1" applyFill="1" applyBorder="1" applyAlignment="1">
      <alignment horizontal="right" vertical="center"/>
    </xf>
    <xf numFmtId="181" fontId="37" fillId="0" borderId="11" xfId="0" applyNumberFormat="1" applyFont="1" applyBorder="1" applyAlignment="1">
      <alignment horizontal="center" vertical="center" shrinkToFit="1"/>
    </xf>
    <xf numFmtId="44" fontId="27" fillId="0" borderId="0" xfId="0" applyNumberFormat="1" applyFont="1" applyAlignment="1">
      <alignment vertical="center"/>
    </xf>
    <xf numFmtId="1" fontId="5" fillId="0" borderId="33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5" fillId="0" borderId="0" xfId="0" applyNumberFormat="1" applyFont="1" applyAlignment="1">
      <alignment vertical="center"/>
    </xf>
    <xf numFmtId="44" fontId="5" fillId="0" borderId="26" xfId="0" applyNumberFormat="1" applyFont="1" applyBorder="1" applyAlignment="1">
      <alignment vertical="center"/>
    </xf>
    <xf numFmtId="181" fontId="34" fillId="0" borderId="7" xfId="0" applyNumberFormat="1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/>
    </xf>
    <xf numFmtId="44" fontId="28" fillId="0" borderId="33" xfId="0" applyNumberFormat="1" applyFont="1" applyBorder="1" applyAlignment="1">
      <alignment horizontal="center" vertical="center"/>
    </xf>
    <xf numFmtId="44" fontId="28" fillId="0" borderId="34" xfId="0" applyNumberFormat="1" applyFont="1" applyBorder="1" applyAlignment="1">
      <alignment horizontal="center" vertical="center"/>
    </xf>
    <xf numFmtId="178" fontId="37" fillId="0" borderId="7" xfId="0" applyNumberFormat="1" applyFont="1" applyBorder="1" applyAlignment="1">
      <alignment horizontal="center" vertical="center" shrinkToFit="1"/>
    </xf>
    <xf numFmtId="0" fontId="36" fillId="11" borderId="11" xfId="0" applyFont="1" applyFill="1" applyBorder="1" applyAlignment="1">
      <alignment horizontal="center" vertical="center" wrapText="1"/>
    </xf>
    <xf numFmtId="0" fontId="36" fillId="11" borderId="41" xfId="0" applyFont="1" applyFill="1" applyBorder="1" applyAlignment="1">
      <alignment horizontal="center" vertical="center" wrapText="1"/>
    </xf>
    <xf numFmtId="2" fontId="5" fillId="0" borderId="33" xfId="0" applyNumberFormat="1" applyFont="1" applyBorder="1" applyAlignment="1">
      <alignment horizontal="center" vertical="center"/>
    </xf>
    <xf numFmtId="181" fontId="0" fillId="6" borderId="11" xfId="0" applyNumberFormat="1" applyFill="1" applyBorder="1" applyAlignment="1">
      <alignment horizontal="center" vertical="center" wrapText="1"/>
    </xf>
    <xf numFmtId="181" fontId="0" fillId="0" borderId="15" xfId="0" applyNumberFormat="1" applyBorder="1" applyAlignment="1">
      <alignment horizontal="center" vertical="center" wrapText="1"/>
    </xf>
    <xf numFmtId="181" fontId="12" fillId="5" borderId="11" xfId="0" applyNumberFormat="1" applyFont="1" applyFill="1" applyBorder="1" applyAlignment="1">
      <alignment horizontal="center" vertical="center" wrapText="1"/>
    </xf>
    <xf numFmtId="181" fontId="37" fillId="0" borderId="7" xfId="0" applyNumberFormat="1" applyFont="1" applyBorder="1" applyAlignment="1">
      <alignment horizontal="center" vertical="center" shrinkToFit="1"/>
    </xf>
    <xf numFmtId="0" fontId="33" fillId="2" borderId="11" xfId="0" applyFont="1" applyFill="1" applyBorder="1" applyAlignment="1">
      <alignment horizontal="left" vertical="center" wrapText="1"/>
    </xf>
    <xf numFmtId="44" fontId="27" fillId="0" borderId="0" xfId="8" applyFont="1" applyAlignment="1">
      <alignment vertical="center"/>
    </xf>
    <xf numFmtId="2" fontId="37" fillId="0" borderId="11" xfId="0" applyNumberFormat="1" applyFont="1" applyBorder="1" applyAlignment="1">
      <alignment horizontal="center" vertical="center" shrinkToFit="1"/>
    </xf>
    <xf numFmtId="177" fontId="46" fillId="6" borderId="38" xfId="0" applyNumberFormat="1" applyFont="1" applyFill="1" applyBorder="1" applyAlignment="1">
      <alignment horizontal="center" vertical="top" shrinkToFit="1"/>
    </xf>
    <xf numFmtId="0" fontId="47" fillId="6" borderId="11" xfId="0" applyFont="1" applyFill="1" applyBorder="1" applyAlignment="1">
      <alignment horizontal="left" vertical="top" wrapText="1"/>
    </xf>
    <xf numFmtId="44" fontId="46" fillId="6" borderId="39" xfId="8" applyFont="1" applyFill="1" applyBorder="1" applyAlignment="1">
      <alignment horizontal="center" vertical="center" shrinkToFit="1"/>
    </xf>
    <xf numFmtId="181" fontId="48" fillId="0" borderId="11" xfId="0" applyNumberFormat="1" applyFont="1" applyBorder="1" applyAlignment="1">
      <alignment horizontal="center" vertical="center" shrinkToFit="1"/>
    </xf>
    <xf numFmtId="180" fontId="48" fillId="0" borderId="11" xfId="0" applyNumberFormat="1" applyFont="1" applyBorder="1" applyAlignment="1">
      <alignment horizontal="center" vertical="center" shrinkToFit="1"/>
    </xf>
    <xf numFmtId="44" fontId="48" fillId="0" borderId="11" xfId="8" applyFont="1" applyBorder="1" applyAlignment="1">
      <alignment horizontal="center" vertical="center" shrinkToFit="1"/>
    </xf>
    <xf numFmtId="44" fontId="48" fillId="0" borderId="39" xfId="8" applyFont="1" applyBorder="1" applyAlignment="1">
      <alignment horizontal="center" vertical="center" shrinkToFit="1"/>
    </xf>
    <xf numFmtId="177" fontId="46" fillId="6" borderId="38" xfId="0" applyNumberFormat="1" applyFont="1" applyFill="1" applyBorder="1" applyAlignment="1">
      <alignment horizontal="center" vertical="center" shrinkToFit="1"/>
    </xf>
    <xf numFmtId="0" fontId="47" fillId="6" borderId="11" xfId="0" applyFont="1" applyFill="1" applyBorder="1" applyAlignment="1">
      <alignment horizontal="left" vertical="center" wrapText="1"/>
    </xf>
    <xf numFmtId="178" fontId="48" fillId="0" borderId="11" xfId="0" applyNumberFormat="1" applyFont="1" applyBorder="1" applyAlignment="1">
      <alignment horizontal="center" vertical="center" shrinkToFit="1"/>
    </xf>
    <xf numFmtId="0" fontId="47" fillId="0" borderId="15" xfId="0" applyFont="1" applyBorder="1" applyAlignment="1">
      <alignment horizontal="left" vertical="center" wrapText="1"/>
    </xf>
    <xf numFmtId="2" fontId="48" fillId="0" borderId="11" xfId="8" applyNumberFormat="1" applyFont="1" applyBorder="1" applyAlignment="1">
      <alignment horizontal="center" vertical="center" shrinkToFit="1"/>
    </xf>
    <xf numFmtId="177" fontId="49" fillId="5" borderId="38" xfId="0" applyNumberFormat="1" applyFont="1" applyFill="1" applyBorder="1" applyAlignment="1">
      <alignment horizontal="center" vertical="center" shrinkToFit="1"/>
    </xf>
    <xf numFmtId="0" fontId="50" fillId="5" borderId="11" xfId="0" applyFont="1" applyFill="1" applyBorder="1" applyAlignment="1">
      <alignment horizontal="center" vertical="center" wrapText="1"/>
    </xf>
    <xf numFmtId="44" fontId="49" fillId="5" borderId="39" xfId="8" applyFont="1" applyFill="1" applyBorder="1" applyAlignment="1">
      <alignment horizontal="center" vertical="center" shrinkToFit="1"/>
    </xf>
    <xf numFmtId="178" fontId="48" fillId="0" borderId="7" xfId="0" applyNumberFormat="1" applyFont="1" applyBorder="1" applyAlignment="1">
      <alignment horizontal="right" vertical="center" shrinkToFit="1"/>
    </xf>
    <xf numFmtId="178" fontId="48" fillId="0" borderId="7" xfId="0" applyNumberFormat="1" applyFont="1" applyBorder="1" applyAlignment="1">
      <alignment horizontal="center" vertical="center" shrinkToFit="1"/>
    </xf>
    <xf numFmtId="44" fontId="48" fillId="0" borderId="7" xfId="8" applyFont="1" applyBorder="1" applyAlignment="1">
      <alignment horizontal="right" vertical="center" shrinkToFit="1"/>
    </xf>
    <xf numFmtId="13" fontId="48" fillId="0" borderId="7" xfId="8" applyNumberFormat="1" applyFont="1" applyBorder="1" applyAlignment="1">
      <alignment horizontal="right" vertical="center" shrinkToFit="1"/>
    </xf>
    <xf numFmtId="44" fontId="48" fillId="0" borderId="48" xfId="8" applyFont="1" applyBorder="1" applyAlignment="1">
      <alignment horizontal="center" vertical="center" shrinkToFit="1"/>
    </xf>
    <xf numFmtId="0" fontId="47" fillId="11" borderId="11" xfId="0" applyFont="1" applyFill="1" applyBorder="1" applyAlignment="1">
      <alignment horizontal="center" vertical="center" wrapText="1"/>
    </xf>
    <xf numFmtId="44" fontId="46" fillId="11" borderId="39" xfId="8" applyFont="1" applyFill="1" applyBorder="1" applyAlignment="1">
      <alignment horizontal="center" vertical="center" shrinkToFit="1"/>
    </xf>
    <xf numFmtId="44" fontId="46" fillId="12" borderId="39" xfId="8" applyFont="1" applyFill="1" applyBorder="1" applyAlignment="1">
      <alignment horizontal="center" vertical="center" shrinkToFit="1"/>
    </xf>
    <xf numFmtId="0" fontId="47" fillId="11" borderId="41" xfId="0" applyFont="1" applyFill="1" applyBorder="1" applyAlignment="1">
      <alignment horizontal="center" vertical="center" wrapText="1"/>
    </xf>
    <xf numFmtId="0" fontId="47" fillId="11" borderId="40" xfId="0" applyFont="1" applyFill="1" applyBorder="1" applyAlignment="1">
      <alignment horizontal="right" vertical="center"/>
    </xf>
    <xf numFmtId="44" fontId="46" fillId="11" borderId="42" xfId="8" applyFont="1" applyFill="1" applyBorder="1" applyAlignment="1">
      <alignment horizontal="center" vertical="center" shrinkToFit="1"/>
    </xf>
    <xf numFmtId="2" fontId="48" fillId="0" borderId="11" xfId="0" applyNumberFormat="1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3" fontId="51" fillId="13" borderId="46" xfId="0" applyNumberFormat="1" applyFont="1" applyFill="1" applyBorder="1" applyAlignment="1">
      <alignment horizontal="center" vertical="center"/>
    </xf>
    <xf numFmtId="0" fontId="26" fillId="0" borderId="52" xfId="0" applyFont="1" applyBorder="1" applyAlignment="1">
      <alignment horizontal="center" vertical="center" wrapText="1"/>
    </xf>
    <xf numFmtId="0" fontId="40" fillId="0" borderId="54" xfId="0" applyFont="1" applyBorder="1" applyAlignment="1">
      <alignment horizontal="center" vertical="center" wrapText="1"/>
    </xf>
    <xf numFmtId="0" fontId="24" fillId="0" borderId="54" xfId="0" applyFont="1" applyBorder="1" applyAlignment="1">
      <alignment horizontal="center" vertical="center" wrapText="1"/>
    </xf>
    <xf numFmtId="3" fontId="23" fillId="0" borderId="54" xfId="0" applyNumberFormat="1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40" fillId="0" borderId="33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3" fontId="23" fillId="0" borderId="33" xfId="0" applyNumberFormat="1" applyFont="1" applyBorder="1" applyAlignment="1">
      <alignment horizontal="center" vertical="center" wrapText="1"/>
    </xf>
    <xf numFmtId="0" fontId="42" fillId="14" borderId="47" xfId="0" applyFont="1" applyFill="1" applyBorder="1" applyAlignment="1">
      <alignment horizontal="center" vertical="center"/>
    </xf>
    <xf numFmtId="0" fontId="42" fillId="14" borderId="5" xfId="0" applyFont="1" applyFill="1" applyBorder="1" applyAlignment="1">
      <alignment horizontal="center" vertical="center"/>
    </xf>
    <xf numFmtId="3" fontId="42" fillId="14" borderId="5" xfId="0" applyNumberFormat="1" applyFont="1" applyFill="1" applyBorder="1" applyAlignment="1">
      <alignment horizontal="center" vertical="center"/>
    </xf>
    <xf numFmtId="0" fontId="41" fillId="0" borderId="54" xfId="0" applyFont="1" applyBorder="1" applyAlignment="1">
      <alignment horizontal="left" vertical="top" wrapText="1"/>
    </xf>
    <xf numFmtId="0" fontId="41" fillId="0" borderId="5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left" vertical="top" wrapText="1"/>
    </xf>
    <xf numFmtId="0" fontId="41" fillId="0" borderId="33" xfId="0" applyFont="1" applyBorder="1" applyAlignment="1">
      <alignment horizontal="left" vertical="top" wrapText="1"/>
    </xf>
    <xf numFmtId="0" fontId="4" fillId="11" borderId="11" xfId="0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center" vertical="center" wrapText="1"/>
    </xf>
    <xf numFmtId="0" fontId="4" fillId="11" borderId="41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right" vertical="center" wrapText="1"/>
    </xf>
    <xf numFmtId="10" fontId="6" fillId="12" borderId="11" xfId="1" applyNumberFormat="1" applyFont="1" applyFill="1" applyBorder="1" applyAlignment="1">
      <alignment horizontal="right" vertical="center" wrapText="1"/>
    </xf>
    <xf numFmtId="0" fontId="4" fillId="11" borderId="41" xfId="0" applyFont="1" applyFill="1" applyBorder="1" applyAlignment="1">
      <alignment horizontal="right" vertical="center"/>
    </xf>
    <xf numFmtId="3" fontId="41" fillId="0" borderId="1" xfId="0" applyNumberFormat="1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 wrapText="1"/>
    </xf>
    <xf numFmtId="0" fontId="42" fillId="14" borderId="56" xfId="0" applyFont="1" applyFill="1" applyBorder="1" applyAlignment="1">
      <alignment horizontal="center" vertical="center"/>
    </xf>
    <xf numFmtId="44" fontId="24" fillId="0" borderId="49" xfId="8" applyFont="1" applyBorder="1" applyAlignment="1">
      <alignment horizontal="center" vertical="center" wrapText="1"/>
    </xf>
    <xf numFmtId="44" fontId="24" fillId="0" borderId="4" xfId="8" applyFont="1" applyBorder="1" applyAlignment="1">
      <alignment horizontal="center" vertical="center" wrapText="1"/>
    </xf>
    <xf numFmtId="44" fontId="24" fillId="0" borderId="6" xfId="8" applyFont="1" applyBorder="1" applyAlignment="1">
      <alignment horizontal="center" vertical="center" wrapText="1"/>
    </xf>
    <xf numFmtId="44" fontId="5" fillId="0" borderId="57" xfId="0" applyNumberFormat="1" applyFont="1" applyBorder="1" applyAlignment="1">
      <alignment horizontal="center" vertical="center"/>
    </xf>
    <xf numFmtId="44" fontId="24" fillId="0" borderId="52" xfId="0" applyNumberFormat="1" applyFont="1" applyBorder="1" applyAlignment="1">
      <alignment horizontal="center" vertical="center" wrapText="1"/>
    </xf>
    <xf numFmtId="44" fontId="24" fillId="0" borderId="19" xfId="0" applyNumberFormat="1" applyFont="1" applyBorder="1" applyAlignment="1">
      <alignment horizontal="center" vertical="center" wrapText="1"/>
    </xf>
    <xf numFmtId="44" fontId="24" fillId="0" borderId="32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3" fontId="37" fillId="0" borderId="7" xfId="8" applyNumberFormat="1" applyFont="1" applyBorder="1" applyAlignment="1">
      <alignment horizontal="center" vertical="center" shrinkToFit="1"/>
    </xf>
    <xf numFmtId="0" fontId="52" fillId="0" borderId="58" xfId="0" applyFont="1" applyBorder="1" applyAlignment="1">
      <alignment horizontal="center" vertical="center" wrapText="1"/>
    </xf>
    <xf numFmtId="0" fontId="52" fillId="0" borderId="59" xfId="0" applyFont="1" applyBorder="1" applyAlignment="1">
      <alignment horizontal="center" vertical="center" wrapText="1"/>
    </xf>
    <xf numFmtId="0" fontId="10" fillId="2" borderId="60" xfId="3" applyFont="1" applyFill="1" applyBorder="1" applyAlignment="1">
      <alignment horizontal="center" vertical="center"/>
    </xf>
    <xf numFmtId="0" fontId="10" fillId="2" borderId="61" xfId="3" applyFont="1" applyFill="1" applyBorder="1" applyAlignment="1">
      <alignment horizontal="center" vertical="center"/>
    </xf>
    <xf numFmtId="0" fontId="9" fillId="2" borderId="62" xfId="3" applyFont="1" applyFill="1" applyBorder="1" applyAlignment="1">
      <alignment vertical="center"/>
    </xf>
    <xf numFmtId="2" fontId="9" fillId="2" borderId="63" xfId="3" applyNumberFormat="1" applyFont="1" applyFill="1" applyBorder="1" applyAlignment="1">
      <alignment horizontal="center" vertical="center"/>
    </xf>
    <xf numFmtId="0" fontId="9" fillId="2" borderId="21" xfId="3" applyFont="1" applyFill="1" applyBorder="1" applyAlignment="1">
      <alignment vertical="center"/>
    </xf>
    <xf numFmtId="2" fontId="9" fillId="2" borderId="56" xfId="3" applyNumberFormat="1" applyFont="1" applyFill="1" applyBorder="1" applyAlignment="1">
      <alignment horizontal="center" vertical="center"/>
    </xf>
    <xf numFmtId="0" fontId="10" fillId="2" borderId="27" xfId="3" applyFont="1" applyFill="1" applyBorder="1" applyAlignment="1">
      <alignment vertical="center"/>
    </xf>
    <xf numFmtId="2" fontId="10" fillId="2" borderId="28" xfId="3" applyNumberFormat="1" applyFont="1" applyFill="1" applyBorder="1" applyAlignment="1">
      <alignment horizontal="center" vertical="center"/>
    </xf>
    <xf numFmtId="0" fontId="10" fillId="2" borderId="19" xfId="3" applyFont="1" applyFill="1" applyBorder="1" applyAlignment="1">
      <alignment horizontal="center" vertical="center"/>
    </xf>
    <xf numFmtId="2" fontId="10" fillId="2" borderId="20" xfId="3" applyNumberFormat="1" applyFont="1" applyFill="1" applyBorder="1" applyAlignment="1">
      <alignment horizontal="center" vertical="center"/>
    </xf>
    <xf numFmtId="2" fontId="10" fillId="2" borderId="61" xfId="3" applyNumberFormat="1" applyFont="1" applyFill="1" applyBorder="1" applyAlignment="1">
      <alignment horizontal="center" vertical="center"/>
    </xf>
    <xf numFmtId="0" fontId="9" fillId="2" borderId="64" xfId="3" applyFont="1" applyFill="1" applyBorder="1" applyAlignment="1">
      <alignment vertical="center" wrapText="1"/>
    </xf>
    <xf numFmtId="2" fontId="10" fillId="2" borderId="56" xfId="3" applyNumberFormat="1" applyFont="1" applyFill="1" applyBorder="1" applyAlignment="1">
      <alignment horizontal="center" vertical="center"/>
    </xf>
    <xf numFmtId="10" fontId="7" fillId="15" borderId="22" xfId="1" applyNumberFormat="1" applyFont="1" applyFill="1" applyBorder="1" applyAlignment="1">
      <alignment horizontal="center" vertical="center"/>
    </xf>
    <xf numFmtId="10" fontId="7" fillId="15" borderId="3" xfId="1" applyNumberFormat="1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17" fontId="21" fillId="10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38" fillId="0" borderId="33" xfId="0" applyFont="1" applyBorder="1" applyAlignment="1">
      <alignment horizontal="center" vertical="center" wrapText="1"/>
    </xf>
    <xf numFmtId="0" fontId="5" fillId="2" borderId="25" xfId="3" applyFont="1" applyFill="1" applyBorder="1" applyAlignment="1" applyProtection="1">
      <alignment vertical="center"/>
      <protection locked="0"/>
    </xf>
    <xf numFmtId="0" fontId="5" fillId="2" borderId="18" xfId="3" applyFont="1" applyFill="1" applyBorder="1" applyAlignment="1" applyProtection="1">
      <alignment vertical="center"/>
      <protection locked="0"/>
    </xf>
    <xf numFmtId="0" fontId="5" fillId="2" borderId="26" xfId="3" applyFont="1" applyFill="1" applyBorder="1" applyAlignment="1" applyProtection="1">
      <alignment vertical="center"/>
      <protection locked="0"/>
    </xf>
    <xf numFmtId="0" fontId="5" fillId="2" borderId="21" xfId="3" applyFont="1" applyFill="1" applyBorder="1" applyAlignment="1" applyProtection="1">
      <alignment vertical="center"/>
      <protection locked="0"/>
    </xf>
    <xf numFmtId="0" fontId="5" fillId="2" borderId="22" xfId="3" applyFont="1" applyFill="1" applyBorder="1" applyAlignment="1" applyProtection="1">
      <alignment vertical="center"/>
      <protection locked="0"/>
    </xf>
    <xf numFmtId="0" fontId="10" fillId="2" borderId="21" xfId="3" applyFont="1" applyFill="1" applyBorder="1" applyAlignment="1" applyProtection="1">
      <alignment vertical="center"/>
      <protection locked="0"/>
    </xf>
    <xf numFmtId="0" fontId="10" fillId="2" borderId="22" xfId="3" applyFont="1" applyFill="1" applyBorder="1" applyAlignment="1" applyProtection="1">
      <alignment vertical="center"/>
      <protection locked="0"/>
    </xf>
    <xf numFmtId="0" fontId="5" fillId="2" borderId="16" xfId="3" applyFont="1" applyFill="1" applyBorder="1" applyAlignment="1" applyProtection="1">
      <alignment vertical="center"/>
      <protection locked="0"/>
    </xf>
    <xf numFmtId="0" fontId="5" fillId="2" borderId="24" xfId="3" applyFont="1" applyFill="1" applyBorder="1" applyAlignment="1" applyProtection="1">
      <alignment vertical="center"/>
      <protection locked="0"/>
    </xf>
    <xf numFmtId="0" fontId="30" fillId="0" borderId="23" xfId="7" applyBorder="1"/>
    <xf numFmtId="0" fontId="5" fillId="2" borderId="18" xfId="3" applyFont="1" applyFill="1" applyBorder="1" applyAlignment="1">
      <alignment horizontal="center" vertical="center"/>
    </xf>
    <xf numFmtId="0" fontId="5" fillId="2" borderId="26" xfId="3" applyFont="1" applyFill="1" applyBorder="1" applyAlignment="1">
      <alignment horizontal="center" vertical="center"/>
    </xf>
    <xf numFmtId="0" fontId="5" fillId="2" borderId="22" xfId="3" applyFont="1" applyFill="1" applyBorder="1" applyAlignment="1">
      <alignment vertical="center"/>
    </xf>
    <xf numFmtId="0" fontId="10" fillId="2" borderId="0" xfId="3" applyFont="1" applyFill="1" applyAlignment="1">
      <alignment vertical="center"/>
    </xf>
    <xf numFmtId="0" fontId="10" fillId="2" borderId="22" xfId="3" applyFont="1" applyFill="1" applyBorder="1" applyAlignment="1">
      <alignment vertical="center"/>
    </xf>
    <xf numFmtId="0" fontId="5" fillId="2" borderId="21" xfId="3" applyFont="1" applyFill="1" applyBorder="1" applyAlignment="1">
      <alignment vertical="center"/>
    </xf>
    <xf numFmtId="0" fontId="5" fillId="2" borderId="22" xfId="3" applyFont="1" applyFill="1" applyBorder="1" applyAlignment="1">
      <alignment horizontal="center" vertical="center"/>
    </xf>
    <xf numFmtId="0" fontId="9" fillId="2" borderId="21" xfId="3" applyFont="1" applyFill="1" applyBorder="1" applyAlignment="1" applyProtection="1">
      <alignment vertical="center"/>
      <protection locked="0"/>
    </xf>
    <xf numFmtId="169" fontId="9" fillId="2" borderId="0" xfId="3" applyNumberFormat="1" applyFont="1" applyFill="1" applyAlignment="1" applyProtection="1">
      <alignment horizontal="left" vertical="center"/>
      <protection locked="0"/>
    </xf>
    <xf numFmtId="168" fontId="5" fillId="2" borderId="0" xfId="3" applyNumberFormat="1" applyFont="1" applyFill="1" applyAlignment="1" applyProtection="1">
      <alignment horizontal="left" vertical="center"/>
      <protection locked="0"/>
    </xf>
    <xf numFmtId="2" fontId="16" fillId="2" borderId="0" xfId="3" applyNumberFormat="1" applyFont="1" applyFill="1" applyAlignment="1" applyProtection="1">
      <alignment horizontal="center" vertical="center"/>
      <protection locked="0"/>
    </xf>
    <xf numFmtId="0" fontId="5" fillId="2" borderId="16" xfId="3" applyFont="1" applyFill="1" applyBorder="1" applyAlignment="1">
      <alignment horizontal="center" vertical="center"/>
    </xf>
    <xf numFmtId="0" fontId="5" fillId="2" borderId="24" xfId="3" applyFont="1" applyFill="1" applyBorder="1" applyAlignment="1">
      <alignment horizontal="center" vertical="center"/>
    </xf>
    <xf numFmtId="0" fontId="14" fillId="2" borderId="25" xfId="3" applyFont="1" applyFill="1" applyBorder="1" applyAlignment="1" applyProtection="1">
      <alignment vertical="center"/>
      <protection locked="0"/>
    </xf>
    <xf numFmtId="0" fontId="9" fillId="2" borderId="23" xfId="3" applyFont="1" applyFill="1" applyBorder="1" applyAlignment="1" applyProtection="1">
      <alignment vertical="center"/>
      <protection locked="0"/>
    </xf>
    <xf numFmtId="10" fontId="9" fillId="0" borderId="16" xfId="4" applyNumberFormat="1" applyFont="1" applyFill="1" applyBorder="1" applyAlignment="1" applyProtection="1">
      <alignment horizontal="left" vertical="center" wrapText="1"/>
      <protection locked="0"/>
    </xf>
    <xf numFmtId="178" fontId="48" fillId="0" borderId="11" xfId="0" quotePrefix="1" applyNumberFormat="1" applyFont="1" applyBorder="1" applyAlignment="1">
      <alignment horizontal="center" vertical="center" shrinkToFit="1"/>
    </xf>
    <xf numFmtId="0" fontId="17" fillId="2" borderId="0" xfId="0" applyFont="1" applyFill="1" applyAlignment="1">
      <alignment horizontal="center" vertical="center"/>
    </xf>
    <xf numFmtId="173" fontId="17" fillId="0" borderId="0" xfId="0" applyNumberFormat="1" applyFont="1" applyAlignment="1">
      <alignment horizontal="center" vertical="center"/>
    </xf>
    <xf numFmtId="0" fontId="0" fillId="0" borderId="21" xfId="0" applyBorder="1"/>
    <xf numFmtId="0" fontId="17" fillId="0" borderId="7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67" xfId="0" applyFont="1" applyBorder="1" applyAlignment="1">
      <alignment horizontal="center" vertical="center"/>
    </xf>
    <xf numFmtId="170" fontId="17" fillId="0" borderId="22" xfId="0" applyNumberFormat="1" applyFont="1" applyBorder="1" applyAlignment="1">
      <alignment horizontal="center" vertical="center"/>
    </xf>
    <xf numFmtId="10" fontId="17" fillId="0" borderId="22" xfId="1" applyNumberFormat="1" applyFont="1" applyFill="1" applyBorder="1" applyAlignment="1">
      <alignment horizontal="center" vertical="center" wrapText="1"/>
    </xf>
    <xf numFmtId="10" fontId="17" fillId="0" borderId="24" xfId="1" applyNumberFormat="1" applyFont="1" applyFill="1" applyBorder="1" applyAlignment="1">
      <alignment horizontal="center" vertical="center" wrapText="1"/>
    </xf>
    <xf numFmtId="44" fontId="39" fillId="0" borderId="20" xfId="8" applyFont="1" applyBorder="1" applyAlignment="1">
      <alignment horizontal="right" vertical="center" wrapText="1"/>
    </xf>
    <xf numFmtId="44" fontId="39" fillId="0" borderId="34" xfId="8" applyFont="1" applyBorder="1" applyAlignment="1">
      <alignment horizontal="right" vertical="center" wrapText="1"/>
    </xf>
    <xf numFmtId="0" fontId="17" fillId="0" borderId="19" xfId="0" applyFont="1" applyBorder="1" applyAlignment="1">
      <alignment horizontal="center" vertical="center"/>
    </xf>
    <xf numFmtId="44" fontId="17" fillId="0" borderId="20" xfId="8" applyFont="1" applyBorder="1" applyAlignment="1">
      <alignment horizontal="center" vertical="center"/>
    </xf>
    <xf numFmtId="44" fontId="33" fillId="0" borderId="7" xfId="8" applyFont="1" applyBorder="1" applyAlignment="1">
      <alignment horizontal="left" vertical="center" wrapText="1"/>
    </xf>
    <xf numFmtId="0" fontId="0" fillId="0" borderId="21" xfId="0" applyBorder="1" applyAlignment="1">
      <alignment horizontal="left"/>
    </xf>
    <xf numFmtId="0" fontId="0" fillId="0" borderId="0" xfId="0" applyAlignment="1">
      <alignment horizontal="left"/>
    </xf>
    <xf numFmtId="0" fontId="21" fillId="0" borderId="22" xfId="0" applyFont="1" applyBorder="1" applyAlignment="1">
      <alignment vertical="center"/>
    </xf>
    <xf numFmtId="0" fontId="11" fillId="0" borderId="22" xfId="0" applyFont="1" applyBorder="1"/>
    <xf numFmtId="0" fontId="0" fillId="0" borderId="16" xfId="0" applyBorder="1"/>
    <xf numFmtId="0" fontId="4" fillId="0" borderId="19" xfId="0" applyFont="1" applyBorder="1"/>
    <xf numFmtId="0" fontId="4" fillId="0" borderId="32" xfId="0" applyFont="1" applyBorder="1"/>
    <xf numFmtId="0" fontId="4" fillId="0" borderId="60" xfId="0" applyFont="1" applyBorder="1"/>
    <xf numFmtId="0" fontId="54" fillId="0" borderId="25" xfId="0" applyFont="1" applyBorder="1"/>
    <xf numFmtId="0" fontId="0" fillId="0" borderId="18" xfId="0" applyBorder="1"/>
    <xf numFmtId="0" fontId="17" fillId="0" borderId="18" xfId="0" applyFont="1" applyBorder="1" applyAlignment="1">
      <alignment vertical="center"/>
    </xf>
    <xf numFmtId="10" fontId="17" fillId="0" borderId="26" xfId="1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4" fontId="4" fillId="0" borderId="20" xfId="0" applyNumberFormat="1" applyFont="1" applyBorder="1" applyAlignment="1">
      <alignment horizontal="center" vertical="center"/>
    </xf>
    <xf numFmtId="44" fontId="4" fillId="0" borderId="63" xfId="0" applyNumberFormat="1" applyFont="1" applyBorder="1" applyAlignment="1">
      <alignment horizontal="center" vertical="center"/>
    </xf>
    <xf numFmtId="2" fontId="48" fillId="0" borderId="11" xfId="0" quotePrefix="1" applyNumberFormat="1" applyFont="1" applyBorder="1" applyAlignment="1">
      <alignment horizontal="center" vertical="center" shrinkToFit="1"/>
    </xf>
    <xf numFmtId="44" fontId="33" fillId="0" borderId="11" xfId="8" applyFont="1" applyBorder="1" applyAlignment="1">
      <alignment horizontal="left" vertical="center" wrapText="1"/>
    </xf>
    <xf numFmtId="0" fontId="0" fillId="0" borderId="61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44" fontId="0" fillId="0" borderId="34" xfId="0" applyNumberFormat="1" applyBorder="1" applyAlignment="1">
      <alignment horizontal="center" vertical="center"/>
    </xf>
    <xf numFmtId="0" fontId="17" fillId="0" borderId="46" xfId="0" applyFont="1" applyBorder="1" applyAlignment="1">
      <alignment vertical="center"/>
    </xf>
    <xf numFmtId="0" fontId="36" fillId="11" borderId="38" xfId="0" applyFont="1" applyFill="1" applyBorder="1" applyAlignment="1">
      <alignment horizontal="center" vertical="center" wrapText="1"/>
    </xf>
    <xf numFmtId="0" fontId="36" fillId="11" borderId="40" xfId="0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1" xfId="0" applyFont="1" applyBorder="1" applyAlignment="1">
      <alignment horizontal="left" vertical="center"/>
    </xf>
    <xf numFmtId="0" fontId="11" fillId="0" borderId="21" xfId="0" applyFont="1" applyBorder="1" applyAlignment="1">
      <alignment vertical="center"/>
    </xf>
    <xf numFmtId="173" fontId="11" fillId="0" borderId="2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44" fontId="11" fillId="0" borderId="0" xfId="8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29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center" wrapText="1"/>
    </xf>
    <xf numFmtId="173" fontId="11" fillId="0" borderId="0" xfId="0" applyNumberFormat="1" applyFont="1" applyAlignment="1">
      <alignment horizontal="left" vertical="center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vertical="top" wrapText="1"/>
    </xf>
    <xf numFmtId="44" fontId="32" fillId="0" borderId="1" xfId="8" applyFont="1" applyBorder="1" applyAlignment="1">
      <alignment horizontal="right" vertical="top" wrapText="1"/>
    </xf>
    <xf numFmtId="4" fontId="17" fillId="0" borderId="0" xfId="0" applyNumberFormat="1" applyFont="1" applyAlignment="1">
      <alignment horizontal="right" vertical="top" wrapText="1"/>
    </xf>
    <xf numFmtId="0" fontId="21" fillId="0" borderId="0" xfId="5" applyFont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8" applyNumberFormat="1" applyFont="1" applyBorder="1" applyAlignment="1">
      <alignment horizontal="center" vertical="top" wrapText="1"/>
    </xf>
    <xf numFmtId="173" fontId="11" fillId="0" borderId="0" xfId="0" applyNumberFormat="1" applyFont="1" applyAlignment="1">
      <alignment horizontal="left" vertical="top"/>
    </xf>
    <xf numFmtId="173" fontId="11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170" fontId="11" fillId="0" borderId="0" xfId="0" applyNumberFormat="1" applyFont="1" applyAlignment="1">
      <alignment horizontal="center" vertical="top"/>
    </xf>
    <xf numFmtId="10" fontId="17" fillId="0" borderId="0" xfId="1" applyNumberFormat="1" applyFont="1" applyBorder="1" applyAlignment="1">
      <alignment horizontal="center" vertical="top" wrapText="1"/>
    </xf>
    <xf numFmtId="0" fontId="17" fillId="0" borderId="0" xfId="0" applyFont="1" applyAlignment="1">
      <alignment vertical="top"/>
    </xf>
    <xf numFmtId="171" fontId="21" fillId="0" borderId="0" xfId="6" applyFont="1" applyFill="1" applyBorder="1" applyAlignment="1" applyProtection="1">
      <alignment horizontal="center" vertical="top"/>
    </xf>
    <xf numFmtId="164" fontId="21" fillId="0" borderId="0" xfId="6" applyNumberFormat="1" applyFont="1" applyFill="1" applyBorder="1" applyAlignment="1" applyProtection="1">
      <alignment horizontal="center" vertical="top" wrapText="1"/>
    </xf>
    <xf numFmtId="0" fontId="17" fillId="0" borderId="0" xfId="5" applyFont="1" applyAlignment="1">
      <alignment horizontal="center" vertical="top"/>
    </xf>
    <xf numFmtId="0" fontId="17" fillId="0" borderId="0" xfId="5" applyFont="1" applyAlignment="1">
      <alignment horizontal="left" vertical="top" wrapText="1"/>
    </xf>
    <xf numFmtId="175" fontId="17" fillId="0" borderId="0" xfId="6" applyNumberFormat="1" applyFont="1" applyFill="1" applyBorder="1" applyAlignment="1" applyProtection="1">
      <alignment horizontal="right" vertical="top"/>
    </xf>
    <xf numFmtId="0" fontId="20" fillId="0" borderId="0" xfId="5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9" fontId="11" fillId="0" borderId="22" xfId="0" applyNumberFormat="1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 wrapText="1"/>
    </xf>
    <xf numFmtId="0" fontId="21" fillId="0" borderId="21" xfId="5" applyFont="1" applyBorder="1" applyAlignment="1">
      <alignment horizontal="center" vertical="top" wrapText="1"/>
    </xf>
    <xf numFmtId="164" fontId="19" fillId="0" borderId="20" xfId="8" applyNumberFormat="1" applyFont="1" applyBorder="1" applyAlignment="1">
      <alignment horizontal="center" vertical="top" wrapText="1"/>
    </xf>
    <xf numFmtId="0" fontId="21" fillId="0" borderId="21" xfId="5" applyFont="1" applyBorder="1" applyAlignment="1">
      <alignment horizontal="center" vertical="top"/>
    </xf>
    <xf numFmtId="0" fontId="17" fillId="0" borderId="21" xfId="5" applyFont="1" applyBorder="1" applyAlignment="1">
      <alignment horizontal="center" vertical="top"/>
    </xf>
    <xf numFmtId="0" fontId="17" fillId="0" borderId="23" xfId="5" applyFont="1" applyBorder="1" applyAlignment="1">
      <alignment horizontal="center" vertical="center"/>
    </xf>
    <xf numFmtId="0" fontId="20" fillId="0" borderId="16" xfId="5" applyFont="1" applyBorder="1" applyAlignment="1">
      <alignment horizontal="left" vertical="center" wrapText="1"/>
    </xf>
    <xf numFmtId="0" fontId="17" fillId="0" borderId="16" xfId="5" applyFont="1" applyBorder="1" applyAlignment="1">
      <alignment horizontal="center" vertical="center"/>
    </xf>
    <xf numFmtId="175" fontId="17" fillId="0" borderId="16" xfId="6" applyNumberFormat="1" applyFont="1" applyFill="1" applyBorder="1" applyAlignment="1" applyProtection="1">
      <alignment horizontal="right" vertical="center"/>
    </xf>
    <xf numFmtId="173" fontId="11" fillId="0" borderId="16" xfId="0" applyNumberFormat="1" applyFont="1" applyBorder="1" applyAlignment="1">
      <alignment horizontal="left" vertical="center"/>
    </xf>
    <xf numFmtId="173" fontId="11" fillId="0" borderId="24" xfId="0" applyNumberFormat="1" applyFont="1" applyBorder="1" applyAlignment="1">
      <alignment horizontal="left" vertical="center"/>
    </xf>
    <xf numFmtId="0" fontId="17" fillId="8" borderId="25" xfId="0" applyFont="1" applyFill="1" applyBorder="1" applyAlignment="1">
      <alignment horizontal="left" vertical="center"/>
    </xf>
    <xf numFmtId="0" fontId="17" fillId="8" borderId="26" xfId="0" applyFont="1" applyFill="1" applyBorder="1" applyAlignment="1">
      <alignment horizontal="center" vertical="center"/>
    </xf>
    <xf numFmtId="0" fontId="17" fillId="8" borderId="21" xfId="0" applyFont="1" applyFill="1" applyBorder="1" applyAlignment="1">
      <alignment horizontal="left" vertical="center"/>
    </xf>
    <xf numFmtId="0" fontId="17" fillId="8" borderId="22" xfId="0" applyFont="1" applyFill="1" applyBorder="1" applyAlignment="1">
      <alignment horizontal="center" vertical="center"/>
    </xf>
    <xf numFmtId="4" fontId="17" fillId="8" borderId="22" xfId="0" applyNumberFormat="1" applyFont="1" applyFill="1" applyBorder="1" applyAlignment="1">
      <alignment horizontal="center" vertical="center"/>
    </xf>
    <xf numFmtId="0" fontId="17" fillId="8" borderId="27" xfId="0" applyFont="1" applyFill="1" applyBorder="1" applyAlignment="1">
      <alignment horizontal="left" vertical="center"/>
    </xf>
    <xf numFmtId="0" fontId="17" fillId="8" borderId="28" xfId="0" applyFont="1" applyFill="1" applyBorder="1" applyAlignment="1">
      <alignment horizontal="center" vertical="center"/>
    </xf>
    <xf numFmtId="173" fontId="11" fillId="0" borderId="23" xfId="0" applyNumberFormat="1" applyFont="1" applyBorder="1" applyAlignment="1">
      <alignment horizontal="center" vertical="center"/>
    </xf>
    <xf numFmtId="0" fontId="17" fillId="0" borderId="45" xfId="5" applyFont="1" applyBorder="1" applyAlignment="1">
      <alignment horizontal="left" vertical="center"/>
    </xf>
    <xf numFmtId="0" fontId="17" fillId="0" borderId="68" xfId="0" applyFont="1" applyBorder="1" applyAlignment="1">
      <alignment horizontal="right" vertical="center"/>
    </xf>
    <xf numFmtId="0" fontId="30" fillId="0" borderId="16" xfId="7" applyBorder="1" applyAlignment="1">
      <alignment vertical="center"/>
    </xf>
    <xf numFmtId="0" fontId="55" fillId="0" borderId="5" xfId="0" applyFont="1" applyBorder="1" applyAlignment="1">
      <alignment horizontal="center" vertical="center"/>
    </xf>
    <xf numFmtId="0" fontId="55" fillId="0" borderId="5" xfId="0" applyFont="1" applyBorder="1" applyAlignment="1">
      <alignment horizontal="left" vertical="center" wrapText="1"/>
    </xf>
    <xf numFmtId="0" fontId="45" fillId="16" borderId="52" xfId="0" applyFont="1" applyFill="1" applyBorder="1" applyAlignment="1">
      <alignment horizontal="center" vertical="center" wrapText="1"/>
    </xf>
    <xf numFmtId="0" fontId="45" fillId="16" borderId="54" xfId="0" applyFont="1" applyFill="1" applyBorder="1" applyAlignment="1">
      <alignment horizontal="center" vertical="center" wrapText="1"/>
    </xf>
    <xf numFmtId="0" fontId="45" fillId="16" borderId="49" xfId="0" applyFont="1" applyFill="1" applyBorder="1" applyAlignment="1">
      <alignment horizontal="center" vertical="center" wrapText="1"/>
    </xf>
    <xf numFmtId="0" fontId="45" fillId="16" borderId="53" xfId="0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176" fontId="17" fillId="0" borderId="19" xfId="8" applyNumberFormat="1" applyFont="1" applyBorder="1" applyAlignment="1">
      <alignment horizontal="center" vertical="center"/>
    </xf>
    <xf numFmtId="176" fontId="17" fillId="0" borderId="20" xfId="8" applyNumberFormat="1" applyFont="1" applyBorder="1" applyAlignment="1">
      <alignment horizontal="center" vertical="center"/>
    </xf>
    <xf numFmtId="176" fontId="17" fillId="0" borderId="32" xfId="8" applyNumberFormat="1" applyFont="1" applyBorder="1" applyAlignment="1">
      <alignment horizontal="center" vertical="center"/>
    </xf>
    <xf numFmtId="176" fontId="17" fillId="0" borderId="34" xfId="8" applyNumberFormat="1" applyFont="1" applyBorder="1" applyAlignment="1">
      <alignment horizontal="center" vertical="center"/>
    </xf>
    <xf numFmtId="0" fontId="17" fillId="0" borderId="66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176" fontId="17" fillId="0" borderId="60" xfId="8" applyNumberFormat="1" applyFont="1" applyBorder="1" applyAlignment="1">
      <alignment horizontal="center" vertical="center"/>
    </xf>
    <xf numFmtId="176" fontId="17" fillId="0" borderId="61" xfId="8" applyNumberFormat="1" applyFont="1" applyBorder="1" applyAlignment="1">
      <alignment horizontal="center" vertical="center"/>
    </xf>
    <xf numFmtId="0" fontId="45" fillId="16" borderId="32" xfId="0" applyFont="1" applyFill="1" applyBorder="1" applyAlignment="1">
      <alignment horizontal="center" vertical="center" wrapText="1"/>
    </xf>
    <xf numFmtId="0" fontId="45" fillId="16" borderId="34" xfId="0" applyFont="1" applyFill="1" applyBorder="1" applyAlignment="1">
      <alignment horizontal="center" vertical="center" wrapText="1"/>
    </xf>
    <xf numFmtId="0" fontId="45" fillId="16" borderId="66" xfId="0" applyFont="1" applyFill="1" applyBorder="1" applyAlignment="1">
      <alignment horizontal="center" vertical="center" wrapText="1"/>
    </xf>
    <xf numFmtId="0" fontId="45" fillId="16" borderId="57" xfId="0" applyFont="1" applyFill="1" applyBorder="1" applyAlignment="1">
      <alignment horizontal="center" vertical="center" wrapText="1"/>
    </xf>
    <xf numFmtId="176" fontId="17" fillId="0" borderId="72" xfId="8" applyNumberFormat="1" applyFont="1" applyBorder="1" applyAlignment="1">
      <alignment horizontal="center" vertical="center"/>
    </xf>
    <xf numFmtId="176" fontId="17" fillId="0" borderId="79" xfId="8" applyNumberFormat="1" applyFont="1" applyBorder="1" applyAlignment="1">
      <alignment horizontal="center" vertical="center"/>
    </xf>
    <xf numFmtId="176" fontId="17" fillId="0" borderId="78" xfId="8" applyNumberFormat="1" applyFont="1" applyBorder="1" applyAlignment="1">
      <alignment horizontal="center" vertical="center"/>
    </xf>
    <xf numFmtId="2" fontId="17" fillId="0" borderId="72" xfId="8" applyNumberFormat="1" applyFont="1" applyBorder="1" applyAlignment="1">
      <alignment horizontal="center" vertical="center"/>
    </xf>
    <xf numFmtId="2" fontId="17" fillId="0" borderId="79" xfId="8" applyNumberFormat="1" applyFont="1" applyBorder="1" applyAlignment="1">
      <alignment horizontal="center" vertical="center"/>
    </xf>
    <xf numFmtId="2" fontId="17" fillId="0" borderId="78" xfId="8" applyNumberFormat="1" applyFont="1" applyBorder="1" applyAlignment="1">
      <alignment horizontal="center" vertical="center"/>
    </xf>
    <xf numFmtId="179" fontId="17" fillId="7" borderId="28" xfId="0" applyNumberFormat="1" applyFont="1" applyFill="1" applyBorder="1" applyAlignment="1">
      <alignment horizontal="center" vertical="center"/>
    </xf>
    <xf numFmtId="179" fontId="17" fillId="7" borderId="48" xfId="0" applyNumberFormat="1" applyFont="1" applyFill="1" applyBorder="1" applyAlignment="1">
      <alignment horizontal="center" vertical="center"/>
    </xf>
    <xf numFmtId="179" fontId="17" fillId="7" borderId="37" xfId="0" applyNumberFormat="1" applyFont="1" applyFill="1" applyBorder="1" applyAlignment="1">
      <alignment horizontal="center" vertical="center"/>
    </xf>
    <xf numFmtId="176" fontId="17" fillId="7" borderId="72" xfId="8" applyNumberFormat="1" applyFont="1" applyFill="1" applyBorder="1" applyAlignment="1">
      <alignment horizontal="center" vertical="center"/>
    </xf>
    <xf numFmtId="176" fontId="17" fillId="7" borderId="79" xfId="8" applyNumberFormat="1" applyFont="1" applyFill="1" applyBorder="1" applyAlignment="1">
      <alignment horizontal="center" vertical="center"/>
    </xf>
    <xf numFmtId="176" fontId="17" fillId="7" borderId="78" xfId="8" applyNumberFormat="1" applyFont="1" applyFill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72" xfId="0" applyFont="1" applyBorder="1" applyAlignment="1">
      <alignment vertical="center" wrapText="1"/>
    </xf>
    <xf numFmtId="0" fontId="17" fillId="0" borderId="79" xfId="0" applyFont="1" applyBorder="1" applyAlignment="1">
      <alignment vertical="center" wrapText="1"/>
    </xf>
    <xf numFmtId="0" fontId="17" fillId="0" borderId="78" xfId="0" applyFont="1" applyBorder="1" applyAlignment="1">
      <alignment vertical="center" wrapText="1"/>
    </xf>
    <xf numFmtId="0" fontId="45" fillId="16" borderId="76" xfId="0" applyFont="1" applyFill="1" applyBorder="1" applyAlignment="1">
      <alignment horizontal="center" vertical="center" wrapText="1"/>
    </xf>
    <xf numFmtId="0" fontId="45" fillId="16" borderId="73" xfId="0" applyFont="1" applyFill="1" applyBorder="1" applyAlignment="1">
      <alignment horizontal="center" vertical="center" wrapText="1"/>
    </xf>
    <xf numFmtId="0" fontId="45" fillId="16" borderId="75" xfId="0" applyFont="1" applyFill="1" applyBorder="1" applyAlignment="1">
      <alignment horizontal="center" vertical="center" wrapText="1"/>
    </xf>
    <xf numFmtId="0" fontId="45" fillId="16" borderId="71" xfId="0" applyFont="1" applyFill="1" applyBorder="1" applyAlignment="1">
      <alignment horizontal="center" vertical="center" wrapText="1"/>
    </xf>
    <xf numFmtId="0" fontId="55" fillId="0" borderId="81" xfId="0" applyFont="1" applyBorder="1" applyAlignment="1">
      <alignment horizontal="center" vertical="center"/>
    </xf>
    <xf numFmtId="0" fontId="55" fillId="0" borderId="81" xfId="0" applyFont="1" applyBorder="1" applyAlignment="1">
      <alignment horizontal="left" vertical="center" wrapText="1"/>
    </xf>
    <xf numFmtId="44" fontId="39" fillId="0" borderId="82" xfId="8" applyFont="1" applyBorder="1" applyAlignment="1">
      <alignment horizontal="right" vertical="center" wrapText="1"/>
    </xf>
    <xf numFmtId="0" fontId="55" fillId="0" borderId="47" xfId="0" applyFont="1" applyBorder="1" applyAlignment="1">
      <alignment horizontal="center" vertical="center"/>
    </xf>
    <xf numFmtId="0" fontId="55" fillId="0" borderId="80" xfId="0" applyFont="1" applyBorder="1" applyAlignment="1">
      <alignment horizontal="center" vertical="center"/>
    </xf>
    <xf numFmtId="0" fontId="36" fillId="11" borderId="38" xfId="0" applyFont="1" applyFill="1" applyBorder="1" applyAlignment="1">
      <alignment vertical="center" wrapText="1"/>
    </xf>
    <xf numFmtId="0" fontId="36" fillId="11" borderId="11" xfId="0" applyFont="1" applyFill="1" applyBorder="1" applyAlignment="1">
      <alignment vertical="center" wrapText="1"/>
    </xf>
    <xf numFmtId="0" fontId="36" fillId="11" borderId="38" xfId="0" applyFont="1" applyFill="1" applyBorder="1" applyAlignment="1">
      <alignment horizontal="right" vertical="center"/>
    </xf>
    <xf numFmtId="0" fontId="59" fillId="12" borderId="11" xfId="0" applyFont="1" applyFill="1" applyBorder="1" applyAlignment="1">
      <alignment horizontal="center" vertical="center" wrapText="1"/>
    </xf>
    <xf numFmtId="0" fontId="59" fillId="11" borderId="11" xfId="0" applyFont="1" applyFill="1" applyBorder="1" applyAlignment="1">
      <alignment horizontal="center" vertical="center" wrapText="1"/>
    </xf>
    <xf numFmtId="0" fontId="36" fillId="12" borderId="45" xfId="0" applyFont="1" applyFill="1" applyBorder="1" applyAlignment="1">
      <alignment horizontal="right" vertical="center"/>
    </xf>
    <xf numFmtId="0" fontId="0" fillId="12" borderId="46" xfId="0" applyFill="1" applyBorder="1" applyAlignment="1">
      <alignment horizontal="center" vertical="center" wrapText="1"/>
    </xf>
    <xf numFmtId="0" fontId="4" fillId="12" borderId="46" xfId="0" applyFont="1" applyFill="1" applyBorder="1" applyAlignment="1">
      <alignment horizontal="center" vertical="center" wrapText="1"/>
    </xf>
    <xf numFmtId="10" fontId="6" fillId="12" borderId="46" xfId="1" applyNumberFormat="1" applyFont="1" applyFill="1" applyBorder="1" applyAlignment="1">
      <alignment horizontal="center" wrapText="1"/>
    </xf>
    <xf numFmtId="0" fontId="35" fillId="12" borderId="68" xfId="8" applyNumberFormat="1" applyFont="1" applyFill="1" applyBorder="1" applyAlignment="1">
      <alignment horizontal="center" vertical="center" shrinkToFit="1"/>
    </xf>
    <xf numFmtId="44" fontId="60" fillId="17" borderId="55" xfId="0" applyNumberFormat="1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vertical="center"/>
    </xf>
    <xf numFmtId="0" fontId="17" fillId="0" borderId="26" xfId="0" applyFont="1" applyBorder="1" applyAlignment="1">
      <alignment vertical="center"/>
    </xf>
    <xf numFmtId="10" fontId="17" fillId="0" borderId="21" xfId="1" applyNumberFormat="1" applyFont="1" applyBorder="1" applyAlignment="1">
      <alignment horizontal="center" vertical="center" wrapText="1"/>
    </xf>
    <xf numFmtId="0" fontId="21" fillId="0" borderId="21" xfId="0" applyFont="1" applyBorder="1" applyAlignment="1">
      <alignment vertical="center"/>
    </xf>
    <xf numFmtId="0" fontId="21" fillId="0" borderId="21" xfId="0" applyFont="1" applyBorder="1" applyAlignment="1">
      <alignment vertical="center" wrapText="1"/>
    </xf>
    <xf numFmtId="0" fontId="11" fillId="0" borderId="21" xfId="0" applyFont="1" applyBorder="1"/>
    <xf numFmtId="0" fontId="11" fillId="0" borderId="21" xfId="0" quotePrefix="1" applyFont="1" applyBorder="1"/>
    <xf numFmtId="174" fontId="11" fillId="0" borderId="21" xfId="0" applyNumberFormat="1" applyFont="1" applyBorder="1" applyAlignment="1">
      <alignment horizontal="center" vertical="center"/>
    </xf>
    <xf numFmtId="174" fontId="11" fillId="0" borderId="21" xfId="0" applyNumberFormat="1" applyFont="1" applyBorder="1" applyAlignment="1">
      <alignment horizontal="center"/>
    </xf>
    <xf numFmtId="174" fontId="11" fillId="0" borderId="21" xfId="0" applyNumberFormat="1" applyFont="1" applyBorder="1" applyAlignment="1">
      <alignment horizontal="center" vertical="top"/>
    </xf>
    <xf numFmtId="0" fontId="17" fillId="0" borderId="22" xfId="0" applyFont="1" applyBorder="1" applyAlignment="1">
      <alignment vertical="top"/>
    </xf>
    <xf numFmtId="0" fontId="17" fillId="0" borderId="21" xfId="0" applyFont="1" applyBorder="1" applyAlignment="1">
      <alignment vertical="top"/>
    </xf>
    <xf numFmtId="10" fontId="17" fillId="0" borderId="23" xfId="1" applyNumberFormat="1" applyFont="1" applyBorder="1" applyAlignment="1">
      <alignment horizontal="center" vertical="center" wrapText="1"/>
    </xf>
    <xf numFmtId="4" fontId="17" fillId="0" borderId="16" xfId="0" applyNumberFormat="1" applyFont="1" applyBorder="1" applyAlignment="1">
      <alignment horizontal="right" vertical="center" wrapText="1"/>
    </xf>
    <xf numFmtId="10" fontId="17" fillId="0" borderId="16" xfId="1" applyNumberFormat="1" applyFont="1" applyBorder="1" applyAlignment="1">
      <alignment horizontal="center" vertical="center" wrapText="1"/>
    </xf>
    <xf numFmtId="0" fontId="45" fillId="16" borderId="83" xfId="0" applyFont="1" applyFill="1" applyBorder="1" applyAlignment="1">
      <alignment horizontal="center" vertical="center" wrapText="1"/>
    </xf>
    <xf numFmtId="0" fontId="17" fillId="0" borderId="0" xfId="5" applyFont="1" applyAlignment="1">
      <alignment horizontal="left" vertical="center" wrapText="1"/>
    </xf>
    <xf numFmtId="175" fontId="17" fillId="0" borderId="0" xfId="0" applyNumberFormat="1" applyFont="1" applyAlignment="1">
      <alignment horizontal="center" vertical="center"/>
    </xf>
    <xf numFmtId="17" fontId="11" fillId="0" borderId="0" xfId="0" applyNumberFormat="1" applyFont="1"/>
    <xf numFmtId="0" fontId="63" fillId="0" borderId="21" xfId="0" applyFont="1" applyBorder="1" applyAlignment="1">
      <alignment vertical="center"/>
    </xf>
    <xf numFmtId="0" fontId="6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64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" fillId="2" borderId="23" xfId="3" applyFont="1" applyFill="1" applyBorder="1" applyAlignment="1">
      <alignment horizontal="left" vertical="center" wrapText="1"/>
    </xf>
    <xf numFmtId="0" fontId="5" fillId="2" borderId="16" xfId="3" applyFont="1" applyFill="1" applyBorder="1" applyAlignment="1">
      <alignment horizontal="left" vertical="center" wrapText="1"/>
    </xf>
    <xf numFmtId="0" fontId="5" fillId="2" borderId="24" xfId="3" applyFont="1" applyFill="1" applyBorder="1" applyAlignment="1">
      <alignment horizontal="left" vertical="center" wrapText="1"/>
    </xf>
    <xf numFmtId="0" fontId="15" fillId="15" borderId="25" xfId="3" applyFont="1" applyFill="1" applyBorder="1" applyAlignment="1">
      <alignment horizontal="center" vertical="center" wrapText="1"/>
    </xf>
    <xf numFmtId="0" fontId="15" fillId="15" borderId="18" xfId="3" applyFont="1" applyFill="1" applyBorder="1" applyAlignment="1">
      <alignment horizontal="center" vertical="center" wrapText="1"/>
    </xf>
    <xf numFmtId="0" fontId="15" fillId="15" borderId="26" xfId="3" applyFont="1" applyFill="1" applyBorder="1" applyAlignment="1">
      <alignment horizontal="center" vertical="center" wrapText="1"/>
    </xf>
    <xf numFmtId="0" fontId="7" fillId="15" borderId="21" xfId="3" applyFont="1" applyFill="1" applyBorder="1" applyAlignment="1">
      <alignment horizontal="center" vertical="center"/>
    </xf>
    <xf numFmtId="0" fontId="7" fillId="15" borderId="3" xfId="3" applyFont="1" applyFill="1" applyBorder="1" applyAlignment="1">
      <alignment horizontal="center" vertical="center"/>
    </xf>
    <xf numFmtId="0" fontId="30" fillId="0" borderId="23" xfId="7" applyBorder="1" applyAlignment="1">
      <alignment horizontal="center"/>
    </xf>
    <xf numFmtId="0" fontId="30" fillId="0" borderId="16" xfId="7" applyBorder="1" applyAlignment="1">
      <alignment horizontal="center"/>
    </xf>
    <xf numFmtId="0" fontId="30" fillId="0" borderId="24" xfId="7" applyBorder="1" applyAlignment="1">
      <alignment horizontal="center"/>
    </xf>
    <xf numFmtId="0" fontId="4" fillId="2" borderId="45" xfId="3" applyFont="1" applyFill="1" applyBorder="1" applyAlignment="1">
      <alignment horizontal="center" vertical="center" wrapText="1"/>
    </xf>
    <xf numFmtId="0" fontId="4" fillId="2" borderId="46" xfId="3" applyFont="1" applyFill="1" applyBorder="1" applyAlignment="1">
      <alignment horizontal="center" vertical="center" wrapText="1"/>
    </xf>
    <xf numFmtId="0" fontId="45" fillId="16" borderId="26" xfId="0" applyFont="1" applyFill="1" applyBorder="1" applyAlignment="1">
      <alignment horizontal="center" vertical="center" wrapText="1"/>
    </xf>
    <xf numFmtId="0" fontId="45" fillId="16" borderId="24" xfId="0" applyFont="1" applyFill="1" applyBorder="1" applyAlignment="1">
      <alignment horizontal="center" vertical="center" wrapText="1"/>
    </xf>
    <xf numFmtId="0" fontId="18" fillId="9" borderId="6" xfId="0" applyFont="1" applyFill="1" applyBorder="1" applyAlignment="1">
      <alignment horizontal="center" vertical="center"/>
    </xf>
    <xf numFmtId="0" fontId="18" fillId="9" borderId="8" xfId="0" applyFont="1" applyFill="1" applyBorder="1" applyAlignment="1">
      <alignment horizontal="center" vertical="center"/>
    </xf>
    <xf numFmtId="0" fontId="30" fillId="0" borderId="62" xfId="7" applyBorder="1" applyAlignment="1">
      <alignment horizontal="left" vertical="center" wrapText="1"/>
    </xf>
    <xf numFmtId="0" fontId="17" fillId="0" borderId="70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21" fillId="10" borderId="25" xfId="0" applyFont="1" applyFill="1" applyBorder="1" applyAlignment="1">
      <alignment horizontal="center" vertical="center"/>
    </xf>
    <xf numFmtId="0" fontId="21" fillId="10" borderId="18" xfId="0" applyFont="1" applyFill="1" applyBorder="1" applyAlignment="1">
      <alignment horizontal="center" vertical="center"/>
    </xf>
    <xf numFmtId="0" fontId="38" fillId="0" borderId="47" xfId="0" applyFont="1" applyBorder="1" applyAlignment="1">
      <alignment horizontal="center" vertical="center" wrapText="1"/>
    </xf>
    <xf numFmtId="0" fontId="38" fillId="0" borderId="60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left" vertical="center" wrapText="1"/>
    </xf>
    <xf numFmtId="0" fontId="38" fillId="0" borderId="8" xfId="0" applyFont="1" applyBorder="1" applyAlignment="1">
      <alignment horizontal="left" vertical="center" wrapText="1"/>
    </xf>
    <xf numFmtId="0" fontId="17" fillId="2" borderId="19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20" xfId="0" applyFont="1" applyFill="1" applyBorder="1" applyAlignment="1">
      <alignment horizontal="left" vertical="center" wrapText="1"/>
    </xf>
    <xf numFmtId="0" fontId="17" fillId="2" borderId="32" xfId="0" applyFont="1" applyFill="1" applyBorder="1" applyAlignment="1">
      <alignment horizontal="left" vertical="center" wrapText="1"/>
    </xf>
    <xf numFmtId="0" fontId="17" fillId="2" borderId="33" xfId="0" applyFont="1" applyFill="1" applyBorder="1" applyAlignment="1">
      <alignment horizontal="left" vertical="center" wrapText="1"/>
    </xf>
    <xf numFmtId="0" fontId="17" fillId="2" borderId="34" xfId="0" applyFont="1" applyFill="1" applyBorder="1" applyAlignment="1">
      <alignment horizontal="left" vertical="center" wrapText="1"/>
    </xf>
    <xf numFmtId="0" fontId="30" fillId="0" borderId="0" xfId="9" applyBorder="1" applyAlignment="1">
      <alignment horizontal="left" vertical="top" wrapText="1"/>
    </xf>
    <xf numFmtId="0" fontId="56" fillId="10" borderId="25" xfId="0" applyFont="1" applyFill="1" applyBorder="1" applyAlignment="1">
      <alignment horizontal="center" vertical="center"/>
    </xf>
    <xf numFmtId="0" fontId="56" fillId="10" borderId="18" xfId="0" applyFont="1" applyFill="1" applyBorder="1" applyAlignment="1">
      <alignment horizontal="center" vertical="center"/>
    </xf>
    <xf numFmtId="0" fontId="57" fillId="10" borderId="25" xfId="0" applyFont="1" applyFill="1" applyBorder="1" applyAlignment="1">
      <alignment horizontal="center" vertical="center"/>
    </xf>
    <xf numFmtId="0" fontId="57" fillId="10" borderId="18" xfId="0" applyFont="1" applyFill="1" applyBorder="1" applyAlignment="1">
      <alignment horizontal="center" vertical="center"/>
    </xf>
    <xf numFmtId="0" fontId="30" fillId="0" borderId="21" xfId="7" applyBorder="1" applyAlignment="1">
      <alignment horizontal="left" vertical="center" wrapText="1"/>
    </xf>
    <xf numFmtId="0" fontId="30" fillId="0" borderId="0" xfId="7" applyBorder="1" applyAlignment="1">
      <alignment horizontal="left" vertical="center" wrapText="1"/>
    </xf>
    <xf numFmtId="0" fontId="17" fillId="0" borderId="62" xfId="0" applyFont="1" applyBorder="1" applyAlignment="1">
      <alignment horizontal="left" vertical="center" wrapText="1"/>
    </xf>
    <xf numFmtId="0" fontId="17" fillId="0" borderId="84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61" fillId="10" borderId="0" xfId="0" applyFont="1" applyFill="1" applyAlignment="1">
      <alignment horizontal="center" vertical="center"/>
    </xf>
    <xf numFmtId="0" fontId="17" fillId="0" borderId="45" xfId="5" applyFont="1" applyBorder="1" applyAlignment="1">
      <alignment horizontal="left" vertical="top" wrapText="1"/>
    </xf>
    <xf numFmtId="0" fontId="17" fillId="0" borderId="46" xfId="5" applyFont="1" applyBorder="1" applyAlignment="1">
      <alignment horizontal="left" vertical="top" wrapText="1"/>
    </xf>
    <xf numFmtId="0" fontId="17" fillId="0" borderId="68" xfId="5" applyFont="1" applyBorder="1" applyAlignment="1">
      <alignment horizontal="left" vertical="top" wrapText="1"/>
    </xf>
    <xf numFmtId="0" fontId="38" fillId="0" borderId="65" xfId="0" applyFont="1" applyBorder="1" applyAlignment="1">
      <alignment horizontal="center" vertical="center" wrapText="1"/>
    </xf>
    <xf numFmtId="0" fontId="38" fillId="0" borderId="57" xfId="0" applyFont="1" applyBorder="1" applyAlignment="1">
      <alignment horizontal="left" vertical="center" wrapText="1"/>
    </xf>
    <xf numFmtId="0" fontId="38" fillId="0" borderId="66" xfId="0" applyFont="1" applyBorder="1" applyAlignment="1">
      <alignment horizontal="left" vertical="center" wrapText="1"/>
    </xf>
    <xf numFmtId="0" fontId="38" fillId="0" borderId="64" xfId="0" applyFont="1" applyBorder="1" applyAlignment="1">
      <alignment horizontal="center" vertical="center" wrapText="1"/>
    </xf>
    <xf numFmtId="0" fontId="53" fillId="0" borderId="25" xfId="7" applyFont="1" applyFill="1" applyBorder="1" applyAlignment="1">
      <alignment horizontal="left" vertical="center" wrapText="1"/>
    </xf>
    <xf numFmtId="0" fontId="53" fillId="0" borderId="18" xfId="7" applyFont="1" applyFill="1" applyBorder="1" applyAlignment="1">
      <alignment horizontal="left" vertical="center" wrapText="1"/>
    </xf>
    <xf numFmtId="0" fontId="53" fillId="0" borderId="26" xfId="7" applyFont="1" applyFill="1" applyBorder="1" applyAlignment="1">
      <alignment horizontal="left" vertical="center" wrapText="1"/>
    </xf>
    <xf numFmtId="0" fontId="53" fillId="0" borderId="23" xfId="7" applyFont="1" applyFill="1" applyBorder="1" applyAlignment="1">
      <alignment horizontal="left" vertical="center" wrapText="1"/>
    </xf>
    <xf numFmtId="0" fontId="53" fillId="0" borderId="16" xfId="7" applyFont="1" applyFill="1" applyBorder="1" applyAlignment="1">
      <alignment horizontal="left" vertical="center" wrapText="1"/>
    </xf>
    <xf numFmtId="0" fontId="53" fillId="0" borderId="24" xfId="7" applyFont="1" applyFill="1" applyBorder="1" applyAlignment="1">
      <alignment horizontal="left" vertical="center" wrapText="1"/>
    </xf>
    <xf numFmtId="0" fontId="30" fillId="0" borderId="0" xfId="7" applyFill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8" fillId="3" borderId="1" xfId="0" applyFont="1" applyFill="1" applyBorder="1" applyAlignment="1">
      <alignment horizontal="center" vertical="center"/>
    </xf>
    <xf numFmtId="0" fontId="45" fillId="16" borderId="77" xfId="0" applyFont="1" applyFill="1" applyBorder="1" applyAlignment="1">
      <alignment horizontal="center" vertical="center" wrapText="1"/>
    </xf>
    <xf numFmtId="0" fontId="45" fillId="16" borderId="78" xfId="0" applyFont="1" applyFill="1" applyBorder="1" applyAlignment="1">
      <alignment horizontal="center" vertical="center" wrapText="1"/>
    </xf>
    <xf numFmtId="0" fontId="45" fillId="16" borderId="52" xfId="0" applyFont="1" applyFill="1" applyBorder="1" applyAlignment="1">
      <alignment horizontal="center" vertical="center" wrapText="1"/>
    </xf>
    <xf numFmtId="0" fontId="45" fillId="16" borderId="53" xfId="0" applyFont="1" applyFill="1" applyBorder="1" applyAlignment="1">
      <alignment horizontal="center" vertical="center" wrapText="1"/>
    </xf>
    <xf numFmtId="0" fontId="45" fillId="16" borderId="74" xfId="0" applyFont="1" applyFill="1" applyBorder="1" applyAlignment="1">
      <alignment horizontal="center" vertical="center" wrapText="1"/>
    </xf>
    <xf numFmtId="0" fontId="45" fillId="16" borderId="49" xfId="0" applyFont="1" applyFill="1" applyBorder="1" applyAlignment="1">
      <alignment horizontal="center" vertical="center" wrapText="1"/>
    </xf>
    <xf numFmtId="0" fontId="45" fillId="16" borderId="18" xfId="0" applyFont="1" applyFill="1" applyBorder="1" applyAlignment="1">
      <alignment horizontal="center" vertical="center" wrapText="1"/>
    </xf>
    <xf numFmtId="0" fontId="45" fillId="16" borderId="16" xfId="0" applyFont="1" applyFill="1" applyBorder="1" applyAlignment="1">
      <alignment horizontal="center" vertical="center" wrapText="1"/>
    </xf>
    <xf numFmtId="0" fontId="45" fillId="16" borderId="25" xfId="0" applyFont="1" applyFill="1" applyBorder="1" applyAlignment="1">
      <alignment horizontal="center" vertical="center" wrapText="1"/>
    </xf>
    <xf numFmtId="0" fontId="45" fillId="16" borderId="23" xfId="0" applyFont="1" applyFill="1" applyBorder="1" applyAlignment="1">
      <alignment horizontal="center" vertical="center" wrapText="1"/>
    </xf>
    <xf numFmtId="0" fontId="31" fillId="5" borderId="16" xfId="0" applyFont="1" applyFill="1" applyBorder="1" applyAlignment="1">
      <alignment horizontal="center" vertical="center"/>
    </xf>
    <xf numFmtId="0" fontId="31" fillId="5" borderId="24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6" fillId="5" borderId="48" xfId="0" applyFont="1" applyFill="1" applyBorder="1" applyAlignment="1">
      <alignment horizontal="center" vertical="center"/>
    </xf>
    <xf numFmtId="0" fontId="36" fillId="11" borderId="38" xfId="0" applyFont="1" applyFill="1" applyBorder="1" applyAlignment="1">
      <alignment horizontal="center" vertical="center" wrapText="1"/>
    </xf>
    <xf numFmtId="0" fontId="36" fillId="11" borderId="11" xfId="0" applyFont="1" applyFill="1" applyBorder="1" applyAlignment="1">
      <alignment horizontal="center" vertical="center" wrapText="1"/>
    </xf>
    <xf numFmtId="0" fontId="36" fillId="11" borderId="40" xfId="0" applyFont="1" applyFill="1" applyBorder="1" applyAlignment="1">
      <alignment horizontal="center" vertical="center" wrapText="1"/>
    </xf>
    <xf numFmtId="0" fontId="36" fillId="11" borderId="41" xfId="0" applyFont="1" applyFill="1" applyBorder="1" applyAlignment="1">
      <alignment horizontal="center" vertical="center" wrapText="1"/>
    </xf>
    <xf numFmtId="0" fontId="26" fillId="5" borderId="35" xfId="0" applyFont="1" applyFill="1" applyBorder="1" applyAlignment="1">
      <alignment horizontal="left" vertical="center" wrapText="1"/>
    </xf>
    <xf numFmtId="0" fontId="6" fillId="5" borderId="4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3" fillId="0" borderId="4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50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4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47" fillId="11" borderId="40" xfId="0" applyFont="1" applyFill="1" applyBorder="1" applyAlignment="1">
      <alignment horizontal="center" vertical="center" wrapText="1"/>
    </xf>
    <xf numFmtId="0" fontId="47" fillId="11" borderId="41" xfId="0" applyFont="1" applyFill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/>
    </xf>
  </cellXfs>
  <cellStyles count="10">
    <cellStyle name="Hiperlink" xfId="7" builtinId="8"/>
    <cellStyle name="Hyperlink" xfId="9" xr:uid="{00000000-000B-0000-0000-000008000000}"/>
    <cellStyle name="Moeda" xfId="8" builtinId="4"/>
    <cellStyle name="Normal" xfId="0" builtinId="0"/>
    <cellStyle name="Normal 2" xfId="3" xr:uid="{1304321C-D9D9-4EBB-934B-2C659B60AB58}"/>
    <cellStyle name="Normal 2 2 2 2" xfId="2" xr:uid="{6627A40D-A3B7-402E-9933-459BC9204A91}"/>
    <cellStyle name="Normal 4 2" xfId="5" xr:uid="{07AF2FC0-AC76-40DE-8906-6A4118A5DAC4}"/>
    <cellStyle name="Porcentagem" xfId="1" builtinId="5"/>
    <cellStyle name="Porcentagem 2" xfId="4" xr:uid="{7DD2B85F-EAB1-468B-B9F3-12A03A18593B}"/>
    <cellStyle name="Vírgula 4" xfId="6" xr:uid="{33156805-3D5C-4569-B164-E61A36C5054B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96B8C1"/>
      <color rgb="FFFF9F9F"/>
      <color rgb="FFB68BBB"/>
      <color rgb="FFFF7979"/>
      <color rgb="FF905896"/>
      <color rgb="FFA46EAA"/>
      <color rgb="FFE088C9"/>
      <color rgb="FFD6F6B0"/>
      <color rgb="FFF4C08C"/>
      <color rgb="FF67C5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47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179916</xdr:colOff>
      <xdr:row>13</xdr:row>
      <xdr:rowOff>176741</xdr:rowOff>
    </xdr:from>
    <xdr:to>
      <xdr:col>10</xdr:col>
      <xdr:colOff>814915</xdr:colOff>
      <xdr:row>37</xdr:row>
      <xdr:rowOff>130023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EB89E61-137E-1551-787A-053D582AE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49" y="2833158"/>
          <a:ext cx="6487583" cy="508619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6</xdr:col>
      <xdr:colOff>105834</xdr:colOff>
      <xdr:row>2</xdr:row>
      <xdr:rowOff>85898</xdr:rowOff>
    </xdr:from>
    <xdr:to>
      <xdr:col>10</xdr:col>
      <xdr:colOff>790980</xdr:colOff>
      <xdr:row>10</xdr:row>
      <xdr:rowOff>190500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9429FCC-C3B6-11BD-53EF-272BEF83C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31667" y="530398"/>
          <a:ext cx="6537730" cy="171326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78</xdr:row>
      <xdr:rowOff>38101</xdr:rowOff>
    </xdr:from>
    <xdr:to>
      <xdr:col>22</xdr:col>
      <xdr:colOff>967331</xdr:colOff>
      <xdr:row>91</xdr:row>
      <xdr:rowOff>400051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151363D6-CE48-4131-7952-0E4DE47DA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00" y="20116801"/>
          <a:ext cx="9273131" cy="3581400"/>
        </a:xfrm>
        <a:prstGeom prst="rect">
          <a:avLst/>
        </a:prstGeom>
      </xdr:spPr>
    </xdr:pic>
    <xdr:clientData/>
  </xdr:twoCellAnchor>
  <xdr:twoCellAnchor editAs="oneCell">
    <xdr:from>
      <xdr:col>4</xdr:col>
      <xdr:colOff>146114</xdr:colOff>
      <xdr:row>7</xdr:row>
      <xdr:rowOff>126999</xdr:rowOff>
    </xdr:from>
    <xdr:to>
      <xdr:col>6</xdr:col>
      <xdr:colOff>2195840</xdr:colOff>
      <xdr:row>16</xdr:row>
      <xdr:rowOff>95249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65BD4CD2-6AFD-075C-F372-20EE1DF54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5507" y="1759856"/>
          <a:ext cx="5437904" cy="1560286"/>
        </a:xfrm>
        <a:prstGeom prst="rect">
          <a:avLst/>
        </a:prstGeom>
      </xdr:spPr>
    </xdr:pic>
    <xdr:clientData/>
  </xdr:twoCellAnchor>
  <xdr:twoCellAnchor>
    <xdr:from>
      <xdr:col>10</xdr:col>
      <xdr:colOff>117942</xdr:colOff>
      <xdr:row>6</xdr:row>
      <xdr:rowOff>63499</xdr:rowOff>
    </xdr:from>
    <xdr:to>
      <xdr:col>14</xdr:col>
      <xdr:colOff>883658</xdr:colOff>
      <xdr:row>22</xdr:row>
      <xdr:rowOff>121013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5681B311-8DCC-4C14-94F0-3031A17A9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91192" y="1523999"/>
          <a:ext cx="5274216" cy="2925597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1156608</xdr:colOff>
      <xdr:row>2</xdr:row>
      <xdr:rowOff>127000</xdr:rowOff>
    </xdr:from>
    <xdr:to>
      <xdr:col>7</xdr:col>
      <xdr:colOff>539750</xdr:colOff>
      <xdr:row>11</xdr:row>
      <xdr:rowOff>136071</xdr:rowOff>
    </xdr:to>
    <xdr:cxnSp macro="">
      <xdr:nvCxnSpPr>
        <xdr:cNvPr id="28" name="Conector de Seta Reta 27">
          <a:extLst>
            <a:ext uri="{FF2B5EF4-FFF2-40B4-BE49-F238E27FC236}">
              <a16:creationId xmlns:a16="http://schemas.microsoft.com/office/drawing/2014/main" id="{83C7BCB7-5331-5253-4503-2C617FA7A53A}"/>
            </a:ext>
          </a:extLst>
        </xdr:cNvPr>
        <xdr:cNvCxnSpPr/>
      </xdr:nvCxnSpPr>
      <xdr:spPr>
        <a:xfrm flipH="1">
          <a:off x="9484179" y="834571"/>
          <a:ext cx="2295071" cy="19548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2204358</xdr:colOff>
      <xdr:row>2</xdr:row>
      <xdr:rowOff>116417</xdr:rowOff>
    </xdr:from>
    <xdr:to>
      <xdr:col>8</xdr:col>
      <xdr:colOff>264583</xdr:colOff>
      <xdr:row>11</xdr:row>
      <xdr:rowOff>27214</xdr:rowOff>
    </xdr:to>
    <xdr:cxnSp macro="">
      <xdr:nvCxnSpPr>
        <xdr:cNvPr id="3" name="Conector de Seta Reta 29">
          <a:extLst>
            <a:ext uri="{FF2B5EF4-FFF2-40B4-BE49-F238E27FC236}">
              <a16:creationId xmlns:a16="http://schemas.microsoft.com/office/drawing/2014/main" id="{49198ED5-D833-D93A-5142-A07BA810C140}"/>
            </a:ext>
          </a:extLst>
        </xdr:cNvPr>
        <xdr:cNvCxnSpPr/>
      </xdr:nvCxnSpPr>
      <xdr:spPr>
        <a:xfrm flipH="1">
          <a:off x="10531929" y="823988"/>
          <a:ext cx="2482547" cy="1856619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1060979</xdr:colOff>
      <xdr:row>2</xdr:row>
      <xdr:rowOff>169333</xdr:rowOff>
    </xdr:from>
    <xdr:to>
      <xdr:col>9</xdr:col>
      <xdr:colOff>370417</xdr:colOff>
      <xdr:row>9</xdr:row>
      <xdr:rowOff>27781</xdr:rowOff>
    </xdr:to>
    <xdr:cxnSp macro="">
      <xdr:nvCxnSpPr>
        <xdr:cNvPr id="33" name="Conector de Seta Reta 32">
          <a:extLst>
            <a:ext uri="{FF2B5EF4-FFF2-40B4-BE49-F238E27FC236}">
              <a16:creationId xmlns:a16="http://schemas.microsoft.com/office/drawing/2014/main" id="{A0DE162A-BD4C-45E1-6963-6F739600A88F}"/>
            </a:ext>
          </a:extLst>
        </xdr:cNvPr>
        <xdr:cNvCxnSpPr/>
      </xdr:nvCxnSpPr>
      <xdr:spPr>
        <a:xfrm flipH="1">
          <a:off x="12001122" y="876904"/>
          <a:ext cx="1826759" cy="1436877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814916</xdr:colOff>
      <xdr:row>2</xdr:row>
      <xdr:rowOff>125186</xdr:rowOff>
    </xdr:from>
    <xdr:to>
      <xdr:col>10</xdr:col>
      <xdr:colOff>428159</xdr:colOff>
      <xdr:row>9</xdr:row>
      <xdr:rowOff>31750</xdr:rowOff>
    </xdr:to>
    <xdr:cxnSp macro="">
      <xdr:nvCxnSpPr>
        <xdr:cNvPr id="35" name="Conector de Seta Reta 34">
          <a:extLst>
            <a:ext uri="{FF2B5EF4-FFF2-40B4-BE49-F238E27FC236}">
              <a16:creationId xmlns:a16="http://schemas.microsoft.com/office/drawing/2014/main" id="{B066EA5A-9E4A-FEBC-3529-899B9F2D611D}"/>
            </a:ext>
          </a:extLst>
        </xdr:cNvPr>
        <xdr:cNvCxnSpPr/>
      </xdr:nvCxnSpPr>
      <xdr:spPr>
        <a:xfrm flipH="1">
          <a:off x="13282083" y="823686"/>
          <a:ext cx="1719326" cy="1208314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1481667</xdr:colOff>
      <xdr:row>11</xdr:row>
      <xdr:rowOff>105834</xdr:rowOff>
    </xdr:from>
    <xdr:to>
      <xdr:col>11</xdr:col>
      <xdr:colOff>243417</xdr:colOff>
      <xdr:row>18</xdr:row>
      <xdr:rowOff>52916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43BEDC0D-0D54-6B03-779D-C18EE8C5522E}"/>
            </a:ext>
          </a:extLst>
        </xdr:cNvPr>
        <xdr:cNvCxnSpPr/>
      </xdr:nvCxnSpPr>
      <xdr:spPr>
        <a:xfrm>
          <a:off x="12435417" y="2465917"/>
          <a:ext cx="3757083" cy="11959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370417</xdr:colOff>
      <xdr:row>2</xdr:row>
      <xdr:rowOff>27215</xdr:rowOff>
    </xdr:from>
    <xdr:to>
      <xdr:col>14</xdr:col>
      <xdr:colOff>231322</xdr:colOff>
      <xdr:row>21</xdr:row>
      <xdr:rowOff>169333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58CB90A5-3B75-DF30-BC4C-F4536749FCF6}"/>
            </a:ext>
          </a:extLst>
        </xdr:cNvPr>
        <xdr:cNvCxnSpPr/>
      </xdr:nvCxnSpPr>
      <xdr:spPr>
        <a:xfrm flipV="1">
          <a:off x="19869453" y="734786"/>
          <a:ext cx="949476" cy="3856868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1257554</xdr:colOff>
      <xdr:row>24</xdr:row>
      <xdr:rowOff>57274</xdr:rowOff>
    </xdr:from>
    <xdr:to>
      <xdr:col>11</xdr:col>
      <xdr:colOff>1096891</xdr:colOff>
      <xdr:row>37</xdr:row>
      <xdr:rowOff>27214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47C42E7-4E5A-9591-AA05-BFD6B572B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197697" y="5023881"/>
          <a:ext cx="5962551" cy="244644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46067</xdr:colOff>
      <xdr:row>24</xdr:row>
      <xdr:rowOff>36192</xdr:rowOff>
    </xdr:from>
    <xdr:to>
      <xdr:col>7</xdr:col>
      <xdr:colOff>476250</xdr:colOff>
      <xdr:row>37</xdr:row>
      <xdr:rowOff>60651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56386ED-46D0-5279-DE6F-DD3770279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985460" y="5002799"/>
          <a:ext cx="6730290" cy="250095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18</xdr:col>
      <xdr:colOff>95251</xdr:colOff>
      <xdr:row>0</xdr:row>
      <xdr:rowOff>285749</xdr:rowOff>
    </xdr:from>
    <xdr:to>
      <xdr:col>26</xdr:col>
      <xdr:colOff>1503257</xdr:colOff>
      <xdr:row>25</xdr:row>
      <xdr:rowOff>195996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61A1251-62E1-613D-B674-61D1E6ABE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4669751" y="285749"/>
          <a:ext cx="7363853" cy="5268060"/>
        </a:xfrm>
        <a:prstGeom prst="rect">
          <a:avLst/>
        </a:prstGeom>
      </xdr:spPr>
    </xdr:pic>
    <xdr:clientData/>
  </xdr:twoCellAnchor>
  <xdr:twoCellAnchor editAs="oneCell">
    <xdr:from>
      <xdr:col>18</xdr:col>
      <xdr:colOff>130970</xdr:colOff>
      <xdr:row>25</xdr:row>
      <xdr:rowOff>178592</xdr:rowOff>
    </xdr:from>
    <xdr:to>
      <xdr:col>27</xdr:col>
      <xdr:colOff>5455</xdr:colOff>
      <xdr:row>46</xdr:row>
      <xdr:rowOff>31695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F98BB5B5-6FD8-073F-E98E-DACAC58F8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4669751" y="5345905"/>
          <a:ext cx="7511495" cy="5115665"/>
        </a:xfrm>
        <a:prstGeom prst="rect">
          <a:avLst/>
        </a:prstGeom>
      </xdr:spPr>
    </xdr:pic>
    <xdr:clientData/>
  </xdr:twoCellAnchor>
  <xdr:twoCellAnchor editAs="oneCell">
    <xdr:from>
      <xdr:col>18</xdr:col>
      <xdr:colOff>95250</xdr:colOff>
      <xdr:row>45</xdr:row>
      <xdr:rowOff>119063</xdr:rowOff>
    </xdr:from>
    <xdr:to>
      <xdr:col>26</xdr:col>
      <xdr:colOff>1534214</xdr:colOff>
      <xdr:row>63</xdr:row>
      <xdr:rowOff>79659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1D49D357-9F81-7FA1-5447-A555785DE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4634031" y="10406063"/>
          <a:ext cx="7513874" cy="5277587"/>
        </a:xfrm>
        <a:prstGeom prst="rect">
          <a:avLst/>
        </a:prstGeom>
      </xdr:spPr>
    </xdr:pic>
    <xdr:clientData/>
  </xdr:twoCellAnchor>
  <xdr:twoCellAnchor>
    <xdr:from>
      <xdr:col>22</xdr:col>
      <xdr:colOff>775608</xdr:colOff>
      <xdr:row>68</xdr:row>
      <xdr:rowOff>394607</xdr:rowOff>
    </xdr:from>
    <xdr:to>
      <xdr:col>22</xdr:col>
      <xdr:colOff>857250</xdr:colOff>
      <xdr:row>91</xdr:row>
      <xdr:rowOff>326571</xdr:rowOff>
    </xdr:to>
    <xdr:cxnSp macro="">
      <xdr:nvCxnSpPr>
        <xdr:cNvPr id="10" name="Conector de Seta Reta 9">
          <a:extLst>
            <a:ext uri="{FF2B5EF4-FFF2-40B4-BE49-F238E27FC236}">
              <a16:creationId xmlns:a16="http://schemas.microsoft.com/office/drawing/2014/main" id="{8F756CD9-7247-4074-B91B-1A30F1B007B6}"/>
            </a:ext>
          </a:extLst>
        </xdr:cNvPr>
        <xdr:cNvCxnSpPr/>
      </xdr:nvCxnSpPr>
      <xdr:spPr>
        <a:xfrm flipV="1">
          <a:off x="30820179" y="16968107"/>
          <a:ext cx="81642" cy="60007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gov.br/dnit/pt-br/assuntos/planejamento-e-pesquisa/custos-e-pagamentos/custos-e-pagamentos-dnit/engenharia-consultiva-2/bdi/bdi-tabela-de-precos-de-consultoria/AnexoBDITabeladePreosdeConsultoria_2024SELIC1050.pdf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v.br/dnit/pt-br/assuntos/planejamento-e-pesquisa/custos-e-pagamentos/custos-e-pagamentos-dnit/engenharia-consultiva/tabela-de-precos-de-consultoria-resolucao-no-11-2020/tabela-de-consultoria/Resoluon11.2020ModeObra.pdf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www.gov.br/dnit/pt-br/assuntos/planejamento-e-pesquisa/custos-e-pagamentos/custos-e-pagamentos-dnit/engenharia-consultiva-2/tabela-de-precos-de-consultoria-1/relatorios/2024/janeiro/janeiro-2024" TargetMode="External"/><Relationship Id="rId1" Type="http://schemas.openxmlformats.org/officeDocument/2006/relationships/hyperlink" Target="https://www.gov.br/dnit/pt-br/assuntos/planejamento-e-pesquisa/custos-e-pagamentos/custos-e-pagamentos-dnit/engenharia-consultiva-2/tabela-de-precos-de-consultoria-1/relatorios/2024/abril/abril-2024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portal.valec.gov.br/a-valec/licitacoes-e-contratos/licitacoes/749-pregao-edital-n-009-2019" TargetMode="External"/><Relationship Id="rId4" Type="http://schemas.openxmlformats.org/officeDocument/2006/relationships/hyperlink" Target="https://www.dnv.com/software/services/plant/consequence-analysis-phast/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C53A4-FDCC-48AC-B0A5-1714BFAA087C}">
  <sheetPr codeName="Planilha1">
    <tabColor theme="1"/>
  </sheetPr>
  <dimension ref="A10:I41"/>
  <sheetViews>
    <sheetView showGridLines="0" view="pageBreakPreview" zoomScale="55" zoomScaleNormal="80" zoomScaleSheetLayoutView="55" workbookViewId="0">
      <selection activeCell="AA6" sqref="AA6"/>
    </sheetView>
  </sheetViews>
  <sheetFormatPr defaultRowHeight="15"/>
  <sheetData>
    <row r="10" spans="2:8" ht="14.45" customHeight="1">
      <c r="B10" s="503" t="s">
        <v>534</v>
      </c>
      <c r="C10" s="503"/>
      <c r="D10" s="503"/>
      <c r="E10" s="503"/>
      <c r="F10" s="503"/>
      <c r="G10" s="503"/>
      <c r="H10" s="503"/>
    </row>
    <row r="11" spans="2:8" ht="18.600000000000001" customHeight="1">
      <c r="B11" s="503"/>
      <c r="C11" s="503"/>
      <c r="D11" s="503"/>
      <c r="E11" s="503"/>
      <c r="F11" s="503"/>
      <c r="G11" s="503"/>
      <c r="H11" s="503"/>
    </row>
    <row r="12" spans="2:8" ht="18.600000000000001" customHeight="1">
      <c r="B12" s="503"/>
      <c r="C12" s="503"/>
      <c r="D12" s="503"/>
      <c r="E12" s="503"/>
      <c r="F12" s="503"/>
      <c r="G12" s="503"/>
      <c r="H12" s="503"/>
    </row>
    <row r="13" spans="2:8" ht="18.600000000000001" customHeight="1">
      <c r="B13" s="503"/>
      <c r="C13" s="503"/>
      <c r="D13" s="503"/>
      <c r="E13" s="503"/>
      <c r="F13" s="503"/>
      <c r="G13" s="503"/>
      <c r="H13" s="503"/>
    </row>
    <row r="14" spans="2:8" ht="18.600000000000001" customHeight="1">
      <c r="B14" s="503"/>
      <c r="C14" s="503"/>
      <c r="D14" s="503"/>
      <c r="E14" s="503"/>
      <c r="F14" s="503"/>
      <c r="G14" s="503"/>
      <c r="H14" s="503"/>
    </row>
    <row r="15" spans="2:8" ht="18.600000000000001" customHeight="1">
      <c r="B15" s="503"/>
      <c r="C15" s="503"/>
      <c r="D15" s="503"/>
      <c r="E15" s="503"/>
      <c r="F15" s="503"/>
      <c r="G15" s="503"/>
      <c r="H15" s="503"/>
    </row>
    <row r="16" spans="2:8" ht="18.600000000000001" customHeight="1">
      <c r="B16" s="503"/>
      <c r="C16" s="503"/>
      <c r="D16" s="503"/>
      <c r="E16" s="503"/>
      <c r="F16" s="503"/>
      <c r="G16" s="503"/>
      <c r="H16" s="503"/>
    </row>
    <row r="17" spans="2:8" ht="18.600000000000001" customHeight="1">
      <c r="B17" s="503"/>
      <c r="C17" s="503"/>
      <c r="D17" s="503"/>
      <c r="E17" s="503"/>
      <c r="F17" s="503"/>
      <c r="G17" s="503"/>
      <c r="H17" s="503"/>
    </row>
    <row r="18" spans="2:8" ht="18.600000000000001" customHeight="1">
      <c r="B18" s="503"/>
      <c r="C18" s="503"/>
      <c r="D18" s="503"/>
      <c r="E18" s="503"/>
      <c r="F18" s="503"/>
      <c r="G18" s="503"/>
      <c r="H18" s="503"/>
    </row>
    <row r="19" spans="2:8" ht="18.75" customHeight="1">
      <c r="B19" s="503"/>
      <c r="C19" s="503"/>
      <c r="D19" s="503"/>
      <c r="E19" s="503"/>
      <c r="F19" s="503"/>
      <c r="G19" s="503"/>
      <c r="H19" s="503"/>
    </row>
    <row r="20" spans="2:8" ht="14.45" customHeight="1">
      <c r="B20" s="74"/>
      <c r="C20" s="74"/>
      <c r="D20" s="74"/>
      <c r="E20" s="74"/>
      <c r="F20" s="74"/>
      <c r="G20" s="74"/>
      <c r="H20" s="1"/>
    </row>
    <row r="21" spans="2:8" ht="14.45" customHeight="1">
      <c r="B21" s="74"/>
      <c r="C21" s="74"/>
      <c r="D21" s="74"/>
      <c r="E21" s="74"/>
      <c r="F21" s="74"/>
      <c r="G21" s="74"/>
      <c r="H21" s="1"/>
    </row>
    <row r="22" spans="2:8" ht="14.45" customHeight="1">
      <c r="B22" s="74"/>
      <c r="C22" s="74"/>
      <c r="D22" s="74"/>
      <c r="E22" s="74"/>
      <c r="F22" s="74"/>
      <c r="G22" s="74"/>
      <c r="H22" s="1"/>
    </row>
    <row r="23" spans="2:8" ht="14.45" customHeight="1">
      <c r="B23" s="74"/>
      <c r="C23" s="74"/>
      <c r="D23" s="74"/>
      <c r="E23" s="74"/>
      <c r="F23" s="74"/>
      <c r="G23" s="74"/>
      <c r="H23" s="1"/>
    </row>
    <row r="24" spans="2:8" ht="14.45" customHeight="1">
      <c r="B24" s="74"/>
      <c r="C24" s="74"/>
      <c r="D24" s="74"/>
      <c r="E24" s="74"/>
      <c r="F24" s="74"/>
      <c r="G24" s="74"/>
      <c r="H24" s="1"/>
    </row>
    <row r="25" spans="2:8" ht="14.45" customHeight="1">
      <c r="B25" s="1"/>
      <c r="C25" s="1"/>
      <c r="D25" s="1"/>
      <c r="E25" s="1"/>
      <c r="F25" s="1"/>
      <c r="G25" s="1"/>
      <c r="H25" s="1"/>
    </row>
    <row r="26" spans="2:8" ht="14.45" customHeight="1">
      <c r="B26" s="1"/>
      <c r="C26" s="1"/>
      <c r="D26" s="1"/>
      <c r="E26" s="1"/>
      <c r="F26" s="1"/>
      <c r="G26" s="1"/>
      <c r="H26" s="1"/>
    </row>
    <row r="27" spans="2:8" ht="31.5" customHeight="1">
      <c r="B27" s="504" t="s">
        <v>48</v>
      </c>
      <c r="C27" s="504"/>
      <c r="D27" s="504"/>
      <c r="E27" s="504"/>
      <c r="F27" s="504"/>
      <c r="G27" s="504"/>
      <c r="H27" s="504"/>
    </row>
    <row r="28" spans="2:8" ht="14.45" customHeight="1">
      <c r="B28" s="505" t="s">
        <v>532</v>
      </c>
      <c r="C28" s="505"/>
      <c r="D28" s="505"/>
      <c r="E28" s="505"/>
      <c r="F28" s="505"/>
      <c r="G28" s="505"/>
      <c r="H28" s="505"/>
    </row>
    <row r="29" spans="2:8" ht="14.45" customHeight="1">
      <c r="B29" s="1"/>
      <c r="C29" s="1"/>
      <c r="D29" s="1"/>
      <c r="E29" s="1"/>
      <c r="F29" s="1"/>
      <c r="G29" s="1"/>
      <c r="H29" s="1"/>
    </row>
    <row r="30" spans="2:8" ht="14.45" customHeight="1">
      <c r="B30" s="1"/>
      <c r="C30" s="1"/>
      <c r="D30" s="1"/>
      <c r="E30" s="1"/>
      <c r="F30" s="1"/>
      <c r="G30" s="1"/>
      <c r="H30" s="1"/>
    </row>
    <row r="31" spans="2:8" ht="14.45" customHeight="1">
      <c r="B31" s="1"/>
      <c r="C31" s="1"/>
      <c r="D31" s="1"/>
      <c r="E31" s="1"/>
      <c r="F31" s="1"/>
      <c r="G31" s="1"/>
      <c r="H31" s="1"/>
    </row>
    <row r="32" spans="2:8" ht="14.45" customHeight="1">
      <c r="B32" s="1"/>
      <c r="C32" s="1"/>
      <c r="D32" s="1"/>
      <c r="E32" s="1"/>
      <c r="F32" s="1"/>
      <c r="G32" s="1"/>
      <c r="H32" s="1"/>
    </row>
    <row r="33" spans="1:9" ht="14.45" customHeight="1">
      <c r="B33" s="1"/>
      <c r="C33" s="1"/>
      <c r="D33" s="1"/>
      <c r="E33" s="1"/>
      <c r="F33" s="1"/>
      <c r="G33" s="1"/>
      <c r="H33" s="1"/>
    </row>
    <row r="34" spans="1:9">
      <c r="B34" s="1"/>
      <c r="C34" s="1"/>
      <c r="D34" s="1"/>
      <c r="E34" s="1"/>
      <c r="F34" s="1"/>
      <c r="G34" s="1"/>
      <c r="H34" s="1"/>
    </row>
    <row r="35" spans="1:9" ht="18.75">
      <c r="B35" s="505" t="s">
        <v>49</v>
      </c>
      <c r="C35" s="505"/>
      <c r="D35" s="505"/>
      <c r="E35" s="505"/>
      <c r="F35" s="505"/>
      <c r="G35" s="505"/>
      <c r="H35" s="505"/>
    </row>
    <row r="36" spans="1:9" ht="18.75">
      <c r="B36" s="505"/>
      <c r="C36" s="505"/>
      <c r="D36" s="505"/>
      <c r="E36" s="505"/>
      <c r="F36" s="505"/>
      <c r="G36" s="505"/>
      <c r="H36" s="505"/>
    </row>
    <row r="37" spans="1:9">
      <c r="A37" s="502" t="s">
        <v>529</v>
      </c>
      <c r="B37" s="502"/>
      <c r="C37" s="502"/>
      <c r="D37" s="502"/>
      <c r="E37" s="502"/>
      <c r="F37" s="502"/>
      <c r="G37" s="502"/>
      <c r="H37" s="502"/>
      <c r="I37" s="502"/>
    </row>
    <row r="38" spans="1:9" ht="18.75" customHeight="1">
      <c r="A38" s="502"/>
      <c r="B38" s="502"/>
      <c r="C38" s="502"/>
      <c r="D38" s="502"/>
      <c r="E38" s="502"/>
      <c r="F38" s="502"/>
      <c r="G38" s="502"/>
      <c r="H38" s="502"/>
      <c r="I38" s="502"/>
    </row>
    <row r="39" spans="1:9" ht="18.75" customHeight="1">
      <c r="A39" s="502"/>
      <c r="B39" s="502"/>
      <c r="C39" s="502"/>
      <c r="D39" s="502"/>
      <c r="E39" s="502"/>
      <c r="F39" s="502"/>
      <c r="G39" s="502"/>
      <c r="H39" s="502"/>
      <c r="I39" s="502"/>
    </row>
    <row r="40" spans="1:9" ht="18.75" customHeight="1">
      <c r="A40" s="502"/>
      <c r="B40" s="502"/>
      <c r="C40" s="502"/>
      <c r="D40" s="502"/>
      <c r="E40" s="502"/>
      <c r="F40" s="502"/>
      <c r="G40" s="502"/>
      <c r="H40" s="502"/>
      <c r="I40" s="502"/>
    </row>
    <row r="41" spans="1:9">
      <c r="H41" s="1"/>
    </row>
  </sheetData>
  <mergeCells count="6">
    <mergeCell ref="A37:I40"/>
    <mergeCell ref="B10:H19"/>
    <mergeCell ref="B27:H27"/>
    <mergeCell ref="B28:H28"/>
    <mergeCell ref="B36:H36"/>
    <mergeCell ref="B35:H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302FA-AB18-4902-AC75-97085B080EE2}">
  <sheetPr>
    <tabColor theme="9" tint="0.39997558519241921"/>
    <pageSetUpPr fitToPage="1"/>
  </sheetPr>
  <dimension ref="A1:J36"/>
  <sheetViews>
    <sheetView showGridLines="0" zoomScale="90" zoomScaleNormal="90" workbookViewId="0">
      <selection activeCell="H36" sqref="H36:I36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PRODUTOS!A9</f>
        <v>6</v>
      </c>
      <c r="B3" s="118" t="str">
        <f>PRODUTOS!B9</f>
        <v>ESTUDO AMBIENTAL – EMPREENDIMENTOS PONTUAIS – TIPO I</v>
      </c>
      <c r="C3" s="119"/>
      <c r="D3" s="120"/>
      <c r="E3" s="119" t="str">
        <f>PRODUTOS!C9</f>
        <v>EA.PONTUAL.I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SUM(I8:I14)</f>
        <v>151328.87</v>
      </c>
      <c r="J7" s="99"/>
    </row>
    <row r="8" spans="1:10" ht="15.75">
      <c r="A8" s="106"/>
      <c r="B8" s="80" t="s">
        <v>14</v>
      </c>
      <c r="C8" s="125" t="str">
        <f>VLOOKUP(B8,'Preços de Referência'!$A$5:$C$103,2,FALSE)</f>
        <v>Biólogo pleno</v>
      </c>
      <c r="D8" s="134" t="s">
        <v>15</v>
      </c>
      <c r="E8" s="81">
        <v>2</v>
      </c>
      <c r="F8" s="159">
        <f>'Preços de Referência'!$O$30*1.5</f>
        <v>273.73500000000001</v>
      </c>
      <c r="G8" s="88">
        <f>VLOOKUP(B8,'Preços de Referência'!$A$5:$C$103,3,FALSE)</f>
        <v>8782.2099999999991</v>
      </c>
      <c r="H8" s="88">
        <f>G8/'Preços de Referência'!$O$30</f>
        <v>48.124335580031776</v>
      </c>
      <c r="I8" s="91">
        <f t="shared" ref="I8:I14" si="0">H8*F8*E8</f>
        <v>26346.629999999997</v>
      </c>
      <c r="J8" s="99"/>
    </row>
    <row r="9" spans="1:10" ht="15.75">
      <c r="A9" s="106"/>
      <c r="B9" s="80" t="s">
        <v>16</v>
      </c>
      <c r="C9" s="125" t="str">
        <f>VLOOKUP(B9,'Preços de Referência'!$A$5:$C$103,2,FALSE)</f>
        <v>Engenheiro florestal pleno</v>
      </c>
      <c r="D9" s="134" t="s">
        <v>15</v>
      </c>
      <c r="E9" s="81">
        <v>1</v>
      </c>
      <c r="F9" s="159">
        <f>'Preços de Referência'!$O$30*1.5</f>
        <v>273.73500000000001</v>
      </c>
      <c r="G9" s="88">
        <f>VLOOKUP(B9,'Preços de Referência'!$A$5:$C$103,3,FALSE)</f>
        <v>23790.89</v>
      </c>
      <c r="H9" s="88">
        <f>G9/'Preços de Referência'!$O$30</f>
        <v>130.36818455805798</v>
      </c>
      <c r="I9" s="91">
        <f t="shared" si="0"/>
        <v>35686.334999999999</v>
      </c>
      <c r="J9" s="99"/>
    </row>
    <row r="10" spans="1:10" ht="15.75">
      <c r="A10" s="106"/>
      <c r="B10" s="80" t="s">
        <v>19</v>
      </c>
      <c r="C10" s="125" t="str">
        <f>VLOOKUP(B10,'Preços de Referência'!$A$5:$C$103,2,FALSE)</f>
        <v>Geólogo pleno</v>
      </c>
      <c r="D10" s="134" t="s">
        <v>15</v>
      </c>
      <c r="E10" s="81">
        <v>1</v>
      </c>
      <c r="F10" s="159">
        <f>'Preços de Referência'!$O$30*1</f>
        <v>182.49</v>
      </c>
      <c r="G10" s="88">
        <f>VLOOKUP(B10,'Preços de Referência'!$A$5:$C$103,3,FALSE)</f>
        <v>22360.25</v>
      </c>
      <c r="H10" s="88">
        <f>G10/'Preços de Referência'!$O$30</f>
        <v>122.52863170584689</v>
      </c>
      <c r="I10" s="91">
        <f t="shared" si="0"/>
        <v>22360.25</v>
      </c>
      <c r="J10" s="99"/>
    </row>
    <row r="11" spans="1:10" ht="15.75">
      <c r="A11" s="106"/>
      <c r="B11" s="80" t="s">
        <v>20</v>
      </c>
      <c r="C11" s="125" t="str">
        <f>VLOOKUP(B11,'Preços de Referência'!$A$5:$C$103,2,FALSE)</f>
        <v>Geógrafo pleno</v>
      </c>
      <c r="D11" s="134" t="s">
        <v>15</v>
      </c>
      <c r="E11" s="81">
        <v>1</v>
      </c>
      <c r="F11" s="159">
        <f>'Preços de Referência'!$O$30*1</f>
        <v>182.49</v>
      </c>
      <c r="G11" s="88">
        <f>VLOOKUP(B11,'Preços de Referência'!$A$5:$C$103,3,FALSE)</f>
        <v>10237.07</v>
      </c>
      <c r="H11" s="88">
        <f>G11/'Preços de Referência'!$O$30</f>
        <v>56.09660803331689</v>
      </c>
      <c r="I11" s="91">
        <f t="shared" si="0"/>
        <v>10237.07</v>
      </c>
      <c r="J11" s="99"/>
    </row>
    <row r="12" spans="1:10" ht="15.75">
      <c r="A12" s="106"/>
      <c r="B12" s="80" t="s">
        <v>17</v>
      </c>
      <c r="C12" s="125" t="str">
        <f>VLOOKUP(B12,'Preços de Referência'!$A$5:$C$103,2,FALSE)</f>
        <v>Técnico em geoprocessamento</v>
      </c>
      <c r="D12" s="134" t="s">
        <v>15</v>
      </c>
      <c r="E12" s="81">
        <v>1</v>
      </c>
      <c r="F12" s="159">
        <f>'Preços de Referência'!$O$30/2</f>
        <v>91.245000000000005</v>
      </c>
      <c r="G12" s="88">
        <f>VLOOKUP(B12,'Preços de Referência'!$A$5:$C$103,3,FALSE)</f>
        <v>6120.29</v>
      </c>
      <c r="H12" s="88">
        <f>G12/'Preços de Referência'!$O$30</f>
        <v>33.537673297166968</v>
      </c>
      <c r="I12" s="91">
        <f t="shared" si="0"/>
        <v>3060.145</v>
      </c>
      <c r="J12" s="99"/>
    </row>
    <row r="13" spans="1:10" ht="15.75">
      <c r="A13" s="106"/>
      <c r="B13" s="80" t="s">
        <v>18</v>
      </c>
      <c r="C13" s="125" t="str">
        <f>VLOOKUP(B13,'Preços de Referência'!$A$5:$C$103,2,FALSE)</f>
        <v>Engenheiro ambiental pleno</v>
      </c>
      <c r="D13" s="134" t="s">
        <v>15</v>
      </c>
      <c r="E13" s="81">
        <v>1</v>
      </c>
      <c r="F13" s="159">
        <f>'Preços de Referência'!$O$30*1.5</f>
        <v>273.73500000000001</v>
      </c>
      <c r="G13" s="88">
        <f>VLOOKUP(B13,'Preços de Referência'!$A$5:$C$103,3,FALSE)</f>
        <v>24964.47</v>
      </c>
      <c r="H13" s="88">
        <f>G13/'Preços de Referência'!$O$30</f>
        <v>136.79911228012494</v>
      </c>
      <c r="I13" s="91">
        <f t="shared" si="0"/>
        <v>37446.705000000002</v>
      </c>
      <c r="J13" s="99"/>
    </row>
    <row r="14" spans="1:10" ht="15.75">
      <c r="A14" s="106"/>
      <c r="B14" s="80" t="s">
        <v>301</v>
      </c>
      <c r="C14" s="125" t="str">
        <f>VLOOKUP(B14,'Preços de Referência'!$A$5:$C$103,2,FALSE)</f>
        <v>Sociólogo pleno</v>
      </c>
      <c r="D14" s="134" t="s">
        <v>15</v>
      </c>
      <c r="E14" s="81">
        <v>1</v>
      </c>
      <c r="F14" s="159">
        <f>'Preços de Referência'!$O$30*1.5</f>
        <v>273.73500000000001</v>
      </c>
      <c r="G14" s="88">
        <f>VLOOKUP(B14,'Preços de Referência'!$A$5:$C$103,3,FALSE)</f>
        <v>10794.49</v>
      </c>
      <c r="H14" s="88">
        <f>G14/'Preços de Referência'!$O$30</f>
        <v>59.151131568853081</v>
      </c>
      <c r="I14" s="91">
        <f t="shared" si="0"/>
        <v>16191.734999999999</v>
      </c>
      <c r="J14" s="99"/>
    </row>
    <row r="15" spans="1:10" ht="15.75" hidden="1">
      <c r="A15" s="128" t="s">
        <v>21</v>
      </c>
      <c r="B15" s="107"/>
      <c r="C15" s="126" t="s">
        <v>22</v>
      </c>
      <c r="D15" s="107"/>
      <c r="E15" s="107"/>
      <c r="F15" s="107"/>
      <c r="G15" s="107"/>
      <c r="H15" s="123"/>
      <c r="I15" s="100">
        <v>0</v>
      </c>
      <c r="J15" s="99"/>
    </row>
    <row r="16" spans="1:10" ht="28.5" hidden="1" customHeight="1">
      <c r="A16" s="106"/>
      <c r="B16" s="84" t="s">
        <v>23</v>
      </c>
      <c r="C16" s="125" t="str">
        <f>VLOOKUP(B16,'Preços de Referência'!$E$4:$P$5,2,FALSE)</f>
        <v>Veículo leve picape 4 x 4 com capacidade de 1,10 t - 147 kW (sem motorista)</v>
      </c>
      <c r="D16" s="134" t="s">
        <v>15</v>
      </c>
      <c r="E16" s="81">
        <v>4</v>
      </c>
      <c r="F16" s="159">
        <f>'Preços de Referência'!$O$28*15</f>
        <v>109.995</v>
      </c>
      <c r="G16" s="88">
        <f>VLOOKUP(B16,'Preços de Referência'!$E$4:$P$5,10,FALSE)</f>
        <v>8274.9513000000006</v>
      </c>
      <c r="H16" s="88">
        <f>VLOOKUP(B16,'Preços de Referência'!$E$4:$P$5,12,FALSE)</f>
        <v>45.3446</v>
      </c>
      <c r="I16" s="91">
        <f>H16*F16*E16</f>
        <v>19950.717108000001</v>
      </c>
      <c r="J16" s="99"/>
    </row>
    <row r="17" spans="1:10" ht="30" hidden="1">
      <c r="A17" s="128" t="s">
        <v>24</v>
      </c>
      <c r="B17" s="107"/>
      <c r="C17" s="126" t="s">
        <v>25</v>
      </c>
      <c r="D17" s="107"/>
      <c r="E17" s="107"/>
      <c r="F17" s="107"/>
      <c r="G17" s="107"/>
      <c r="H17" s="123"/>
      <c r="I17" s="100">
        <v>0</v>
      </c>
      <c r="J17" s="99"/>
    </row>
    <row r="18" spans="1:10" ht="15.75" hidden="1">
      <c r="A18" s="106"/>
      <c r="B18" s="80" t="s">
        <v>26</v>
      </c>
      <c r="C18" s="125" t="s">
        <v>27</v>
      </c>
      <c r="D18" s="134" t="s">
        <v>15</v>
      </c>
      <c r="E18" s="81">
        <v>6</v>
      </c>
      <c r="F18" s="81">
        <f>'Preços de Referência'!$O$28*5</f>
        <v>36.664999999999999</v>
      </c>
      <c r="G18" s="81">
        <v>223.422507</v>
      </c>
      <c r="H18" s="88">
        <v>1.2242999999999999</v>
      </c>
      <c r="I18" s="91">
        <f>H18*F18*E18</f>
        <v>269.33375699999999</v>
      </c>
      <c r="J18" s="99"/>
    </row>
    <row r="19" spans="1:10" ht="15.75" hidden="1">
      <c r="A19" s="106"/>
      <c r="B19" s="80" t="s">
        <v>28</v>
      </c>
      <c r="C19" s="125" t="s">
        <v>29</v>
      </c>
      <c r="D19" s="134" t="s">
        <v>15</v>
      </c>
      <c r="E19" s="81">
        <v>1</v>
      </c>
      <c r="F19" s="81">
        <f>'Preços de Referência'!$O$28*5</f>
        <v>36.664999999999999</v>
      </c>
      <c r="G19" s="81">
        <f>E19*F19</f>
        <v>36.664999999999999</v>
      </c>
      <c r="H19" s="88">
        <v>5.16</v>
      </c>
      <c r="I19" s="91">
        <f>H19*F19*E19</f>
        <v>189.19139999999999</v>
      </c>
      <c r="J19" s="99"/>
    </row>
    <row r="20" spans="1:10" ht="15.75" hidden="1">
      <c r="A20" s="128" t="s">
        <v>30</v>
      </c>
      <c r="B20" s="107"/>
      <c r="C20" s="126" t="s">
        <v>31</v>
      </c>
      <c r="D20" s="107"/>
      <c r="E20" s="107"/>
      <c r="F20" s="107"/>
      <c r="G20" s="107"/>
      <c r="H20" s="123"/>
      <c r="I20" s="100">
        <v>0</v>
      </c>
      <c r="J20" s="99"/>
    </row>
    <row r="21" spans="1:10" ht="15.75" hidden="1">
      <c r="A21" s="129" t="s">
        <v>32</v>
      </c>
      <c r="B21" s="108"/>
      <c r="C21" s="127" t="s">
        <v>33</v>
      </c>
      <c r="D21" s="108"/>
      <c r="E21" s="108"/>
      <c r="F21" s="108"/>
      <c r="G21" s="108"/>
      <c r="H21" s="124"/>
      <c r="I21" s="101"/>
      <c r="J21" s="99"/>
    </row>
    <row r="22" spans="1:10" ht="28.5" hidden="1">
      <c r="A22" s="106"/>
      <c r="B22" s="80" t="s">
        <v>34</v>
      </c>
      <c r="C22" s="125" t="str">
        <f>VLOOKUP(B22,'Preços de Referência'!$F$74:$J$83,2,FALSE)</f>
        <v>Comercial (2,60% do CMCC - SINAPI)</v>
      </c>
      <c r="D22" s="80" t="str">
        <f>VLOOKUP(B22,'Preços de Referência'!$F$74:$J$83,4,FALSE)</f>
        <v>m² x mês</v>
      </c>
      <c r="E22" s="81">
        <f>12.41*6</f>
        <v>74.460000000000008</v>
      </c>
      <c r="F22" s="81">
        <f>'Preços de Referência'!$O$28*5</f>
        <v>36.664999999999999</v>
      </c>
      <c r="G22" s="89">
        <f>VLOOKUP(B22,'Preços de Referência'!$F$74:$J$83,5,FALSE)</f>
        <v>47.75</v>
      </c>
      <c r="H22" s="88">
        <f>G22/'Preços de Referência'!$O$30</f>
        <v>0.26165817305057809</v>
      </c>
      <c r="I22" s="91">
        <v>0</v>
      </c>
      <c r="J22" s="99"/>
    </row>
    <row r="23" spans="1:10" ht="15.75" hidden="1">
      <c r="A23" s="129" t="s">
        <v>35</v>
      </c>
      <c r="B23" s="108"/>
      <c r="C23" s="127" t="s">
        <v>36</v>
      </c>
      <c r="D23" s="108"/>
      <c r="E23" s="108"/>
      <c r="F23" s="108"/>
      <c r="G23" s="108"/>
      <c r="H23" s="124"/>
      <c r="I23" s="101"/>
      <c r="J23" s="99"/>
    </row>
    <row r="24" spans="1:10" ht="15.75" hidden="1">
      <c r="A24" s="106"/>
      <c r="B24" s="80" t="s">
        <v>37</v>
      </c>
      <c r="C24" s="125" t="str">
        <f>VLOOKUP(B24,'Preços de Referência'!$F$74:$J$83,2,FALSE)</f>
        <v>Escritório</v>
      </c>
      <c r="D24" s="80" t="str">
        <f>VLOOKUP(B24,'Preços de Referência'!$F$74:$J$83,4,FALSE)</f>
        <v>ocupante x mês</v>
      </c>
      <c r="E24" s="81">
        <v>6</v>
      </c>
      <c r="F24" s="81">
        <f>'Preços de Referência'!$O$28*5</f>
        <v>36.664999999999999</v>
      </c>
      <c r="G24" s="89">
        <f>VLOOKUP(B24,'Preços de Referência'!$F$74:$J$83,5,FALSE)</f>
        <v>490.4</v>
      </c>
      <c r="H24" s="88">
        <f>G24/'Preços de Referência'!$O$30</f>
        <v>2.6872705353718009</v>
      </c>
      <c r="I24" s="91">
        <f>H24*F24*E24</f>
        <v>591.17264507644245</v>
      </c>
      <c r="J24" s="99"/>
    </row>
    <row r="25" spans="1:10" ht="15.75" hidden="1">
      <c r="A25" s="129" t="s">
        <v>38</v>
      </c>
      <c r="B25" s="108"/>
      <c r="C25" s="127" t="s">
        <v>39</v>
      </c>
      <c r="D25" s="108"/>
      <c r="E25" s="108"/>
      <c r="F25" s="108"/>
      <c r="G25" s="108"/>
      <c r="H25" s="124"/>
      <c r="I25" s="101"/>
      <c r="J25" s="99"/>
    </row>
    <row r="26" spans="1:10" ht="15.75" hidden="1">
      <c r="A26" s="106"/>
      <c r="B26" s="80" t="s">
        <v>40</v>
      </c>
      <c r="C26" s="125" t="str">
        <f>VLOOKUP(B26,'Preços de Referência'!$F$74:$J$83,2,FALSE)</f>
        <v>Escritório</v>
      </c>
      <c r="D26" s="80" t="str">
        <f>VLOOKUP(B26,'Preços de Referência'!$F$74:$J$83,4,FALSE)</f>
        <v>ocupante x mês</v>
      </c>
      <c r="E26" s="81">
        <v>6</v>
      </c>
      <c r="F26" s="81">
        <f>'Preços de Referência'!$O$28*5</f>
        <v>36.664999999999999</v>
      </c>
      <c r="G26" s="89">
        <f>VLOOKUP(B26,'Preços de Referência'!$F$74:$J$83,5,FALSE)</f>
        <v>135.22</v>
      </c>
      <c r="H26" s="88">
        <f>G26/'Preços de Referência'!$O$30</f>
        <v>0.74097210806071556</v>
      </c>
      <c r="I26" s="91">
        <f>H26*F26*E26</f>
        <v>163.00645405227681</v>
      </c>
      <c r="J26" s="99"/>
    </row>
    <row r="27" spans="1:10" ht="15.75" hidden="1">
      <c r="A27" s="160" t="s">
        <v>361</v>
      </c>
      <c r="B27" s="161"/>
      <c r="C27" s="162" t="s">
        <v>360</v>
      </c>
      <c r="D27" s="161"/>
      <c r="E27" s="161"/>
      <c r="F27" s="161"/>
      <c r="G27" s="161"/>
      <c r="H27" s="161"/>
      <c r="I27" s="163">
        <v>0</v>
      </c>
      <c r="J27" s="99"/>
    </row>
    <row r="28" spans="1:10" ht="42.75" hidden="1">
      <c r="A28" s="164"/>
      <c r="B28" s="169" t="s">
        <v>198</v>
      </c>
      <c r="C28" s="165" t="s">
        <v>199</v>
      </c>
      <c r="D28" s="134" t="s">
        <v>122</v>
      </c>
      <c r="E28" s="135">
        <f>13+6</f>
        <v>19</v>
      </c>
      <c r="F28" s="135">
        <v>10</v>
      </c>
      <c r="G28" s="166">
        <v>341.02</v>
      </c>
      <c r="H28" s="167"/>
      <c r="I28" s="168">
        <f>E28*F28*G28</f>
        <v>64793.799999999996</v>
      </c>
      <c r="J28" s="99"/>
    </row>
    <row r="29" spans="1:10" ht="28.5" hidden="1">
      <c r="A29" s="164"/>
      <c r="B29" s="169" t="s">
        <v>194</v>
      </c>
      <c r="C29" s="165" t="s">
        <v>195</v>
      </c>
      <c r="D29" s="134" t="s">
        <v>122</v>
      </c>
      <c r="E29" s="135">
        <f>13+4</f>
        <v>17</v>
      </c>
      <c r="F29" s="135">
        <v>2</v>
      </c>
      <c r="G29" s="166">
        <v>1189.4070999999999</v>
      </c>
      <c r="H29" s="167"/>
      <c r="I29" s="168">
        <f>E29*F29*G29</f>
        <v>40439.841399999998</v>
      </c>
      <c r="J29" s="99"/>
    </row>
    <row r="30" spans="1:10" ht="15.75">
      <c r="A30" s="595" t="s">
        <v>41</v>
      </c>
      <c r="B30" s="596"/>
      <c r="C30" s="82"/>
      <c r="D30" s="82"/>
      <c r="E30" s="82"/>
      <c r="F30" s="82"/>
      <c r="G30" s="82"/>
      <c r="H30" s="90"/>
      <c r="I30" s="92">
        <f>I7+I17+I20+I15+I27</f>
        <v>151328.87</v>
      </c>
      <c r="J30" s="99"/>
    </row>
    <row r="31" spans="1:10" ht="15.75">
      <c r="A31" s="93" t="s">
        <v>42</v>
      </c>
      <c r="B31" s="83"/>
      <c r="C31" s="83"/>
      <c r="D31" s="83"/>
      <c r="E31" s="83"/>
      <c r="F31" s="83"/>
      <c r="G31" s="83"/>
      <c r="H31" s="252">
        <f>BDI!$D$17</f>
        <v>0.44579999999999997</v>
      </c>
      <c r="I31" s="94">
        <f>I30*H31</f>
        <v>67462.410245999999</v>
      </c>
      <c r="J31" s="99"/>
    </row>
    <row r="32" spans="1:10" ht="16.5" thickBot="1">
      <c r="A32" s="597" t="s">
        <v>43</v>
      </c>
      <c r="B32" s="598"/>
      <c r="C32" s="598"/>
      <c r="D32" s="95"/>
      <c r="E32" s="95"/>
      <c r="F32" s="95"/>
      <c r="G32" s="95"/>
      <c r="H32" s="95"/>
      <c r="I32" s="96">
        <f>(I30+I31)</f>
        <v>218791.28024599998</v>
      </c>
      <c r="J32" s="99"/>
    </row>
    <row r="33" spans="1:10" ht="15.75">
      <c r="A33" s="170"/>
      <c r="B33" s="171"/>
      <c r="C33" s="171"/>
      <c r="D33" s="171"/>
      <c r="E33" s="171"/>
      <c r="F33" s="171"/>
      <c r="G33" s="171"/>
      <c r="H33" s="171"/>
      <c r="I33" s="172"/>
      <c r="J33" s="99"/>
    </row>
    <row r="34" spans="1:10" ht="15.75">
      <c r="A34" s="173"/>
      <c r="F34" s="585" t="s">
        <v>44</v>
      </c>
      <c r="G34" s="586"/>
      <c r="H34" s="586"/>
      <c r="I34" s="594"/>
      <c r="J34" s="99"/>
    </row>
    <row r="35" spans="1:10" ht="15.75">
      <c r="A35" s="173"/>
      <c r="F35" s="109" t="str">
        <f>A2</f>
        <v>Bloco 1</v>
      </c>
      <c r="G35" s="109" t="s">
        <v>45</v>
      </c>
      <c r="H35" s="109" t="s">
        <v>46</v>
      </c>
      <c r="I35" s="174" t="s">
        <v>47</v>
      </c>
      <c r="J35" s="99"/>
    </row>
    <row r="36" spans="1:10" ht="16.5" thickBot="1">
      <c r="A36" s="175"/>
      <c r="B36" s="176"/>
      <c r="C36" s="176"/>
      <c r="D36" s="176"/>
      <c r="E36" s="176"/>
      <c r="F36" s="177">
        <f>A3</f>
        <v>6</v>
      </c>
      <c r="G36" s="177">
        <v>1</v>
      </c>
      <c r="H36" s="178">
        <f>I32</f>
        <v>218791.28024599998</v>
      </c>
      <c r="I36" s="179">
        <f>G36*H36</f>
        <v>218791.28024599998</v>
      </c>
      <c r="J36" s="99"/>
    </row>
  </sheetData>
  <mergeCells count="9">
    <mergeCell ref="A30:B30"/>
    <mergeCell ref="A32:C32"/>
    <mergeCell ref="F34:I34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208AA-013B-4A25-9BB4-FF7C40B8F138}">
  <sheetPr>
    <tabColor theme="9" tint="0.39997558519241921"/>
    <pageSetUpPr fitToPage="1"/>
  </sheetPr>
  <dimension ref="A1:J37"/>
  <sheetViews>
    <sheetView showGridLines="0" zoomScale="90" zoomScaleNormal="90" workbookViewId="0">
      <selection activeCell="H37" sqref="H37:I37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PRODUTOS!A10</f>
        <v>7</v>
      </c>
      <c r="B3" s="118" t="str">
        <f>PRODUTOS!B10</f>
        <v>ESTUDO AMBIENTAL – EMPREENDIMENTOS PONTUAIS – TIPO II</v>
      </c>
      <c r="C3" s="119"/>
      <c r="D3" s="120"/>
      <c r="E3" s="119" t="str">
        <f>PRODUTOS!C10</f>
        <v>EA.PONTUAL.II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SUM(I8:I14)</f>
        <v>151328.87</v>
      </c>
      <c r="J7" s="99"/>
    </row>
    <row r="8" spans="1:10" ht="15.75">
      <c r="A8" s="106"/>
      <c r="B8" s="80" t="s">
        <v>14</v>
      </c>
      <c r="C8" s="125" t="str">
        <f>VLOOKUP(B8,'Preços de Referência'!$A$5:$C$103,2,FALSE)</f>
        <v>Biólogo pleno</v>
      </c>
      <c r="D8" s="134" t="s">
        <v>15</v>
      </c>
      <c r="E8" s="81">
        <v>2</v>
      </c>
      <c r="F8" s="159">
        <f>'Preços de Referência'!$O$30*1.5</f>
        <v>273.73500000000001</v>
      </c>
      <c r="G8" s="88">
        <f>VLOOKUP(B8,'Preços de Referência'!$A$5:$C$103,3,FALSE)</f>
        <v>8782.2099999999991</v>
      </c>
      <c r="H8" s="88">
        <f>G8/'Preços de Referência'!$O$30</f>
        <v>48.124335580031776</v>
      </c>
      <c r="I8" s="91">
        <f t="shared" ref="I8:I14" si="0">H8*F8*E8</f>
        <v>26346.629999999997</v>
      </c>
      <c r="J8" s="99"/>
    </row>
    <row r="9" spans="1:10" ht="15.75">
      <c r="A9" s="106"/>
      <c r="B9" s="80" t="s">
        <v>16</v>
      </c>
      <c r="C9" s="125" t="str">
        <f>VLOOKUP(B9,'Preços de Referência'!$A$5:$C$103,2,FALSE)</f>
        <v>Engenheiro florestal pleno</v>
      </c>
      <c r="D9" s="134" t="s">
        <v>15</v>
      </c>
      <c r="E9" s="81">
        <v>1</v>
      </c>
      <c r="F9" s="159">
        <f>'Preços de Referência'!$O$30*1.5</f>
        <v>273.73500000000001</v>
      </c>
      <c r="G9" s="88">
        <f>VLOOKUP(B9,'Preços de Referência'!$A$5:$C$103,3,FALSE)</f>
        <v>23790.89</v>
      </c>
      <c r="H9" s="88">
        <f>G9/'Preços de Referência'!$O$30</f>
        <v>130.36818455805798</v>
      </c>
      <c r="I9" s="91">
        <f t="shared" si="0"/>
        <v>35686.334999999999</v>
      </c>
      <c r="J9" s="99"/>
    </row>
    <row r="10" spans="1:10" ht="15.75">
      <c r="A10" s="106"/>
      <c r="B10" s="80" t="s">
        <v>19</v>
      </c>
      <c r="C10" s="125" t="str">
        <f>VLOOKUP(B10,'Preços de Referência'!$A$5:$C$103,2,FALSE)</f>
        <v>Geólogo pleno</v>
      </c>
      <c r="D10" s="134" t="s">
        <v>15</v>
      </c>
      <c r="E10" s="81">
        <v>1</v>
      </c>
      <c r="F10" s="159">
        <f>'Preços de Referência'!$O$30*1</f>
        <v>182.49</v>
      </c>
      <c r="G10" s="88">
        <f>VLOOKUP(B10,'Preços de Referência'!$A$5:$C$103,3,FALSE)</f>
        <v>22360.25</v>
      </c>
      <c r="H10" s="88">
        <f>G10/'Preços de Referência'!$O$30</f>
        <v>122.52863170584689</v>
      </c>
      <c r="I10" s="91">
        <f t="shared" si="0"/>
        <v>22360.25</v>
      </c>
      <c r="J10" s="99"/>
    </row>
    <row r="11" spans="1:10" ht="15.75">
      <c r="A11" s="106"/>
      <c r="B11" s="80" t="s">
        <v>20</v>
      </c>
      <c r="C11" s="125" t="str">
        <f>VLOOKUP(B11,'Preços de Referência'!$A$5:$C$103,2,FALSE)</f>
        <v>Geógrafo pleno</v>
      </c>
      <c r="D11" s="134" t="s">
        <v>15</v>
      </c>
      <c r="E11" s="81">
        <v>1</v>
      </c>
      <c r="F11" s="159">
        <f>'Preços de Referência'!$O$30*1</f>
        <v>182.49</v>
      </c>
      <c r="G11" s="88">
        <f>VLOOKUP(B11,'Preços de Referência'!$A$5:$C$103,3,FALSE)</f>
        <v>10237.07</v>
      </c>
      <c r="H11" s="88">
        <f>G11/'Preços de Referência'!$O$30</f>
        <v>56.09660803331689</v>
      </c>
      <c r="I11" s="91">
        <f t="shared" si="0"/>
        <v>10237.07</v>
      </c>
      <c r="J11" s="99"/>
    </row>
    <row r="12" spans="1:10" ht="15.75">
      <c r="A12" s="106"/>
      <c r="B12" s="80" t="s">
        <v>17</v>
      </c>
      <c r="C12" s="125" t="str">
        <f>VLOOKUP(B12,'Preços de Referência'!$A$5:$C$103,2,FALSE)</f>
        <v>Técnico em geoprocessamento</v>
      </c>
      <c r="D12" s="134" t="s">
        <v>15</v>
      </c>
      <c r="E12" s="81">
        <v>1</v>
      </c>
      <c r="F12" s="159">
        <f>'Preços de Referência'!$O$30/2</f>
        <v>91.245000000000005</v>
      </c>
      <c r="G12" s="88">
        <f>VLOOKUP(B12,'Preços de Referência'!$A$5:$C$103,3,FALSE)</f>
        <v>6120.29</v>
      </c>
      <c r="H12" s="88">
        <f>G12/'Preços de Referência'!$O$30</f>
        <v>33.537673297166968</v>
      </c>
      <c r="I12" s="91">
        <f t="shared" si="0"/>
        <v>3060.145</v>
      </c>
      <c r="J12" s="99"/>
    </row>
    <row r="13" spans="1:10" ht="15.75">
      <c r="A13" s="106"/>
      <c r="B13" s="80" t="s">
        <v>18</v>
      </c>
      <c r="C13" s="125" t="str">
        <f>VLOOKUP(B13,'Preços de Referência'!$A$5:$C$103,2,FALSE)</f>
        <v>Engenheiro ambiental pleno</v>
      </c>
      <c r="D13" s="134" t="s">
        <v>15</v>
      </c>
      <c r="E13" s="81">
        <v>1</v>
      </c>
      <c r="F13" s="159">
        <f>'Preços de Referência'!$O$30*1.5</f>
        <v>273.73500000000001</v>
      </c>
      <c r="G13" s="88">
        <f>VLOOKUP(B13,'Preços de Referência'!$A$5:$C$103,3,FALSE)</f>
        <v>24964.47</v>
      </c>
      <c r="H13" s="88">
        <f>G13/'Preços de Referência'!$O$30</f>
        <v>136.79911228012494</v>
      </c>
      <c r="I13" s="91">
        <f t="shared" si="0"/>
        <v>37446.705000000002</v>
      </c>
      <c r="J13" s="99"/>
    </row>
    <row r="14" spans="1:10" ht="15.75">
      <c r="A14" s="106"/>
      <c r="B14" s="80" t="s">
        <v>301</v>
      </c>
      <c r="C14" s="125" t="str">
        <f>VLOOKUP(B14,'Preços de Referência'!$A$5:$C$103,2,FALSE)</f>
        <v>Sociólogo pleno</v>
      </c>
      <c r="D14" s="134" t="s">
        <v>15</v>
      </c>
      <c r="E14" s="81">
        <v>1</v>
      </c>
      <c r="F14" s="159">
        <f>'Preços de Referência'!$O$30*1.5</f>
        <v>273.73500000000001</v>
      </c>
      <c r="G14" s="88">
        <f>VLOOKUP(B14,'Preços de Referência'!$A$5:$C$103,3,FALSE)</f>
        <v>10794.49</v>
      </c>
      <c r="H14" s="88">
        <f>G14/'Preços de Referência'!$O$30</f>
        <v>59.151131568853081</v>
      </c>
      <c r="I14" s="91">
        <f t="shared" si="0"/>
        <v>16191.734999999999</v>
      </c>
      <c r="J14" s="99"/>
    </row>
    <row r="15" spans="1:10" ht="15.75">
      <c r="A15" s="128" t="s">
        <v>21</v>
      </c>
      <c r="B15" s="107"/>
      <c r="C15" s="126" t="s">
        <v>22</v>
      </c>
      <c r="D15" s="107"/>
      <c r="E15" s="107"/>
      <c r="F15" s="107"/>
      <c r="G15" s="107"/>
      <c r="H15" s="123"/>
      <c r="I15" s="100">
        <f>I16</f>
        <v>4655.1673252000001</v>
      </c>
      <c r="J15" s="99"/>
    </row>
    <row r="16" spans="1:10" ht="28.5" customHeight="1">
      <c r="A16" s="106"/>
      <c r="B16" s="84" t="s">
        <v>23</v>
      </c>
      <c r="C16" s="125" t="str">
        <f>VLOOKUP(B16,'Preços de Referência'!$E$4:$P$5,2,FALSE)</f>
        <v>Veículo leve picape 4 x 4 com capacidade de 1,10 t - 147 kW (sem motorista)</v>
      </c>
      <c r="D16" s="134" t="s">
        <v>15</v>
      </c>
      <c r="E16" s="81">
        <v>2</v>
      </c>
      <c r="F16" s="159">
        <f>'Preços de Referência'!$O$28*7</f>
        <v>51.331000000000003</v>
      </c>
      <c r="G16" s="88">
        <f>VLOOKUP(B16,'Preços de Referência'!$E$4:$P$5,10,FALSE)</f>
        <v>8274.9513000000006</v>
      </c>
      <c r="H16" s="88">
        <f>VLOOKUP(B16,'Preços de Referência'!$E$4:$P$5,12,FALSE)</f>
        <v>45.3446</v>
      </c>
      <c r="I16" s="91">
        <f>H16*F16*E16</f>
        <v>4655.1673252000001</v>
      </c>
      <c r="J16" s="99"/>
    </row>
    <row r="17" spans="1:10" ht="30" hidden="1">
      <c r="A17" s="128" t="s">
        <v>24</v>
      </c>
      <c r="B17" s="107"/>
      <c r="C17" s="126" t="s">
        <v>25</v>
      </c>
      <c r="D17" s="107"/>
      <c r="E17" s="107"/>
      <c r="F17" s="107"/>
      <c r="G17" s="107"/>
      <c r="H17" s="123"/>
      <c r="I17" s="100">
        <v>0</v>
      </c>
      <c r="J17" s="99"/>
    </row>
    <row r="18" spans="1:10" ht="15.75" hidden="1">
      <c r="A18" s="106"/>
      <c r="B18" s="80" t="s">
        <v>26</v>
      </c>
      <c r="C18" s="125" t="s">
        <v>27</v>
      </c>
      <c r="D18" s="134" t="s">
        <v>15</v>
      </c>
      <c r="E18" s="81">
        <v>6</v>
      </c>
      <c r="F18" s="81">
        <f>'Preços de Referência'!$O$28*5</f>
        <v>36.664999999999999</v>
      </c>
      <c r="G18" s="81">
        <v>223.422507</v>
      </c>
      <c r="H18" s="88">
        <v>1.2242999999999999</v>
      </c>
      <c r="I18" s="91">
        <f>H18*F18*E18</f>
        <v>269.33375699999999</v>
      </c>
      <c r="J18" s="99"/>
    </row>
    <row r="19" spans="1:10" ht="15.75" hidden="1">
      <c r="A19" s="106"/>
      <c r="B19" s="80" t="s">
        <v>28</v>
      </c>
      <c r="C19" s="125" t="s">
        <v>29</v>
      </c>
      <c r="D19" s="134" t="s">
        <v>15</v>
      </c>
      <c r="E19" s="81">
        <v>1</v>
      </c>
      <c r="F19" s="81">
        <f>'Preços de Referência'!$O$28*5</f>
        <v>36.664999999999999</v>
      </c>
      <c r="G19" s="81">
        <f>E19*F19</f>
        <v>36.664999999999999</v>
      </c>
      <c r="H19" s="88">
        <v>5.16</v>
      </c>
      <c r="I19" s="91">
        <f>H19*F19*E19</f>
        <v>189.19139999999999</v>
      </c>
      <c r="J19" s="99"/>
    </row>
    <row r="20" spans="1:10" ht="15.75" hidden="1">
      <c r="A20" s="128" t="s">
        <v>30</v>
      </c>
      <c r="B20" s="107"/>
      <c r="C20" s="126" t="s">
        <v>31</v>
      </c>
      <c r="D20" s="107"/>
      <c r="E20" s="107"/>
      <c r="F20" s="107"/>
      <c r="G20" s="107"/>
      <c r="H20" s="123"/>
      <c r="I20" s="100">
        <v>0</v>
      </c>
      <c r="J20" s="99"/>
    </row>
    <row r="21" spans="1:10" ht="15.75" hidden="1">
      <c r="A21" s="129" t="s">
        <v>32</v>
      </c>
      <c r="B21" s="108"/>
      <c r="C21" s="127" t="s">
        <v>33</v>
      </c>
      <c r="D21" s="108"/>
      <c r="E21" s="108"/>
      <c r="F21" s="108"/>
      <c r="G21" s="108"/>
      <c r="H21" s="124"/>
      <c r="I21" s="101"/>
      <c r="J21" s="99"/>
    </row>
    <row r="22" spans="1:10" ht="28.5" hidden="1">
      <c r="A22" s="106"/>
      <c r="B22" s="80" t="s">
        <v>34</v>
      </c>
      <c r="C22" s="125" t="str">
        <f>VLOOKUP(B22,'Preços de Referência'!$F$74:$J$83,2,FALSE)</f>
        <v>Comercial (2,60% do CMCC - SINAPI)</v>
      </c>
      <c r="D22" s="80" t="str">
        <f>VLOOKUP(B22,'Preços de Referência'!$F$74:$J$83,4,FALSE)</f>
        <v>m² x mês</v>
      </c>
      <c r="E22" s="81">
        <f>12.41*6</f>
        <v>74.460000000000008</v>
      </c>
      <c r="F22" s="81">
        <f>'Preços de Referência'!$O$28*5</f>
        <v>36.664999999999999</v>
      </c>
      <c r="G22" s="89">
        <f>VLOOKUP(B22,'Preços de Referência'!$F$74:$J$83,5,FALSE)</f>
        <v>47.75</v>
      </c>
      <c r="H22" s="88">
        <f>G22/'Preços de Referência'!$O$30</f>
        <v>0.26165817305057809</v>
      </c>
      <c r="I22" s="91">
        <v>0</v>
      </c>
      <c r="J22" s="99"/>
    </row>
    <row r="23" spans="1:10" ht="15.75" hidden="1">
      <c r="A23" s="129" t="s">
        <v>35</v>
      </c>
      <c r="B23" s="108"/>
      <c r="C23" s="127" t="s">
        <v>36</v>
      </c>
      <c r="D23" s="108"/>
      <c r="E23" s="108"/>
      <c r="F23" s="108"/>
      <c r="G23" s="108"/>
      <c r="H23" s="124"/>
      <c r="I23" s="101"/>
      <c r="J23" s="99"/>
    </row>
    <row r="24" spans="1:10" ht="15.75" hidden="1">
      <c r="A24" s="106"/>
      <c r="B24" s="80" t="s">
        <v>37</v>
      </c>
      <c r="C24" s="125" t="str">
        <f>VLOOKUP(B24,'Preços de Referência'!$F$74:$J$83,2,FALSE)</f>
        <v>Escritório</v>
      </c>
      <c r="D24" s="80" t="str">
        <f>VLOOKUP(B24,'Preços de Referência'!$F$74:$J$83,4,FALSE)</f>
        <v>ocupante x mês</v>
      </c>
      <c r="E24" s="81">
        <v>6</v>
      </c>
      <c r="F24" s="81">
        <f>'Preços de Referência'!$O$28*5</f>
        <v>36.664999999999999</v>
      </c>
      <c r="G24" s="89">
        <f>VLOOKUP(B24,'Preços de Referência'!$F$74:$J$83,5,FALSE)</f>
        <v>490.4</v>
      </c>
      <c r="H24" s="88">
        <f>G24/'Preços de Referência'!$O$30</f>
        <v>2.6872705353718009</v>
      </c>
      <c r="I24" s="91">
        <f>H24*F24*E24</f>
        <v>591.17264507644245</v>
      </c>
      <c r="J24" s="99"/>
    </row>
    <row r="25" spans="1:10" ht="15.75" hidden="1">
      <c r="A25" s="129" t="s">
        <v>38</v>
      </c>
      <c r="B25" s="108"/>
      <c r="C25" s="127" t="s">
        <v>39</v>
      </c>
      <c r="D25" s="108"/>
      <c r="E25" s="108"/>
      <c r="F25" s="108"/>
      <c r="G25" s="108"/>
      <c r="H25" s="124"/>
      <c r="I25" s="101"/>
      <c r="J25" s="99"/>
    </row>
    <row r="26" spans="1:10" ht="15.75" hidden="1">
      <c r="A26" s="106"/>
      <c r="B26" s="80" t="s">
        <v>40</v>
      </c>
      <c r="C26" s="125" t="str">
        <f>VLOOKUP(B26,'Preços de Referência'!$F$74:$J$83,2,FALSE)</f>
        <v>Escritório</v>
      </c>
      <c r="D26" s="80" t="str">
        <f>VLOOKUP(B26,'Preços de Referência'!$F$74:$J$83,4,FALSE)</f>
        <v>ocupante x mês</v>
      </c>
      <c r="E26" s="81">
        <v>6</v>
      </c>
      <c r="F26" s="81">
        <f>'Preços de Referência'!$O$28*5</f>
        <v>36.664999999999999</v>
      </c>
      <c r="G26" s="89">
        <f>VLOOKUP(B26,'Preços de Referência'!$F$74:$J$83,5,FALSE)</f>
        <v>135.22</v>
      </c>
      <c r="H26" s="88">
        <f>G26/'Preços de Referência'!$O$30</f>
        <v>0.74097210806071556</v>
      </c>
      <c r="I26" s="91">
        <f>H26*F26*E26</f>
        <v>163.00645405227681</v>
      </c>
      <c r="J26" s="99"/>
    </row>
    <row r="27" spans="1:10" ht="15.75">
      <c r="A27" s="160" t="s">
        <v>24</v>
      </c>
      <c r="B27" s="161"/>
      <c r="C27" s="162" t="s">
        <v>360</v>
      </c>
      <c r="D27" s="161"/>
      <c r="E27" s="161"/>
      <c r="F27" s="161"/>
      <c r="G27" s="161"/>
      <c r="H27" s="161"/>
      <c r="I27" s="163">
        <f>SUM(I28:I29)</f>
        <v>20043.269</v>
      </c>
    </row>
    <row r="28" spans="1:10" ht="28.5">
      <c r="A28" s="164"/>
      <c r="B28" s="169" t="s">
        <v>198</v>
      </c>
      <c r="C28" s="165" t="str">
        <f>VLOOKUP(B28,'Preços de Referência'!$P$69:$W$70,2,FALSE)</f>
        <v>DIÁRIA (CONF. DECRETO 11.117 PR - CUSTO MEDIANO</v>
      </c>
      <c r="D28" s="134" t="s">
        <v>122</v>
      </c>
      <c r="E28" s="135">
        <v>5</v>
      </c>
      <c r="F28" s="135">
        <v>7</v>
      </c>
      <c r="G28" s="330">
        <f>VLOOKUP(B28,'Preços de Referência'!$P$69:$W$70,6,FALSE)</f>
        <v>380</v>
      </c>
      <c r="H28" s="167"/>
      <c r="I28" s="168">
        <f>E28*F28*G28</f>
        <v>13300</v>
      </c>
    </row>
    <row r="29" spans="1:10" ht="28.5">
      <c r="A29" s="164"/>
      <c r="B29" s="169" t="s">
        <v>194</v>
      </c>
      <c r="C29" s="165" t="str">
        <f>VLOOKUP(B29,'Preços de Referência'!$P$69:$W$70,2,FALSE)</f>
        <v>PASSAGEM AÉREA - DESTINO NACIONAL (Cotação JUL/24)*</v>
      </c>
      <c r="D29" s="134" t="s">
        <v>122</v>
      </c>
      <c r="E29" s="135">
        <v>5</v>
      </c>
      <c r="F29" s="135">
        <v>1</v>
      </c>
      <c r="G29" s="330">
        <f>VLOOKUP(B29,'Preços de Referência'!$P$69:$W$70,6,FALSE)</f>
        <v>1348.6538</v>
      </c>
      <c r="H29" s="167"/>
      <c r="I29" s="168">
        <f>E29*F29*G29</f>
        <v>6743.2690000000002</v>
      </c>
    </row>
    <row r="30" spans="1:10" ht="15.75" customHeight="1">
      <c r="A30" s="359"/>
      <c r="B30" s="193"/>
      <c r="C30" s="82"/>
      <c r="D30" s="82"/>
      <c r="E30" s="82"/>
      <c r="F30" s="82"/>
      <c r="G30" s="82"/>
      <c r="H30" s="473" t="s">
        <v>41</v>
      </c>
      <c r="I30" s="92">
        <f>I7+I17+I20+I15+I27</f>
        <v>176027.30632519998</v>
      </c>
      <c r="J30" s="99"/>
    </row>
    <row r="31" spans="1:10" ht="16.5" thickBot="1">
      <c r="A31" s="93"/>
      <c r="B31" s="83"/>
      <c r="C31" s="83"/>
      <c r="D31" s="83"/>
      <c r="E31" s="83"/>
      <c r="F31" s="83"/>
      <c r="G31" s="474" t="s">
        <v>42</v>
      </c>
      <c r="H31" s="252">
        <f>BDI!$D$17</f>
        <v>0.44579999999999997</v>
      </c>
      <c r="I31" s="94">
        <f>I30*H31</f>
        <v>78472.973159774148</v>
      </c>
      <c r="J31" s="99"/>
    </row>
    <row r="32" spans="1:10" ht="26.25" thickBot="1">
      <c r="A32" s="476"/>
      <c r="B32" s="477"/>
      <c r="C32" s="477"/>
      <c r="D32" s="477"/>
      <c r="E32" s="477"/>
      <c r="F32" s="477"/>
      <c r="G32" s="478"/>
      <c r="H32" s="479" t="s">
        <v>524</v>
      </c>
      <c r="I32" s="480">
        <f>1.07765625</f>
        <v>1.07765625</v>
      </c>
    </row>
    <row r="33" spans="1:10" ht="16.5" customHeight="1" thickBot="1">
      <c r="A33" s="360"/>
      <c r="B33" s="194"/>
      <c r="C33" s="194"/>
      <c r="D33" s="95"/>
      <c r="E33" s="95"/>
      <c r="F33" s="95"/>
      <c r="G33" s="95"/>
      <c r="H33" s="181" t="s">
        <v>43</v>
      </c>
      <c r="I33" s="96">
        <f>(I30+I31)*I32</f>
        <v>274263.81681372918</v>
      </c>
      <c r="J33" s="99"/>
    </row>
    <row r="34" spans="1:10" ht="15.75">
      <c r="A34" s="170"/>
      <c r="B34" s="171"/>
      <c r="C34" s="171"/>
      <c r="D34" s="171"/>
      <c r="E34" s="171"/>
      <c r="F34" s="171"/>
      <c r="G34" s="171"/>
      <c r="H34" s="171"/>
      <c r="I34" s="172"/>
      <c r="J34" s="99"/>
    </row>
    <row r="35" spans="1:10" ht="15.75">
      <c r="A35" s="173"/>
      <c r="F35" s="585" t="s">
        <v>44</v>
      </c>
      <c r="G35" s="586"/>
      <c r="H35" s="586"/>
      <c r="I35" s="594"/>
      <c r="J35" s="99"/>
    </row>
    <row r="36" spans="1:10" ht="15.75">
      <c r="A36" s="173"/>
      <c r="F36" s="109" t="str">
        <f>A2</f>
        <v>Bloco 1</v>
      </c>
      <c r="G36" s="109" t="s">
        <v>45</v>
      </c>
      <c r="H36" s="109" t="s">
        <v>46</v>
      </c>
      <c r="I36" s="174" t="s">
        <v>47</v>
      </c>
      <c r="J36" s="99"/>
    </row>
    <row r="37" spans="1:10" ht="16.5" thickBot="1">
      <c r="A37" s="175"/>
      <c r="B37" s="176"/>
      <c r="C37" s="176"/>
      <c r="D37" s="176"/>
      <c r="E37" s="176"/>
      <c r="F37" s="177">
        <f>A3</f>
        <v>7</v>
      </c>
      <c r="G37" s="177">
        <v>1</v>
      </c>
      <c r="H37" s="178">
        <f>I33</f>
        <v>274263.81681372918</v>
      </c>
      <c r="I37" s="179">
        <f>G37*H37</f>
        <v>274263.81681372918</v>
      </c>
      <c r="J37" s="99"/>
    </row>
  </sheetData>
  <mergeCells count="7">
    <mergeCell ref="F35:I35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4D8E5-F509-442B-A94F-908D4BFE0C2D}">
  <sheetPr>
    <tabColor theme="9" tint="0.39997558519241921"/>
    <pageSetUpPr fitToPage="1"/>
  </sheetPr>
  <dimension ref="A1:J39"/>
  <sheetViews>
    <sheetView showGridLines="0" zoomScale="80" zoomScaleNormal="80" workbookViewId="0">
      <selection activeCell="G39" sqref="G39:I39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7.7109375" style="3" bestFit="1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PRODUTOS!A11</f>
        <v>8</v>
      </c>
      <c r="B3" s="118" t="str">
        <f>PRODUTOS!B11</f>
        <v>ESTUDO DE IMPACTO AMBIENTAL/RELATÓRIO DE IMPACTO AMBIENTAL – EIA/RIMA – EMPREENDIMENTOS LINEARES</v>
      </c>
      <c r="C3" s="119"/>
      <c r="D3" s="120"/>
      <c r="E3" s="119" t="str">
        <f>PRODUTOS!C11</f>
        <v>EIA.LINEAR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SUM(I8:I16)</f>
        <v>494113.1513430872</v>
      </c>
      <c r="J7" s="99"/>
    </row>
    <row r="8" spans="1:10" ht="15.75">
      <c r="A8" s="106"/>
      <c r="B8" s="80" t="s">
        <v>186</v>
      </c>
      <c r="C8" s="125" t="str">
        <f>VLOOKUP(B8,'Preços de Referência'!$A$5:$C$103,2,FALSE)</f>
        <v xml:space="preserve">Coordenador ambiental </v>
      </c>
      <c r="D8" s="134" t="s">
        <v>15</v>
      </c>
      <c r="E8" s="182">
        <v>1</v>
      </c>
      <c r="F8" s="159">
        <f>'Preços de Referência'!$O$30*3</f>
        <v>547.47</v>
      </c>
      <c r="G8" s="88">
        <f>VLOOKUP(B8,'Preços de Referência'!$A$5:$C$103,3,FALSE)</f>
        <v>34290.74</v>
      </c>
      <c r="H8" s="88">
        <f>G8/'Preços de Referência'!$O$30</f>
        <v>187.9047619047619</v>
      </c>
      <c r="I8" s="91">
        <f t="shared" ref="I8:I16" si="0">H8*F8*E8</f>
        <v>102872.22</v>
      </c>
      <c r="J8" s="185"/>
    </row>
    <row r="9" spans="1:10" ht="15.75">
      <c r="A9" s="106"/>
      <c r="B9" s="80" t="s">
        <v>167</v>
      </c>
      <c r="C9" s="125" t="str">
        <f>VLOOKUP(B9,'Preços de Referência'!$A$5:$C$103,2,FALSE)</f>
        <v>Auxiliar</v>
      </c>
      <c r="D9" s="134" t="s">
        <v>15</v>
      </c>
      <c r="E9" s="182">
        <f>3+1+2</f>
        <v>6</v>
      </c>
      <c r="F9" s="159">
        <f>'Preços de Referência'!$O$28*((20*3)+(10*3))/6</f>
        <v>109.995</v>
      </c>
      <c r="G9" s="88">
        <f>VLOOKUP(B9,'Preços de Referência'!$A$5:$C$103,3,FALSE)</f>
        <v>3986.88</v>
      </c>
      <c r="H9" s="88">
        <f>G9/'Preços de Referência'!$O$30</f>
        <v>21.847114910406049</v>
      </c>
      <c r="I9" s="91">
        <f t="shared" si="0"/>
        <v>14418.440427420679</v>
      </c>
      <c r="J9" s="185"/>
    </row>
    <row r="10" spans="1:10" ht="15.75">
      <c r="A10" s="106"/>
      <c r="B10" s="80" t="s">
        <v>14</v>
      </c>
      <c r="C10" s="125" t="str">
        <f>VLOOKUP(B10,'Preços de Referência'!$A$5:$C$103,2,FALSE)</f>
        <v>Biólogo pleno</v>
      </c>
      <c r="D10" s="134" t="s">
        <v>15</v>
      </c>
      <c r="E10" s="182">
        <v>4</v>
      </c>
      <c r="F10" s="159">
        <f>'Preços de Referência'!$O$30*3</f>
        <v>547.47</v>
      </c>
      <c r="G10" s="88">
        <f>VLOOKUP(B10,'Preços de Referência'!$A$5:$C$103,3,FALSE)</f>
        <v>8782.2099999999991</v>
      </c>
      <c r="H10" s="88">
        <f>G10/'Preços de Referência'!$O$30</f>
        <v>48.124335580031776</v>
      </c>
      <c r="I10" s="91">
        <f t="shared" si="0"/>
        <v>105386.51999999999</v>
      </c>
      <c r="J10" s="185"/>
    </row>
    <row r="11" spans="1:10" ht="15.75">
      <c r="A11" s="106"/>
      <c r="B11" s="80" t="s">
        <v>234</v>
      </c>
      <c r="C11" s="125" t="str">
        <f>VLOOKUP(B11,'Preços de Referência'!$A$5:$C$103,2,FALSE)</f>
        <v>Engenheiro florestal sênior</v>
      </c>
      <c r="D11" s="134" t="s">
        <v>15</v>
      </c>
      <c r="E11" s="182">
        <v>1</v>
      </c>
      <c r="F11" s="159">
        <f>'Preços de Referência'!$O$30*2</f>
        <v>364.98</v>
      </c>
      <c r="G11" s="88">
        <f>VLOOKUP(B11,'Preços de Referência'!$A$5:$C$103,3,FALSE)</f>
        <v>30388.799999999999</v>
      </c>
      <c r="H11" s="88">
        <f>G11/'Preços de Referência'!$O$30</f>
        <v>166.52309715600853</v>
      </c>
      <c r="I11" s="91">
        <f t="shared" si="0"/>
        <v>60777.599999999999</v>
      </c>
      <c r="J11" s="185"/>
    </row>
    <row r="12" spans="1:10" ht="15.75">
      <c r="A12" s="106"/>
      <c r="B12" s="80" t="s">
        <v>242</v>
      </c>
      <c r="C12" s="125" t="str">
        <f>VLOOKUP(B12,'Preços de Referência'!$A$5:$C$103,2,FALSE)</f>
        <v>Geólogo sênior</v>
      </c>
      <c r="D12" s="134" t="s">
        <v>15</v>
      </c>
      <c r="E12" s="182">
        <v>1</v>
      </c>
      <c r="F12" s="159">
        <f>'Preços de Referência'!$O$28*45</f>
        <v>329.98500000000001</v>
      </c>
      <c r="G12" s="88">
        <f>VLOOKUP(B12,'Preços de Referência'!$A$5:$C$103,3,FALSE)</f>
        <v>25667.7</v>
      </c>
      <c r="H12" s="88">
        <f>G12/'Preços de Referência'!$O$30</f>
        <v>140.65263850073976</v>
      </c>
      <c r="I12" s="91">
        <f t="shared" si="0"/>
        <v>46413.260915666608</v>
      </c>
      <c r="J12" s="185"/>
    </row>
    <row r="13" spans="1:10" ht="15.75">
      <c r="A13" s="106"/>
      <c r="B13" s="80" t="s">
        <v>238</v>
      </c>
      <c r="C13" s="125" t="str">
        <f>VLOOKUP(B13,'Preços de Referência'!$A$5:$C$103,2,FALSE)</f>
        <v>Geógrafo sênior</v>
      </c>
      <c r="D13" s="134" t="s">
        <v>15</v>
      </c>
      <c r="E13" s="182">
        <v>1</v>
      </c>
      <c r="F13" s="159">
        <f>'Preços de Referência'!$O$30*2</f>
        <v>364.98</v>
      </c>
      <c r="G13" s="88">
        <f>VLOOKUP(B13,'Preços de Referência'!$A$5:$C$103,3,FALSE)</f>
        <v>18696.3</v>
      </c>
      <c r="H13" s="88">
        <f>G13/'Preços de Referência'!$O$30</f>
        <v>102.45109321058688</v>
      </c>
      <c r="I13" s="91">
        <f t="shared" si="0"/>
        <v>37392.6</v>
      </c>
      <c r="J13" s="185"/>
    </row>
    <row r="14" spans="1:10" ht="15.75">
      <c r="A14" s="106"/>
      <c r="B14" s="80" t="s">
        <v>17</v>
      </c>
      <c r="C14" s="125" t="str">
        <f>VLOOKUP(B14,'Preços de Referência'!$A$5:$C$103,2,FALSE)</f>
        <v>Técnico em geoprocessamento</v>
      </c>
      <c r="D14" s="134" t="s">
        <v>15</v>
      </c>
      <c r="E14" s="182">
        <v>1</v>
      </c>
      <c r="F14" s="159">
        <f>'Preços de Referência'!$O$30*1</f>
        <v>182.49</v>
      </c>
      <c r="G14" s="88">
        <f>VLOOKUP(B14,'Preços de Referência'!$A$5:$C$103,3,FALSE)</f>
        <v>6120.29</v>
      </c>
      <c r="H14" s="88">
        <f>G14/'Preços de Referência'!$O$30</f>
        <v>33.537673297166968</v>
      </c>
      <c r="I14" s="91">
        <f t="shared" si="0"/>
        <v>6120.29</v>
      </c>
      <c r="J14" s="185"/>
    </row>
    <row r="15" spans="1:10" ht="15.75">
      <c r="A15" s="106"/>
      <c r="B15" s="80" t="s">
        <v>213</v>
      </c>
      <c r="C15" s="125" t="str">
        <f>VLOOKUP(B15,'Preços de Referência'!$A$5:$C$103,2,FALSE)</f>
        <v>Engenheiro ambiental sênior</v>
      </c>
      <c r="D15" s="134" t="s">
        <v>15</v>
      </c>
      <c r="E15" s="182">
        <v>1</v>
      </c>
      <c r="F15" s="159">
        <f>'Preços de Referência'!$O$30*2</f>
        <v>364.98</v>
      </c>
      <c r="G15" s="88">
        <f>VLOOKUP(B15,'Preços de Referência'!$A$5:$C$103,3,FALSE)</f>
        <v>27331.69</v>
      </c>
      <c r="H15" s="88">
        <f>G15/'Preços de Referência'!$O$30</f>
        <v>149.77089155570167</v>
      </c>
      <c r="I15" s="91">
        <f t="shared" si="0"/>
        <v>54663.38</v>
      </c>
      <c r="J15" s="185"/>
    </row>
    <row r="16" spans="1:10" ht="15.75">
      <c r="A16" s="106"/>
      <c r="B16" s="80" t="s">
        <v>302</v>
      </c>
      <c r="C16" s="125" t="str">
        <f>VLOOKUP(B16,'Preços de Referência'!$A$5:$C$103,2,FALSE)</f>
        <v>Sociólogo sênior</v>
      </c>
      <c r="D16" s="134" t="s">
        <v>15</v>
      </c>
      <c r="E16" s="182">
        <v>2</v>
      </c>
      <c r="F16" s="159">
        <f>'Preços de Referência'!$O$30*2</f>
        <v>364.98</v>
      </c>
      <c r="G16" s="88">
        <f>VLOOKUP(B16,'Preços de Referência'!$A$5:$C$103,3,FALSE)</f>
        <v>16517.21</v>
      </c>
      <c r="H16" s="88">
        <f>G16/'Preços de Referência'!$O$30</f>
        <v>90.510219738067832</v>
      </c>
      <c r="I16" s="91">
        <f t="shared" si="0"/>
        <v>66068.84</v>
      </c>
      <c r="J16" s="185"/>
    </row>
    <row r="17" spans="1:10" ht="15.75">
      <c r="A17" s="128" t="s">
        <v>21</v>
      </c>
      <c r="B17" s="107"/>
      <c r="C17" s="126" t="s">
        <v>22</v>
      </c>
      <c r="D17" s="107"/>
      <c r="E17" s="107"/>
      <c r="F17" s="107"/>
      <c r="G17" s="107"/>
      <c r="H17" s="123"/>
      <c r="I17" s="100">
        <f>I18</f>
        <v>19950.717108000001</v>
      </c>
      <c r="J17" s="99"/>
    </row>
    <row r="18" spans="1:10" ht="28.5" customHeight="1">
      <c r="A18" s="106"/>
      <c r="B18" s="84" t="s">
        <v>23</v>
      </c>
      <c r="C18" s="125" t="str">
        <f>VLOOKUP(B18,'Preços de Referência'!$E$4:$P$5,2,FALSE)</f>
        <v>Veículo leve picape 4 x 4 com capacidade de 1,10 t - 147 kW (sem motorista)</v>
      </c>
      <c r="D18" s="134" t="s">
        <v>15</v>
      </c>
      <c r="E18" s="81">
        <v>4</v>
      </c>
      <c r="F18" s="159">
        <f>'Preços de Referência'!$O$28*15</f>
        <v>109.995</v>
      </c>
      <c r="G18" s="88">
        <f>VLOOKUP(B18,'Preços de Referência'!$E$4:$P$5,10,FALSE)</f>
        <v>8274.9513000000006</v>
      </c>
      <c r="H18" s="88">
        <f>VLOOKUP(B18,'Preços de Referência'!$E$4:$P$5,12,FALSE)</f>
        <v>45.3446</v>
      </c>
      <c r="I18" s="91">
        <f>H18*F18*E18</f>
        <v>19950.717108000001</v>
      </c>
      <c r="J18" s="99"/>
    </row>
    <row r="19" spans="1:10" ht="30" hidden="1">
      <c r="A19" s="128" t="s">
        <v>24</v>
      </c>
      <c r="B19" s="107"/>
      <c r="C19" s="126" t="s">
        <v>25</v>
      </c>
      <c r="D19" s="107"/>
      <c r="E19" s="107"/>
      <c r="F19" s="107"/>
      <c r="G19" s="107"/>
      <c r="H19" s="123"/>
      <c r="I19" s="100">
        <v>0</v>
      </c>
      <c r="J19" s="99"/>
    </row>
    <row r="20" spans="1:10" ht="15.75" hidden="1">
      <c r="A20" s="106"/>
      <c r="B20" s="80" t="s">
        <v>26</v>
      </c>
      <c r="C20" s="125" t="s">
        <v>27</v>
      </c>
      <c r="D20" s="134" t="s">
        <v>15</v>
      </c>
      <c r="E20" s="81">
        <v>6</v>
      </c>
      <c r="F20" s="81">
        <f>'Preços de Referência'!$O$28*5</f>
        <v>36.664999999999999</v>
      </c>
      <c r="G20" s="81">
        <v>223.422507</v>
      </c>
      <c r="H20" s="88">
        <v>1.2242999999999999</v>
      </c>
      <c r="I20" s="91">
        <f>H20*F20*E20</f>
        <v>269.33375699999999</v>
      </c>
      <c r="J20" s="99"/>
    </row>
    <row r="21" spans="1:10" ht="28.5" hidden="1">
      <c r="A21" s="106"/>
      <c r="B21" s="80" t="s">
        <v>28</v>
      </c>
      <c r="C21" s="125" t="s">
        <v>29</v>
      </c>
      <c r="D21" s="134" t="s">
        <v>15</v>
      </c>
      <c r="E21" s="81">
        <v>1</v>
      </c>
      <c r="F21" s="81">
        <f>'Preços de Referência'!$O$28*5</f>
        <v>36.664999999999999</v>
      </c>
      <c r="G21" s="81">
        <f>E21*F21</f>
        <v>36.664999999999999</v>
      </c>
      <c r="H21" s="88">
        <v>5.16</v>
      </c>
      <c r="I21" s="91">
        <f>H21*F21*E21</f>
        <v>189.19139999999999</v>
      </c>
      <c r="J21" s="99"/>
    </row>
    <row r="22" spans="1:10" ht="15.75" hidden="1">
      <c r="A22" s="128" t="s">
        <v>30</v>
      </c>
      <c r="B22" s="107"/>
      <c r="C22" s="126" t="s">
        <v>31</v>
      </c>
      <c r="D22" s="107"/>
      <c r="E22" s="107"/>
      <c r="F22" s="107"/>
      <c r="G22" s="107"/>
      <c r="H22" s="123"/>
      <c r="I22" s="100">
        <v>0</v>
      </c>
      <c r="J22" s="99"/>
    </row>
    <row r="23" spans="1:10" ht="15.75" hidden="1">
      <c r="A23" s="129" t="s">
        <v>32</v>
      </c>
      <c r="B23" s="108"/>
      <c r="C23" s="127" t="s">
        <v>33</v>
      </c>
      <c r="D23" s="108"/>
      <c r="E23" s="108"/>
      <c r="F23" s="108"/>
      <c r="G23" s="108"/>
      <c r="H23" s="124"/>
      <c r="I23" s="101"/>
      <c r="J23" s="99"/>
    </row>
    <row r="24" spans="1:10" ht="28.5" hidden="1">
      <c r="A24" s="106"/>
      <c r="B24" s="80" t="s">
        <v>34</v>
      </c>
      <c r="C24" s="125" t="str">
        <f>VLOOKUP(B24,'Preços de Referência'!$F$74:$J$83,2,FALSE)</f>
        <v>Comercial (2,60% do CMCC - SINAPI)</v>
      </c>
      <c r="D24" s="80" t="str">
        <f>VLOOKUP(B24,'Preços de Referência'!$F$74:$J$83,4,FALSE)</f>
        <v>m² x mês</v>
      </c>
      <c r="E24" s="81">
        <f>12.41*6</f>
        <v>74.460000000000008</v>
      </c>
      <c r="F24" s="81">
        <f>'Preços de Referência'!$O$28*5</f>
        <v>36.664999999999999</v>
      </c>
      <c r="G24" s="89">
        <f>VLOOKUP(B24,'Preços de Referência'!$F$74:$J$83,5,FALSE)</f>
        <v>47.75</v>
      </c>
      <c r="H24" s="88">
        <f>G24/'Preços de Referência'!$O$30</f>
        <v>0.26165817305057809</v>
      </c>
      <c r="I24" s="91">
        <v>0</v>
      </c>
      <c r="J24" s="99"/>
    </row>
    <row r="25" spans="1:10" ht="15.75" hidden="1">
      <c r="A25" s="129" t="s">
        <v>35</v>
      </c>
      <c r="B25" s="108"/>
      <c r="C25" s="127" t="s">
        <v>36</v>
      </c>
      <c r="D25" s="108"/>
      <c r="E25" s="108"/>
      <c r="F25" s="108"/>
      <c r="G25" s="108"/>
      <c r="H25" s="124"/>
      <c r="I25" s="101"/>
      <c r="J25" s="99"/>
    </row>
    <row r="26" spans="1:10" ht="15.75" hidden="1">
      <c r="A26" s="106"/>
      <c r="B26" s="80" t="s">
        <v>37</v>
      </c>
      <c r="C26" s="125" t="str">
        <f>VLOOKUP(B26,'Preços de Referência'!$F$74:$J$83,2,FALSE)</f>
        <v>Escritório</v>
      </c>
      <c r="D26" s="80" t="str">
        <f>VLOOKUP(B26,'Preços de Referência'!$F$74:$J$83,4,FALSE)</f>
        <v>ocupante x mês</v>
      </c>
      <c r="E26" s="81">
        <v>6</v>
      </c>
      <c r="F26" s="81">
        <f>'Preços de Referência'!$O$28*5</f>
        <v>36.664999999999999</v>
      </c>
      <c r="G26" s="89">
        <f>VLOOKUP(B26,'Preços de Referência'!$F$74:$J$83,5,FALSE)</f>
        <v>490.4</v>
      </c>
      <c r="H26" s="88">
        <f>G26/'Preços de Referência'!$O$30</f>
        <v>2.6872705353718009</v>
      </c>
      <c r="I26" s="91">
        <f>H26*F26*E26</f>
        <v>591.17264507644245</v>
      </c>
      <c r="J26" s="99"/>
    </row>
    <row r="27" spans="1:10" ht="15.75" hidden="1">
      <c r="A27" s="129" t="s">
        <v>38</v>
      </c>
      <c r="B27" s="108"/>
      <c r="C27" s="127" t="s">
        <v>39</v>
      </c>
      <c r="D27" s="108"/>
      <c r="E27" s="108"/>
      <c r="F27" s="108"/>
      <c r="G27" s="108"/>
      <c r="H27" s="124"/>
      <c r="I27" s="101"/>
      <c r="J27" s="99"/>
    </row>
    <row r="28" spans="1:10" ht="15.75" hidden="1">
      <c r="A28" s="106"/>
      <c r="B28" s="80" t="s">
        <v>40</v>
      </c>
      <c r="C28" s="125" t="str">
        <f>VLOOKUP(B28,'Preços de Referência'!$F$74:$J$83,2,FALSE)</f>
        <v>Escritório</v>
      </c>
      <c r="D28" s="80" t="str">
        <f>VLOOKUP(B28,'Preços de Referência'!$F$74:$J$83,4,FALSE)</f>
        <v>ocupante x mês</v>
      </c>
      <c r="E28" s="81">
        <v>6</v>
      </c>
      <c r="F28" s="81">
        <f>'Preços de Referência'!$O$28*5</f>
        <v>36.664999999999999</v>
      </c>
      <c r="G28" s="89">
        <f>VLOOKUP(B28,'Preços de Referência'!$F$74:$J$83,5,FALSE)</f>
        <v>135.22</v>
      </c>
      <c r="H28" s="88">
        <f>G28/'Preços de Referência'!$O$30</f>
        <v>0.74097210806071556</v>
      </c>
      <c r="I28" s="91">
        <f>H28*F28*E28</f>
        <v>163.00645405227681</v>
      </c>
      <c r="J28" s="99"/>
    </row>
    <row r="29" spans="1:10" ht="15.75">
      <c r="A29" s="160" t="s">
        <v>24</v>
      </c>
      <c r="B29" s="161"/>
      <c r="C29" s="162" t="s">
        <v>360</v>
      </c>
      <c r="D29" s="161"/>
      <c r="E29" s="161"/>
      <c r="F29" s="161"/>
      <c r="G29" s="161"/>
      <c r="H29" s="161"/>
      <c r="I29" s="163">
        <f>SUM(I30:I31)</f>
        <v>95127.114600000001</v>
      </c>
    </row>
    <row r="30" spans="1:10" ht="28.5">
      <c r="A30" s="164"/>
      <c r="B30" s="169" t="s">
        <v>198</v>
      </c>
      <c r="C30" s="165" t="str">
        <f>VLOOKUP(B30,'Preços de Referência'!$P$69:$W$70,2,FALSE)</f>
        <v>DIÁRIA (CONF. DECRETO 11.117 PR - CUSTO MEDIANO</v>
      </c>
      <c r="D30" s="134" t="s">
        <v>122</v>
      </c>
      <c r="E30" s="135">
        <f>13+6</f>
        <v>19</v>
      </c>
      <c r="F30" s="135">
        <v>10</v>
      </c>
      <c r="G30" s="330">
        <f>VLOOKUP(B30,'Preços de Referência'!$P$69:$W$70,6,FALSE)</f>
        <v>380</v>
      </c>
      <c r="H30" s="167"/>
      <c r="I30" s="168">
        <f>E30*F30*G30</f>
        <v>72200</v>
      </c>
    </row>
    <row r="31" spans="1:10" ht="28.5">
      <c r="A31" s="164"/>
      <c r="B31" s="169" t="s">
        <v>194</v>
      </c>
      <c r="C31" s="165" t="str">
        <f>VLOOKUP(B31,'Preços de Referência'!$P$69:$W$70,2,FALSE)</f>
        <v>PASSAGEM AÉREA - DESTINO NACIONAL (Cotação JUL/24)*</v>
      </c>
      <c r="D31" s="134" t="s">
        <v>122</v>
      </c>
      <c r="E31" s="135">
        <f>13+4</f>
        <v>17</v>
      </c>
      <c r="F31" s="135">
        <v>1</v>
      </c>
      <c r="G31" s="330">
        <f>VLOOKUP(B31,'Preços de Referência'!$P$69:$W$70,6,FALSE)</f>
        <v>1348.6538</v>
      </c>
      <c r="H31" s="167"/>
      <c r="I31" s="168">
        <f>E31*F31*G31</f>
        <v>22927.114600000001</v>
      </c>
    </row>
    <row r="32" spans="1:10" ht="15.75">
      <c r="A32" s="359"/>
      <c r="B32" s="193"/>
      <c r="C32" s="82"/>
      <c r="D32" s="82"/>
      <c r="E32" s="82"/>
      <c r="F32" s="82"/>
      <c r="G32" s="82"/>
      <c r="H32" s="473" t="s">
        <v>41</v>
      </c>
      <c r="I32" s="92">
        <f>I7+I19+I22+I17+I29</f>
        <v>609190.98305108724</v>
      </c>
      <c r="J32" s="99"/>
    </row>
    <row r="33" spans="1:10" ht="15.75">
      <c r="A33" s="93"/>
      <c r="B33" s="83"/>
      <c r="C33" s="83"/>
      <c r="D33" s="83"/>
      <c r="E33" s="83"/>
      <c r="F33" s="83"/>
      <c r="G33" s="474" t="s">
        <v>42</v>
      </c>
      <c r="H33" s="252">
        <f>BDI!$D$17</f>
        <v>0.44579999999999997</v>
      </c>
      <c r="I33" s="94">
        <f>I32*H33</f>
        <v>271577.3402441747</v>
      </c>
      <c r="J33" s="99"/>
    </row>
    <row r="34" spans="1:10" ht="16.5" thickBot="1">
      <c r="A34" s="360"/>
      <c r="B34" s="194"/>
      <c r="C34" s="194"/>
      <c r="D34" s="95"/>
      <c r="E34" s="95"/>
      <c r="F34" s="95"/>
      <c r="G34" s="95"/>
      <c r="H34" s="181" t="s">
        <v>496</v>
      </c>
      <c r="I34" s="96">
        <f>I32+I33</f>
        <v>880768.32329526194</v>
      </c>
      <c r="J34" s="99"/>
    </row>
    <row r="35" spans="1:10" ht="26.25" thickBot="1">
      <c r="A35" s="476"/>
      <c r="B35" s="477"/>
      <c r="C35" s="477"/>
      <c r="D35" s="477"/>
      <c r="E35" s="477"/>
      <c r="F35" s="477"/>
      <c r="G35" s="478"/>
      <c r="H35" s="479" t="s">
        <v>524</v>
      </c>
      <c r="I35" s="480">
        <f>1.07765625</f>
        <v>1.07765625</v>
      </c>
    </row>
    <row r="36" spans="1:10" ht="30.75" customHeight="1" thickBot="1">
      <c r="A36" s="597"/>
      <c r="B36" s="598"/>
      <c r="C36" s="598"/>
      <c r="D36" s="95"/>
      <c r="E36" s="95"/>
      <c r="F36" s="95"/>
      <c r="G36" s="95"/>
      <c r="H36" s="181" t="s">
        <v>43</v>
      </c>
      <c r="I36" s="96">
        <f>(I34/200)*I35</f>
        <v>4745.8274420057978</v>
      </c>
      <c r="J36" s="183"/>
    </row>
    <row r="37" spans="1:10" ht="15.75">
      <c r="A37" s="173"/>
      <c r="F37" s="585" t="s">
        <v>44</v>
      </c>
      <c r="G37" s="586"/>
      <c r="H37" s="586"/>
      <c r="I37" s="594"/>
      <c r="J37" s="99"/>
    </row>
    <row r="38" spans="1:10" ht="15.75">
      <c r="A38" s="173"/>
      <c r="F38" s="109" t="str">
        <f>A2</f>
        <v>Bloco 1</v>
      </c>
      <c r="G38" s="109" t="s">
        <v>45</v>
      </c>
      <c r="H38" s="109" t="s">
        <v>46</v>
      </c>
      <c r="I38" s="174" t="s">
        <v>47</v>
      </c>
      <c r="J38" s="99"/>
    </row>
    <row r="39" spans="1:10" ht="16.5" thickBot="1">
      <c r="A39" s="175"/>
      <c r="B39" s="176"/>
      <c r="C39" s="176"/>
      <c r="D39" s="176"/>
      <c r="E39" s="176"/>
      <c r="F39" s="177">
        <f>A3</f>
        <v>8</v>
      </c>
      <c r="G39" s="184">
        <v>3280</v>
      </c>
      <c r="H39" s="178">
        <f>I36</f>
        <v>4745.8274420057978</v>
      </c>
      <c r="I39" s="179">
        <f>G39*H39</f>
        <v>15566314.009779017</v>
      </c>
      <c r="J39" s="99"/>
    </row>
  </sheetData>
  <mergeCells count="8">
    <mergeCell ref="F37:I37"/>
    <mergeCell ref="A36:C36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9090A-A7A3-433D-9C18-23CF7E1A0C56}">
  <sheetPr>
    <tabColor theme="9" tint="0.39997558519241921"/>
    <pageSetUpPr fitToPage="1"/>
  </sheetPr>
  <dimension ref="A1:J37"/>
  <sheetViews>
    <sheetView showGridLines="0" zoomScale="90" zoomScaleNormal="90" workbookViewId="0">
      <selection activeCell="H37" sqref="H37:I37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PRODUTOS!A12</f>
        <v>9</v>
      </c>
      <c r="B3" s="118" t="str">
        <f>PRODUTOS!B12</f>
        <v>ESTUDO AMBIENTAL – EMPREENDIMENTOS LINEARES – TIPO I</v>
      </c>
      <c r="C3" s="119"/>
      <c r="D3" s="120"/>
      <c r="E3" s="119" t="str">
        <f>PRODUTOS!C12</f>
        <v>EA.LINEAR.I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SUM(I8:I15)</f>
        <v>172446.29499999998</v>
      </c>
      <c r="J7" s="99"/>
    </row>
    <row r="8" spans="1:10" ht="15.75">
      <c r="A8" s="106"/>
      <c r="B8" s="80" t="s">
        <v>186</v>
      </c>
      <c r="C8" s="125" t="str">
        <f>VLOOKUP(B8,'Preços de Referência'!$A$5:$C$103,2,FALSE)</f>
        <v xml:space="preserve">Coordenador ambiental </v>
      </c>
      <c r="D8" s="134" t="s">
        <v>15</v>
      </c>
      <c r="E8" s="182">
        <v>1</v>
      </c>
      <c r="F8" s="159">
        <f>'Preços de Referência'!$O$30*1</f>
        <v>182.49</v>
      </c>
      <c r="G8" s="88">
        <f>VLOOKUP(B8,'Preços de Referência'!$A$5:$C$103,3,FALSE)</f>
        <v>34290.74</v>
      </c>
      <c r="H8" s="88">
        <f>G8/'Preços de Referência'!$O$30</f>
        <v>187.9047619047619</v>
      </c>
      <c r="I8" s="91">
        <f t="shared" ref="I8:I15" si="0">H8*F8*E8</f>
        <v>34290.74</v>
      </c>
      <c r="J8" s="99"/>
    </row>
    <row r="9" spans="1:10" ht="15.75">
      <c r="A9" s="106"/>
      <c r="B9" s="80" t="s">
        <v>14</v>
      </c>
      <c r="C9" s="125" t="str">
        <f>VLOOKUP(B9,'Preços de Referência'!$A$5:$C$103,2,FALSE)</f>
        <v>Biólogo pleno</v>
      </c>
      <c r="D9" s="134" t="s">
        <v>15</v>
      </c>
      <c r="E9" s="182">
        <v>1</v>
      </c>
      <c r="F9" s="159">
        <f>'Preços de Referência'!$O$30*1.5</f>
        <v>273.73500000000001</v>
      </c>
      <c r="G9" s="88">
        <f>VLOOKUP(B9,'Preços de Referência'!$A$5:$C$103,3,FALSE)</f>
        <v>8782.2099999999991</v>
      </c>
      <c r="H9" s="88">
        <f>G9/'Preços de Referência'!$O$30</f>
        <v>48.124335580031776</v>
      </c>
      <c r="I9" s="91">
        <f t="shared" si="0"/>
        <v>13173.314999999999</v>
      </c>
      <c r="J9" s="99"/>
    </row>
    <row r="10" spans="1:10" ht="15.75">
      <c r="A10" s="106"/>
      <c r="B10" s="80" t="s">
        <v>16</v>
      </c>
      <c r="C10" s="125" t="str">
        <f>VLOOKUP(B10,'Preços de Referência'!$A$5:$C$103,2,FALSE)</f>
        <v>Engenheiro florestal pleno</v>
      </c>
      <c r="D10" s="134" t="s">
        <v>15</v>
      </c>
      <c r="E10" s="182">
        <v>1</v>
      </c>
      <c r="F10" s="159">
        <f>'Preços de Referência'!$O$30*1.5</f>
        <v>273.73500000000001</v>
      </c>
      <c r="G10" s="88">
        <f>VLOOKUP(B10,'Preços de Referência'!$A$5:$C$103,3,FALSE)</f>
        <v>23790.89</v>
      </c>
      <c r="H10" s="88">
        <f>G10/'Preços de Referência'!$O$30</f>
        <v>130.36818455805798</v>
      </c>
      <c r="I10" s="91">
        <f t="shared" si="0"/>
        <v>35686.334999999999</v>
      </c>
      <c r="J10" s="99"/>
    </row>
    <row r="11" spans="1:10" ht="15.75">
      <c r="A11" s="106"/>
      <c r="B11" s="80" t="s">
        <v>19</v>
      </c>
      <c r="C11" s="125" t="str">
        <f>VLOOKUP(B11,'Preços de Referência'!$A$5:$C$103,2,FALSE)</f>
        <v>Geólogo pleno</v>
      </c>
      <c r="D11" s="134" t="s">
        <v>15</v>
      </c>
      <c r="E11" s="182">
        <v>1</v>
      </c>
      <c r="F11" s="159">
        <f>'Preços de Referência'!$O$30*1</f>
        <v>182.49</v>
      </c>
      <c r="G11" s="88">
        <f>VLOOKUP(B11,'Preços de Referência'!$A$5:$C$103,3,FALSE)</f>
        <v>22360.25</v>
      </c>
      <c r="H11" s="88">
        <f>G11/'Preços de Referência'!$O$30</f>
        <v>122.52863170584689</v>
      </c>
      <c r="I11" s="91">
        <f t="shared" si="0"/>
        <v>22360.25</v>
      </c>
      <c r="J11" s="99"/>
    </row>
    <row r="12" spans="1:10" ht="15.75">
      <c r="A12" s="106"/>
      <c r="B12" s="80" t="s">
        <v>20</v>
      </c>
      <c r="C12" s="125" t="str">
        <f>VLOOKUP(B12,'Preços de Referência'!$A$5:$C$103,2,FALSE)</f>
        <v>Geógrafo pleno</v>
      </c>
      <c r="D12" s="134" t="s">
        <v>15</v>
      </c>
      <c r="E12" s="182">
        <v>1</v>
      </c>
      <c r="F12" s="159">
        <f>'Preços de Referência'!$O$30*1</f>
        <v>182.49</v>
      </c>
      <c r="G12" s="88">
        <f>VLOOKUP(B12,'Preços de Referência'!$A$5:$C$103,3,FALSE)</f>
        <v>10237.07</v>
      </c>
      <c r="H12" s="88">
        <f>G12/'Preços de Referência'!$O$30</f>
        <v>56.09660803331689</v>
      </c>
      <c r="I12" s="91">
        <f t="shared" si="0"/>
        <v>10237.07</v>
      </c>
      <c r="J12" s="99"/>
    </row>
    <row r="13" spans="1:10" ht="15.75">
      <c r="A13" s="106"/>
      <c r="B13" s="80" t="s">
        <v>17</v>
      </c>
      <c r="C13" s="125" t="str">
        <f>VLOOKUP(B13,'Preços de Referência'!$A$5:$C$103,2,FALSE)</f>
        <v>Técnico em geoprocessamento</v>
      </c>
      <c r="D13" s="134" t="s">
        <v>15</v>
      </c>
      <c r="E13" s="182">
        <v>1</v>
      </c>
      <c r="F13" s="159">
        <f>'Preços de Referência'!$O$30/2</f>
        <v>91.245000000000005</v>
      </c>
      <c r="G13" s="88">
        <f>VLOOKUP(B13,'Preços de Referência'!$A$5:$C$103,3,FALSE)</f>
        <v>6120.29</v>
      </c>
      <c r="H13" s="88">
        <f>G13/'Preços de Referência'!$O$30</f>
        <v>33.537673297166968</v>
      </c>
      <c r="I13" s="91">
        <f t="shared" si="0"/>
        <v>3060.145</v>
      </c>
      <c r="J13" s="99"/>
    </row>
    <row r="14" spans="1:10" ht="15.75">
      <c r="A14" s="106"/>
      <c r="B14" s="80" t="s">
        <v>18</v>
      </c>
      <c r="C14" s="125" t="str">
        <f>VLOOKUP(B14,'Preços de Referência'!$A$5:$C$103,2,FALSE)</f>
        <v>Engenheiro ambiental pleno</v>
      </c>
      <c r="D14" s="134" t="s">
        <v>15</v>
      </c>
      <c r="E14" s="182">
        <v>1</v>
      </c>
      <c r="F14" s="159">
        <f>'Preços de Referência'!$O$30*1.5</f>
        <v>273.73500000000001</v>
      </c>
      <c r="G14" s="88">
        <f>VLOOKUP(B14,'Preços de Referência'!$A$5:$C$103,3,FALSE)</f>
        <v>24964.47</v>
      </c>
      <c r="H14" s="88">
        <f>G14/'Preços de Referência'!$O$30</f>
        <v>136.79911228012494</v>
      </c>
      <c r="I14" s="91">
        <f t="shared" si="0"/>
        <v>37446.705000000002</v>
      </c>
      <c r="J14" s="99"/>
    </row>
    <row r="15" spans="1:10" ht="15.75">
      <c r="A15" s="106"/>
      <c r="B15" s="80" t="s">
        <v>301</v>
      </c>
      <c r="C15" s="125" t="str">
        <f>VLOOKUP(B15,'Preços de Referência'!$A$5:$C$103,2,FALSE)</f>
        <v>Sociólogo pleno</v>
      </c>
      <c r="D15" s="134" t="s">
        <v>15</v>
      </c>
      <c r="E15" s="182">
        <v>1</v>
      </c>
      <c r="F15" s="159">
        <f>'Preços de Referência'!$O$30*1.5</f>
        <v>273.73500000000001</v>
      </c>
      <c r="G15" s="88">
        <f>VLOOKUP(B15,'Preços de Referência'!$A$5:$C$103,3,FALSE)</f>
        <v>10794.49</v>
      </c>
      <c r="H15" s="88">
        <f>G15/'Preços de Referência'!$O$30</f>
        <v>59.151131568853081</v>
      </c>
      <c r="I15" s="91">
        <f t="shared" si="0"/>
        <v>16191.734999999999</v>
      </c>
      <c r="J15" s="99"/>
    </row>
    <row r="16" spans="1:10" ht="15.75" hidden="1">
      <c r="A16" s="128" t="s">
        <v>21</v>
      </c>
      <c r="B16" s="107"/>
      <c r="C16" s="126" t="s">
        <v>22</v>
      </c>
      <c r="D16" s="107"/>
      <c r="E16" s="107"/>
      <c r="F16" s="107"/>
      <c r="G16" s="107"/>
      <c r="H16" s="123"/>
      <c r="I16" s="100">
        <v>0</v>
      </c>
      <c r="J16" s="99"/>
    </row>
    <row r="17" spans="1:10" ht="28.5" hidden="1" customHeight="1">
      <c r="A17" s="106"/>
      <c r="B17" s="84" t="s">
        <v>23</v>
      </c>
      <c r="C17" s="125" t="str">
        <f>VLOOKUP(B17,'Preços de Referência'!$E$4:$P$5,2,FALSE)</f>
        <v>Veículo leve picape 4 x 4 com capacidade de 1,10 t - 147 kW (sem motorista)</v>
      </c>
      <c r="D17" s="134" t="s">
        <v>15</v>
      </c>
      <c r="E17" s="81">
        <v>4</v>
      </c>
      <c r="F17" s="159">
        <f>'Preços de Referência'!$O$28*15</f>
        <v>109.995</v>
      </c>
      <c r="G17" s="88">
        <f>VLOOKUP(B17,'Preços de Referência'!$E$4:$P$5,10,FALSE)</f>
        <v>8274.9513000000006</v>
      </c>
      <c r="H17" s="88">
        <f>VLOOKUP(B17,'Preços de Referência'!$E$4:$P$5,12,FALSE)</f>
        <v>45.3446</v>
      </c>
      <c r="I17" s="91">
        <f>H17*F17*E17</f>
        <v>19950.717108000001</v>
      </c>
      <c r="J17" s="99"/>
    </row>
    <row r="18" spans="1:10" ht="30" hidden="1">
      <c r="A18" s="128" t="s">
        <v>24</v>
      </c>
      <c r="B18" s="107"/>
      <c r="C18" s="126" t="s">
        <v>25</v>
      </c>
      <c r="D18" s="107"/>
      <c r="E18" s="107"/>
      <c r="F18" s="107"/>
      <c r="G18" s="107"/>
      <c r="H18" s="123"/>
      <c r="I18" s="100">
        <v>0</v>
      </c>
      <c r="J18" s="99"/>
    </row>
    <row r="19" spans="1:10" ht="15.75" hidden="1">
      <c r="A19" s="106"/>
      <c r="B19" s="80" t="s">
        <v>26</v>
      </c>
      <c r="C19" s="125" t="s">
        <v>27</v>
      </c>
      <c r="D19" s="134" t="s">
        <v>15</v>
      </c>
      <c r="E19" s="81">
        <v>6</v>
      </c>
      <c r="F19" s="81">
        <f>'Preços de Referência'!$O$28*5</f>
        <v>36.664999999999999</v>
      </c>
      <c r="G19" s="81">
        <v>223.422507</v>
      </c>
      <c r="H19" s="88">
        <v>1.2242999999999999</v>
      </c>
      <c r="I19" s="91">
        <f>H19*F19*E19</f>
        <v>269.33375699999999</v>
      </c>
      <c r="J19" s="99"/>
    </row>
    <row r="20" spans="1:10" ht="15.75" hidden="1">
      <c r="A20" s="106"/>
      <c r="B20" s="80" t="s">
        <v>28</v>
      </c>
      <c r="C20" s="125" t="s">
        <v>29</v>
      </c>
      <c r="D20" s="134" t="s">
        <v>15</v>
      </c>
      <c r="E20" s="81">
        <v>1</v>
      </c>
      <c r="F20" s="81">
        <f>'Preços de Referência'!$O$28*5</f>
        <v>36.664999999999999</v>
      </c>
      <c r="G20" s="81">
        <f>E20*F20</f>
        <v>36.664999999999999</v>
      </c>
      <c r="H20" s="88">
        <v>5.16</v>
      </c>
      <c r="I20" s="91">
        <f>H20*F20*E20</f>
        <v>189.19139999999999</v>
      </c>
      <c r="J20" s="99"/>
    </row>
    <row r="21" spans="1:10" ht="15.75" hidden="1">
      <c r="A21" s="128" t="s">
        <v>30</v>
      </c>
      <c r="B21" s="107"/>
      <c r="C21" s="126" t="s">
        <v>31</v>
      </c>
      <c r="D21" s="107"/>
      <c r="E21" s="107"/>
      <c r="F21" s="107"/>
      <c r="G21" s="107"/>
      <c r="H21" s="123"/>
      <c r="I21" s="100">
        <v>0</v>
      </c>
      <c r="J21" s="99"/>
    </row>
    <row r="22" spans="1:10" ht="15.75" hidden="1">
      <c r="A22" s="129" t="s">
        <v>32</v>
      </c>
      <c r="B22" s="108"/>
      <c r="C22" s="127" t="s">
        <v>33</v>
      </c>
      <c r="D22" s="108"/>
      <c r="E22" s="108"/>
      <c r="F22" s="108"/>
      <c r="G22" s="108"/>
      <c r="H22" s="124"/>
      <c r="I22" s="101"/>
      <c r="J22" s="99"/>
    </row>
    <row r="23" spans="1:10" ht="28.5" hidden="1">
      <c r="A23" s="106"/>
      <c r="B23" s="80" t="s">
        <v>34</v>
      </c>
      <c r="C23" s="125" t="str">
        <f>VLOOKUP(B23,'Preços de Referência'!$F$74:$J$83,2,FALSE)</f>
        <v>Comercial (2,60% do CMCC - SINAPI)</v>
      </c>
      <c r="D23" s="80" t="str">
        <f>VLOOKUP(B23,'Preços de Referência'!$F$74:$J$83,4,FALSE)</f>
        <v>m² x mês</v>
      </c>
      <c r="E23" s="81">
        <f>12.41*6</f>
        <v>74.460000000000008</v>
      </c>
      <c r="F23" s="81">
        <f>'Preços de Referência'!$O$28*5</f>
        <v>36.664999999999999</v>
      </c>
      <c r="G23" s="89">
        <f>VLOOKUP(B23,'Preços de Referência'!$F$74:$J$83,5,FALSE)</f>
        <v>47.75</v>
      </c>
      <c r="H23" s="88">
        <f>G23/'Preços de Referência'!$O$30</f>
        <v>0.26165817305057809</v>
      </c>
      <c r="I23" s="91">
        <v>0</v>
      </c>
      <c r="J23" s="99"/>
    </row>
    <row r="24" spans="1:10" ht="15.75" hidden="1">
      <c r="A24" s="129" t="s">
        <v>35</v>
      </c>
      <c r="B24" s="108"/>
      <c r="C24" s="127" t="s">
        <v>36</v>
      </c>
      <c r="D24" s="108"/>
      <c r="E24" s="108"/>
      <c r="F24" s="108"/>
      <c r="G24" s="108"/>
      <c r="H24" s="124"/>
      <c r="I24" s="101"/>
      <c r="J24" s="99"/>
    </row>
    <row r="25" spans="1:10" ht="15.75" hidden="1">
      <c r="A25" s="106"/>
      <c r="B25" s="80" t="s">
        <v>37</v>
      </c>
      <c r="C25" s="125" t="str">
        <f>VLOOKUP(B25,'Preços de Referência'!$F$74:$J$83,2,FALSE)</f>
        <v>Escritório</v>
      </c>
      <c r="D25" s="80" t="str">
        <f>VLOOKUP(B25,'Preços de Referência'!$F$74:$J$83,4,FALSE)</f>
        <v>ocupante x mês</v>
      </c>
      <c r="E25" s="81">
        <v>6</v>
      </c>
      <c r="F25" s="81">
        <f>'Preços de Referência'!$O$28*5</f>
        <v>36.664999999999999</v>
      </c>
      <c r="G25" s="89">
        <f>VLOOKUP(B25,'Preços de Referência'!$F$74:$J$83,5,FALSE)</f>
        <v>490.4</v>
      </c>
      <c r="H25" s="88">
        <f>G25/'Preços de Referência'!$O$30</f>
        <v>2.6872705353718009</v>
      </c>
      <c r="I25" s="91">
        <f>H25*F25*E25</f>
        <v>591.17264507644245</v>
      </c>
      <c r="J25" s="99"/>
    </row>
    <row r="26" spans="1:10" ht="15.75" hidden="1">
      <c r="A26" s="129" t="s">
        <v>38</v>
      </c>
      <c r="B26" s="108"/>
      <c r="C26" s="127" t="s">
        <v>39</v>
      </c>
      <c r="D26" s="108"/>
      <c r="E26" s="108"/>
      <c r="F26" s="108"/>
      <c r="G26" s="108"/>
      <c r="H26" s="124"/>
      <c r="I26" s="101"/>
      <c r="J26" s="99"/>
    </row>
    <row r="27" spans="1:10" ht="15.75" hidden="1">
      <c r="A27" s="106"/>
      <c r="B27" s="80" t="s">
        <v>40</v>
      </c>
      <c r="C27" s="125" t="str">
        <f>VLOOKUP(B27,'Preços de Referência'!$F$74:$J$83,2,FALSE)</f>
        <v>Escritório</v>
      </c>
      <c r="D27" s="80" t="str">
        <f>VLOOKUP(B27,'Preços de Referência'!$F$74:$J$83,4,FALSE)</f>
        <v>ocupante x mês</v>
      </c>
      <c r="E27" s="81">
        <v>6</v>
      </c>
      <c r="F27" s="81">
        <f>'Preços de Referência'!$O$28*5</f>
        <v>36.664999999999999</v>
      </c>
      <c r="G27" s="89">
        <f>VLOOKUP(B27,'Preços de Referência'!$F$74:$J$83,5,FALSE)</f>
        <v>135.22</v>
      </c>
      <c r="H27" s="88">
        <f>G27/'Preços de Referência'!$O$30</f>
        <v>0.74097210806071556</v>
      </c>
      <c r="I27" s="91">
        <f>H27*F27*E27</f>
        <v>163.00645405227681</v>
      </c>
      <c r="J27" s="99"/>
    </row>
    <row r="28" spans="1:10" ht="15.75" hidden="1">
      <c r="A28" s="160" t="s">
        <v>361</v>
      </c>
      <c r="B28" s="161"/>
      <c r="C28" s="162" t="s">
        <v>360</v>
      </c>
      <c r="D28" s="161"/>
      <c r="E28" s="161"/>
      <c r="F28" s="161"/>
      <c r="G28" s="161"/>
      <c r="H28" s="161"/>
      <c r="I28" s="163">
        <v>0</v>
      </c>
      <c r="J28" s="99"/>
    </row>
    <row r="29" spans="1:10" ht="42.75" hidden="1">
      <c r="A29" s="164"/>
      <c r="B29" s="169" t="s">
        <v>198</v>
      </c>
      <c r="C29" s="165" t="s">
        <v>199</v>
      </c>
      <c r="D29" s="134" t="s">
        <v>122</v>
      </c>
      <c r="E29" s="135">
        <f>13+6</f>
        <v>19</v>
      </c>
      <c r="F29" s="135">
        <v>10</v>
      </c>
      <c r="G29" s="166">
        <v>341.02</v>
      </c>
      <c r="H29" s="167"/>
      <c r="I29" s="168">
        <f>E29*F29*G29</f>
        <v>64793.799999999996</v>
      </c>
      <c r="J29" s="99"/>
    </row>
    <row r="30" spans="1:10" ht="28.5" hidden="1">
      <c r="A30" s="164"/>
      <c r="B30" s="169" t="s">
        <v>194</v>
      </c>
      <c r="C30" s="165" t="s">
        <v>195</v>
      </c>
      <c r="D30" s="134" t="s">
        <v>122</v>
      </c>
      <c r="E30" s="135">
        <f>13+4</f>
        <v>17</v>
      </c>
      <c r="F30" s="135">
        <v>2</v>
      </c>
      <c r="G30" s="166">
        <v>1189.4070999999999</v>
      </c>
      <c r="H30" s="167"/>
      <c r="I30" s="168">
        <f>E30*F30*G30</f>
        <v>40439.841399999998</v>
      </c>
      <c r="J30" s="99"/>
    </row>
    <row r="31" spans="1:10" ht="15.75">
      <c r="A31" s="359"/>
      <c r="B31" s="193"/>
      <c r="C31" s="82"/>
      <c r="D31" s="82"/>
      <c r="E31" s="82"/>
      <c r="F31" s="82"/>
      <c r="G31" s="82"/>
      <c r="H31" s="473" t="s">
        <v>41</v>
      </c>
      <c r="I31" s="92">
        <f>I7+I18+I21+I16+I28</f>
        <v>172446.29499999998</v>
      </c>
      <c r="J31" s="99"/>
    </row>
    <row r="32" spans="1:10" ht="15.75">
      <c r="A32" s="93"/>
      <c r="B32" s="83"/>
      <c r="C32" s="83"/>
      <c r="D32" s="83"/>
      <c r="E32" s="83"/>
      <c r="F32" s="83"/>
      <c r="G32" s="474" t="s">
        <v>42</v>
      </c>
      <c r="H32" s="252">
        <f>BDI!$D$17</f>
        <v>0.44579999999999997</v>
      </c>
      <c r="I32" s="94">
        <f>I31*H32</f>
        <v>76876.558310999986</v>
      </c>
      <c r="J32" s="99"/>
    </row>
    <row r="33" spans="1:10" ht="16.5" thickBot="1">
      <c r="A33" s="360"/>
      <c r="B33" s="194"/>
      <c r="C33" s="194"/>
      <c r="D33" s="95"/>
      <c r="E33" s="95"/>
      <c r="F33" s="95"/>
      <c r="G33" s="95"/>
      <c r="H33" s="181" t="s">
        <v>496</v>
      </c>
      <c r="I33" s="96">
        <f>I31+I32</f>
        <v>249322.85331099998</v>
      </c>
      <c r="J33" s="99"/>
    </row>
    <row r="34" spans="1:10" ht="16.5" thickBot="1">
      <c r="A34" s="597"/>
      <c r="B34" s="598"/>
      <c r="C34" s="598"/>
      <c r="D34" s="95"/>
      <c r="E34" s="95"/>
      <c r="F34" s="95"/>
      <c r="G34" s="95"/>
      <c r="H34" s="181" t="s">
        <v>43</v>
      </c>
      <c r="I34" s="96">
        <f>(I33/200)</f>
        <v>1246.6142665549999</v>
      </c>
      <c r="J34" s="99"/>
    </row>
    <row r="35" spans="1:10" ht="15.75">
      <c r="A35" s="173"/>
      <c r="F35" s="585" t="s">
        <v>44</v>
      </c>
      <c r="G35" s="586"/>
      <c r="H35" s="586"/>
      <c r="I35" s="594"/>
      <c r="J35" s="99"/>
    </row>
    <row r="36" spans="1:10" ht="15.75">
      <c r="A36" s="173"/>
      <c r="F36" s="109" t="str">
        <f>A2</f>
        <v>Bloco 1</v>
      </c>
      <c r="G36" s="109" t="s">
        <v>45</v>
      </c>
      <c r="H36" s="109" t="s">
        <v>46</v>
      </c>
      <c r="I36" s="174" t="s">
        <v>47</v>
      </c>
      <c r="J36" s="99"/>
    </row>
    <row r="37" spans="1:10" ht="16.5" thickBot="1">
      <c r="A37" s="175"/>
      <c r="B37" s="176"/>
      <c r="C37" s="176"/>
      <c r="D37" s="176"/>
      <c r="E37" s="176"/>
      <c r="F37" s="177">
        <f>A3</f>
        <v>9</v>
      </c>
      <c r="G37" s="177">
        <f>1640/2</f>
        <v>820</v>
      </c>
      <c r="H37" s="178">
        <f>I34</f>
        <v>1246.6142665549999</v>
      </c>
      <c r="I37" s="179">
        <f>G37*H37</f>
        <v>1022223.6985750999</v>
      </c>
      <c r="J37" s="99"/>
    </row>
  </sheetData>
  <mergeCells count="8">
    <mergeCell ref="F35:I35"/>
    <mergeCell ref="A34:C34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A4EF1-BC01-4ECA-9A02-1BF53AB976A6}">
  <sheetPr>
    <tabColor theme="9" tint="0.39997558519241921"/>
    <pageSetUpPr fitToPage="1"/>
  </sheetPr>
  <dimension ref="A1:J38"/>
  <sheetViews>
    <sheetView showGridLines="0" topLeftCell="A3" zoomScale="90" zoomScaleNormal="90" workbookViewId="0">
      <selection activeCell="H38" sqref="H38:I38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PRODUTOS!A13</f>
        <v>10</v>
      </c>
      <c r="B3" s="118" t="str">
        <f>PRODUTOS!B13</f>
        <v>ESTUDO AMBIENTAL – EMPREENDIMENTOS LINEARES – TIPO II</v>
      </c>
      <c r="C3" s="119"/>
      <c r="D3" s="120"/>
      <c r="E3" s="119" t="str">
        <f>PRODUTOS!C13</f>
        <v>EA.LINEAR.II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SUM(I8:I15)</f>
        <v>185619.61</v>
      </c>
      <c r="J7" s="99"/>
    </row>
    <row r="8" spans="1:10" ht="15.75">
      <c r="A8" s="106"/>
      <c r="B8" s="80" t="s">
        <v>186</v>
      </c>
      <c r="C8" s="125" t="str">
        <f>VLOOKUP(B8,'Preços de Referência'!$A$5:$C$103,2,FALSE)</f>
        <v xml:space="preserve">Coordenador ambiental </v>
      </c>
      <c r="D8" s="134" t="s">
        <v>15</v>
      </c>
      <c r="E8" s="81">
        <v>1</v>
      </c>
      <c r="F8" s="159">
        <f>'Preços de Referência'!$O$30*1</f>
        <v>182.49</v>
      </c>
      <c r="G8" s="88">
        <f>VLOOKUP(B8,'Preços de Referência'!$A$5:$C$103,3,FALSE)</f>
        <v>34290.74</v>
      </c>
      <c r="H8" s="88">
        <f>G8/'Preços de Referência'!$O$30</f>
        <v>187.9047619047619</v>
      </c>
      <c r="I8" s="91">
        <f t="shared" ref="I8:I15" si="0">H8*F8*E8</f>
        <v>34290.74</v>
      </c>
      <c r="J8" s="99"/>
    </row>
    <row r="9" spans="1:10" ht="15.75">
      <c r="A9" s="106"/>
      <c r="B9" s="80" t="s">
        <v>14</v>
      </c>
      <c r="C9" s="125" t="str">
        <f>VLOOKUP(B9,'Preços de Referência'!$A$5:$C$103,2,FALSE)</f>
        <v>Biólogo pleno</v>
      </c>
      <c r="D9" s="134" t="s">
        <v>15</v>
      </c>
      <c r="E9" s="81">
        <v>2</v>
      </c>
      <c r="F9" s="159">
        <f>'Preços de Referência'!$O$30*1.5</f>
        <v>273.73500000000001</v>
      </c>
      <c r="G9" s="88">
        <f>VLOOKUP(B9,'Preços de Referência'!$A$5:$C$103,3,FALSE)</f>
        <v>8782.2099999999991</v>
      </c>
      <c r="H9" s="88">
        <f>G9/'Preços de Referência'!$O$30</f>
        <v>48.124335580031776</v>
      </c>
      <c r="I9" s="91">
        <f t="shared" si="0"/>
        <v>26346.629999999997</v>
      </c>
      <c r="J9" s="99"/>
    </row>
    <row r="10" spans="1:10" ht="15.75">
      <c r="A10" s="106"/>
      <c r="B10" s="80" t="s">
        <v>16</v>
      </c>
      <c r="C10" s="125" t="str">
        <f>VLOOKUP(B10,'Preços de Referência'!$A$5:$C$103,2,FALSE)</f>
        <v>Engenheiro florestal pleno</v>
      </c>
      <c r="D10" s="134" t="s">
        <v>15</v>
      </c>
      <c r="E10" s="81">
        <v>1</v>
      </c>
      <c r="F10" s="159">
        <f>'Preços de Referência'!$O$30*1.5</f>
        <v>273.73500000000001</v>
      </c>
      <c r="G10" s="88">
        <f>VLOOKUP(B10,'Preços de Referência'!$A$5:$C$103,3,FALSE)</f>
        <v>23790.89</v>
      </c>
      <c r="H10" s="88">
        <f>G10/'Preços de Referência'!$O$30</f>
        <v>130.36818455805798</v>
      </c>
      <c r="I10" s="91">
        <f t="shared" si="0"/>
        <v>35686.334999999999</v>
      </c>
      <c r="J10" s="99"/>
    </row>
    <row r="11" spans="1:10" ht="15.75">
      <c r="A11" s="106"/>
      <c r="B11" s="80" t="s">
        <v>19</v>
      </c>
      <c r="C11" s="125" t="str">
        <f>VLOOKUP(B11,'Preços de Referência'!$A$5:$C$103,2,FALSE)</f>
        <v>Geólogo pleno</v>
      </c>
      <c r="D11" s="134" t="s">
        <v>15</v>
      </c>
      <c r="E11" s="81">
        <v>1</v>
      </c>
      <c r="F11" s="159">
        <f>'Preços de Referência'!$O$30*1</f>
        <v>182.49</v>
      </c>
      <c r="G11" s="88">
        <f>VLOOKUP(B11,'Preços de Referência'!$A$5:$C$103,3,FALSE)</f>
        <v>22360.25</v>
      </c>
      <c r="H11" s="88">
        <f>G11/'Preços de Referência'!$O$30</f>
        <v>122.52863170584689</v>
      </c>
      <c r="I11" s="91">
        <f t="shared" si="0"/>
        <v>22360.25</v>
      </c>
      <c r="J11" s="99"/>
    </row>
    <row r="12" spans="1:10" ht="15.75">
      <c r="A12" s="106"/>
      <c r="B12" s="80" t="s">
        <v>20</v>
      </c>
      <c r="C12" s="125" t="str">
        <f>VLOOKUP(B12,'Preços de Referência'!$A$5:$C$103,2,FALSE)</f>
        <v>Geógrafo pleno</v>
      </c>
      <c r="D12" s="134" t="s">
        <v>15</v>
      </c>
      <c r="E12" s="81">
        <v>1</v>
      </c>
      <c r="F12" s="159">
        <f>'Preços de Referência'!$O$30*1</f>
        <v>182.49</v>
      </c>
      <c r="G12" s="88">
        <f>VLOOKUP(B12,'Preços de Referência'!$A$5:$C$103,3,FALSE)</f>
        <v>10237.07</v>
      </c>
      <c r="H12" s="88">
        <f>G12/'Preços de Referência'!$O$30</f>
        <v>56.09660803331689</v>
      </c>
      <c r="I12" s="91">
        <f t="shared" si="0"/>
        <v>10237.07</v>
      </c>
      <c r="J12" s="99"/>
    </row>
    <row r="13" spans="1:10" ht="15.75">
      <c r="A13" s="106"/>
      <c r="B13" s="80" t="s">
        <v>17</v>
      </c>
      <c r="C13" s="125" t="str">
        <f>VLOOKUP(B13,'Preços de Referência'!$A$5:$C$103,2,FALSE)</f>
        <v>Técnico em geoprocessamento</v>
      </c>
      <c r="D13" s="134" t="s">
        <v>15</v>
      </c>
      <c r="E13" s="81">
        <v>1</v>
      </c>
      <c r="F13" s="159">
        <f>'Preços de Referência'!$O$30/2</f>
        <v>91.245000000000005</v>
      </c>
      <c r="G13" s="88">
        <f>VLOOKUP(B13,'Preços de Referência'!$A$5:$C$103,3,FALSE)</f>
        <v>6120.29</v>
      </c>
      <c r="H13" s="88">
        <f>G13/'Preços de Referência'!$O$30</f>
        <v>33.537673297166968</v>
      </c>
      <c r="I13" s="91">
        <f t="shared" si="0"/>
        <v>3060.145</v>
      </c>
      <c r="J13" s="99"/>
    </row>
    <row r="14" spans="1:10" ht="15.75">
      <c r="A14" s="106"/>
      <c r="B14" s="80" t="s">
        <v>18</v>
      </c>
      <c r="C14" s="125" t="str">
        <f>VLOOKUP(B14,'Preços de Referência'!$A$5:$C$103,2,FALSE)</f>
        <v>Engenheiro ambiental pleno</v>
      </c>
      <c r="D14" s="134" t="s">
        <v>15</v>
      </c>
      <c r="E14" s="81">
        <v>1</v>
      </c>
      <c r="F14" s="159">
        <f>'Preços de Referência'!$O$30*1.5</f>
        <v>273.73500000000001</v>
      </c>
      <c r="G14" s="88">
        <f>VLOOKUP(B14,'Preços de Referência'!$A$5:$C$103,3,FALSE)</f>
        <v>24964.47</v>
      </c>
      <c r="H14" s="88">
        <f>G14/'Preços de Referência'!$O$30</f>
        <v>136.79911228012494</v>
      </c>
      <c r="I14" s="91">
        <f t="shared" si="0"/>
        <v>37446.705000000002</v>
      </c>
      <c r="J14" s="99"/>
    </row>
    <row r="15" spans="1:10" ht="15.75">
      <c r="A15" s="106"/>
      <c r="B15" s="80" t="s">
        <v>301</v>
      </c>
      <c r="C15" s="125" t="str">
        <f>VLOOKUP(B15,'Preços de Referência'!$A$5:$C$103,2,FALSE)</f>
        <v>Sociólogo pleno</v>
      </c>
      <c r="D15" s="134" t="s">
        <v>15</v>
      </c>
      <c r="E15" s="81">
        <v>1</v>
      </c>
      <c r="F15" s="159">
        <f>'Preços de Referência'!$O$30*1.5</f>
        <v>273.73500000000001</v>
      </c>
      <c r="G15" s="88">
        <f>VLOOKUP(B15,'Preços de Referência'!$A$5:$C$103,3,FALSE)</f>
        <v>10794.49</v>
      </c>
      <c r="H15" s="88">
        <f>G15/'Preços de Referência'!$O$30</f>
        <v>59.151131568853081</v>
      </c>
      <c r="I15" s="91">
        <f t="shared" si="0"/>
        <v>16191.734999999999</v>
      </c>
      <c r="J15" s="99"/>
    </row>
    <row r="16" spans="1:10" ht="15.75">
      <c r="A16" s="128" t="s">
        <v>21</v>
      </c>
      <c r="B16" s="107"/>
      <c r="C16" s="126" t="s">
        <v>22</v>
      </c>
      <c r="D16" s="107"/>
      <c r="E16" s="107"/>
      <c r="F16" s="107"/>
      <c r="G16" s="107"/>
      <c r="H16" s="123"/>
      <c r="I16" s="100">
        <f>I17</f>
        <v>4655.1673252000001</v>
      </c>
      <c r="J16" s="99"/>
    </row>
    <row r="17" spans="1:10" ht="28.5" customHeight="1">
      <c r="A17" s="106"/>
      <c r="B17" s="84" t="s">
        <v>23</v>
      </c>
      <c r="C17" s="125" t="str">
        <f>VLOOKUP(B17,'Preços de Referência'!$E$4:$P$5,2,FALSE)</f>
        <v>Veículo leve picape 4 x 4 com capacidade de 1,10 t - 147 kW (sem motorista)</v>
      </c>
      <c r="D17" s="134" t="s">
        <v>15</v>
      </c>
      <c r="E17" s="81">
        <v>2</v>
      </c>
      <c r="F17" s="159">
        <f>'Preços de Referência'!$O$28*7</f>
        <v>51.331000000000003</v>
      </c>
      <c r="G17" s="88">
        <f>VLOOKUP(B17,'Preços de Referência'!$E$4:$P$5,10,FALSE)</f>
        <v>8274.9513000000006</v>
      </c>
      <c r="H17" s="88">
        <f>VLOOKUP(B17,'Preços de Referência'!$E$4:$P$5,12,FALSE)</f>
        <v>45.3446</v>
      </c>
      <c r="I17" s="91">
        <f>H17*F17*E17</f>
        <v>4655.1673252000001</v>
      </c>
      <c r="J17" s="99"/>
    </row>
    <row r="18" spans="1:10" ht="30" hidden="1">
      <c r="A18" s="128" t="s">
        <v>24</v>
      </c>
      <c r="B18" s="107"/>
      <c r="C18" s="126" t="s">
        <v>25</v>
      </c>
      <c r="D18" s="107"/>
      <c r="E18" s="107"/>
      <c r="F18" s="107"/>
      <c r="G18" s="107"/>
      <c r="H18" s="123"/>
      <c r="I18" s="100">
        <v>0</v>
      </c>
      <c r="J18" s="99"/>
    </row>
    <row r="19" spans="1:10" ht="15.75" hidden="1">
      <c r="A19" s="106"/>
      <c r="B19" s="80" t="s">
        <v>26</v>
      </c>
      <c r="C19" s="125" t="s">
        <v>27</v>
      </c>
      <c r="D19" s="134" t="s">
        <v>15</v>
      </c>
      <c r="E19" s="81">
        <v>6</v>
      </c>
      <c r="F19" s="81">
        <f>'Preços de Referência'!$O$28*5</f>
        <v>36.664999999999999</v>
      </c>
      <c r="G19" s="81">
        <v>223.422507</v>
      </c>
      <c r="H19" s="88">
        <v>1.2242999999999999</v>
      </c>
      <c r="I19" s="91">
        <f>H19*F19*E19</f>
        <v>269.33375699999999</v>
      </c>
      <c r="J19" s="99"/>
    </row>
    <row r="20" spans="1:10" ht="15.75" hidden="1">
      <c r="A20" s="106"/>
      <c r="B20" s="80" t="s">
        <v>28</v>
      </c>
      <c r="C20" s="125" t="s">
        <v>29</v>
      </c>
      <c r="D20" s="134" t="s">
        <v>15</v>
      </c>
      <c r="E20" s="81">
        <v>1</v>
      </c>
      <c r="F20" s="81">
        <f>'Preços de Referência'!$O$28*5</f>
        <v>36.664999999999999</v>
      </c>
      <c r="G20" s="81">
        <f>E20*F20</f>
        <v>36.664999999999999</v>
      </c>
      <c r="H20" s="88">
        <v>5.16</v>
      </c>
      <c r="I20" s="91">
        <f>H20*F20*E20</f>
        <v>189.19139999999999</v>
      </c>
      <c r="J20" s="99"/>
    </row>
    <row r="21" spans="1:10" ht="15.75" hidden="1">
      <c r="A21" s="128" t="s">
        <v>30</v>
      </c>
      <c r="B21" s="107"/>
      <c r="C21" s="126" t="s">
        <v>31</v>
      </c>
      <c r="D21" s="107"/>
      <c r="E21" s="107"/>
      <c r="F21" s="107"/>
      <c r="G21" s="107"/>
      <c r="H21" s="123"/>
      <c r="I21" s="100">
        <v>0</v>
      </c>
      <c r="J21" s="99"/>
    </row>
    <row r="22" spans="1:10" ht="15.75" hidden="1">
      <c r="A22" s="129" t="s">
        <v>32</v>
      </c>
      <c r="B22" s="108"/>
      <c r="C22" s="127" t="s">
        <v>33</v>
      </c>
      <c r="D22" s="108"/>
      <c r="E22" s="108"/>
      <c r="F22" s="108"/>
      <c r="G22" s="108"/>
      <c r="H22" s="124"/>
      <c r="I22" s="101"/>
      <c r="J22" s="99"/>
    </row>
    <row r="23" spans="1:10" ht="28.5" hidden="1">
      <c r="A23" s="106"/>
      <c r="B23" s="80" t="s">
        <v>34</v>
      </c>
      <c r="C23" s="125" t="str">
        <f>VLOOKUP(B23,'Preços de Referência'!$F$74:$J$83,2,FALSE)</f>
        <v>Comercial (2,60% do CMCC - SINAPI)</v>
      </c>
      <c r="D23" s="80" t="str">
        <f>VLOOKUP(B23,'Preços de Referência'!$F$74:$J$83,4,FALSE)</f>
        <v>m² x mês</v>
      </c>
      <c r="E23" s="81">
        <f>12.41*6</f>
        <v>74.460000000000008</v>
      </c>
      <c r="F23" s="81">
        <f>'Preços de Referência'!$O$28*5</f>
        <v>36.664999999999999</v>
      </c>
      <c r="G23" s="89">
        <f>VLOOKUP(B23,'Preços de Referência'!$F$74:$J$83,5,FALSE)</f>
        <v>47.75</v>
      </c>
      <c r="H23" s="88">
        <f>G23/'Preços de Referência'!$O$30</f>
        <v>0.26165817305057809</v>
      </c>
      <c r="I23" s="91">
        <v>0</v>
      </c>
      <c r="J23" s="99"/>
    </row>
    <row r="24" spans="1:10" ht="15.75" hidden="1">
      <c r="A24" s="129" t="s">
        <v>35</v>
      </c>
      <c r="B24" s="108"/>
      <c r="C24" s="127" t="s">
        <v>36</v>
      </c>
      <c r="D24" s="108"/>
      <c r="E24" s="108"/>
      <c r="F24" s="108"/>
      <c r="G24" s="108"/>
      <c r="H24" s="124"/>
      <c r="I24" s="101"/>
      <c r="J24" s="99"/>
    </row>
    <row r="25" spans="1:10" ht="15.75" hidden="1">
      <c r="A25" s="106"/>
      <c r="B25" s="80" t="s">
        <v>37</v>
      </c>
      <c r="C25" s="125" t="str">
        <f>VLOOKUP(B25,'Preços de Referência'!$F$74:$J$83,2,FALSE)</f>
        <v>Escritório</v>
      </c>
      <c r="D25" s="80" t="str">
        <f>VLOOKUP(B25,'Preços de Referência'!$F$74:$J$83,4,FALSE)</f>
        <v>ocupante x mês</v>
      </c>
      <c r="E25" s="81">
        <v>6</v>
      </c>
      <c r="F25" s="81">
        <f>'Preços de Referência'!$O$28*5</f>
        <v>36.664999999999999</v>
      </c>
      <c r="G25" s="89">
        <f>VLOOKUP(B25,'Preços de Referência'!$F$74:$J$83,5,FALSE)</f>
        <v>490.4</v>
      </c>
      <c r="H25" s="88">
        <f>G25/'Preços de Referência'!$O$30</f>
        <v>2.6872705353718009</v>
      </c>
      <c r="I25" s="91">
        <f>H25*F25*E25</f>
        <v>591.17264507644245</v>
      </c>
      <c r="J25" s="99"/>
    </row>
    <row r="26" spans="1:10" ht="15.75" hidden="1">
      <c r="A26" s="129" t="s">
        <v>38</v>
      </c>
      <c r="B26" s="108"/>
      <c r="C26" s="127" t="s">
        <v>39</v>
      </c>
      <c r="D26" s="108"/>
      <c r="E26" s="108"/>
      <c r="F26" s="108"/>
      <c r="G26" s="108"/>
      <c r="H26" s="124"/>
      <c r="I26" s="101"/>
      <c r="J26" s="99"/>
    </row>
    <row r="27" spans="1:10" ht="15.75" hidden="1">
      <c r="A27" s="106"/>
      <c r="B27" s="80" t="s">
        <v>40</v>
      </c>
      <c r="C27" s="125" t="str">
        <f>VLOOKUP(B27,'Preços de Referência'!$F$74:$J$83,2,FALSE)</f>
        <v>Escritório</v>
      </c>
      <c r="D27" s="80" t="str">
        <f>VLOOKUP(B27,'Preços de Referência'!$F$74:$J$83,4,FALSE)</f>
        <v>ocupante x mês</v>
      </c>
      <c r="E27" s="81">
        <v>6</v>
      </c>
      <c r="F27" s="81">
        <f>'Preços de Referência'!$O$28*5</f>
        <v>36.664999999999999</v>
      </c>
      <c r="G27" s="89">
        <f>VLOOKUP(B27,'Preços de Referência'!$F$74:$J$83,5,FALSE)</f>
        <v>135.22</v>
      </c>
      <c r="H27" s="88">
        <f>G27/'Preços de Referência'!$O$30</f>
        <v>0.74097210806071556</v>
      </c>
      <c r="I27" s="91">
        <f>H27*F27*E27</f>
        <v>163.00645405227681</v>
      </c>
      <c r="J27" s="99"/>
    </row>
    <row r="28" spans="1:10" ht="15.75">
      <c r="A28" s="160" t="s">
        <v>24</v>
      </c>
      <c r="B28" s="161"/>
      <c r="C28" s="162" t="s">
        <v>360</v>
      </c>
      <c r="D28" s="161"/>
      <c r="E28" s="161"/>
      <c r="F28" s="161"/>
      <c r="G28" s="161"/>
      <c r="H28" s="161"/>
      <c r="I28" s="163">
        <f>SUM(I29:I30)</f>
        <v>20043.269</v>
      </c>
    </row>
    <row r="29" spans="1:10" ht="28.5">
      <c r="A29" s="164"/>
      <c r="B29" s="169" t="s">
        <v>198</v>
      </c>
      <c r="C29" s="165" t="str">
        <f>VLOOKUP(B29,'Preços de Referência'!$P$69:$W$70,2,FALSE)</f>
        <v>DIÁRIA (CONF. DECRETO 11.117 PR - CUSTO MEDIANO</v>
      </c>
      <c r="D29" s="134" t="s">
        <v>122</v>
      </c>
      <c r="E29" s="135">
        <v>5</v>
      </c>
      <c r="F29" s="135">
        <v>7</v>
      </c>
      <c r="G29" s="330">
        <f>VLOOKUP(B29,'Preços de Referência'!$P$69:$W$70,6,FALSE)</f>
        <v>380</v>
      </c>
      <c r="H29" s="167"/>
      <c r="I29" s="168">
        <f>E29*F29*G29</f>
        <v>13300</v>
      </c>
    </row>
    <row r="30" spans="1:10" ht="28.5">
      <c r="A30" s="164"/>
      <c r="B30" s="169" t="s">
        <v>194</v>
      </c>
      <c r="C30" s="165" t="str">
        <f>VLOOKUP(B30,'Preços de Referência'!$P$69:$W$70,2,FALSE)</f>
        <v>PASSAGEM AÉREA - DESTINO NACIONAL (Cotação JUL/24)*</v>
      </c>
      <c r="D30" s="134" t="s">
        <v>122</v>
      </c>
      <c r="E30" s="135">
        <v>5</v>
      </c>
      <c r="F30" s="135">
        <v>1</v>
      </c>
      <c r="G30" s="330">
        <f>VLOOKUP(B30,'Preços de Referência'!$P$69:$W$70,6,FALSE)</f>
        <v>1348.6538</v>
      </c>
      <c r="H30" s="167"/>
      <c r="I30" s="168">
        <f>E30*F30*G30</f>
        <v>6743.2690000000002</v>
      </c>
    </row>
    <row r="31" spans="1:10" ht="15.75">
      <c r="A31" s="359"/>
      <c r="B31" s="193"/>
      <c r="C31" s="82"/>
      <c r="D31" s="82"/>
      <c r="E31" s="82"/>
      <c r="F31" s="82"/>
      <c r="G31" s="82"/>
      <c r="H31" s="473" t="s">
        <v>41</v>
      </c>
      <c r="I31" s="92">
        <f>I7+I18+I21+I16+I28</f>
        <v>210318.04632519998</v>
      </c>
      <c r="J31" s="99"/>
    </row>
    <row r="32" spans="1:10" ht="15.75">
      <c r="A32" s="93"/>
      <c r="B32" s="83"/>
      <c r="C32" s="83"/>
      <c r="D32" s="83"/>
      <c r="E32" s="83"/>
      <c r="F32" s="83"/>
      <c r="G32" s="474" t="s">
        <v>42</v>
      </c>
      <c r="H32" s="252">
        <f>BDI!$D$17</f>
        <v>0.44579999999999997</v>
      </c>
      <c r="I32" s="94">
        <f>I31*H32</f>
        <v>93759.785051774146</v>
      </c>
      <c r="J32" s="99"/>
    </row>
    <row r="33" spans="1:10" ht="16.5" customHeight="1" thickBot="1">
      <c r="A33" s="360"/>
      <c r="B33" s="194"/>
      <c r="C33" s="194"/>
      <c r="D33" s="95"/>
      <c r="E33" s="95"/>
      <c r="F33" s="95"/>
      <c r="G33" s="95"/>
      <c r="H33" s="181" t="s">
        <v>496</v>
      </c>
      <c r="I33" s="96">
        <f>I31+I32</f>
        <v>304077.83137697412</v>
      </c>
      <c r="J33" s="99"/>
    </row>
    <row r="34" spans="1:10" ht="26.25" thickBot="1">
      <c r="A34" s="476"/>
      <c r="B34" s="477"/>
      <c r="C34" s="477"/>
      <c r="D34" s="477"/>
      <c r="E34" s="477"/>
      <c r="F34" s="477"/>
      <c r="G34" s="478"/>
      <c r="H34" s="479" t="s">
        <v>524</v>
      </c>
      <c r="I34" s="480">
        <f>1.07765625</f>
        <v>1.07765625</v>
      </c>
    </row>
    <row r="35" spans="1:10" ht="16.5" thickBot="1">
      <c r="A35" s="597"/>
      <c r="B35" s="598"/>
      <c r="C35" s="598"/>
      <c r="D35" s="95"/>
      <c r="E35" s="95"/>
      <c r="F35" s="95"/>
      <c r="G35" s="95"/>
      <c r="H35" s="181" t="s">
        <v>43</v>
      </c>
      <c r="I35" s="96">
        <f>(I33/200)*I34</f>
        <v>1638.4568773492113</v>
      </c>
      <c r="J35" s="99"/>
    </row>
    <row r="36" spans="1:10" ht="15.75">
      <c r="A36" s="173"/>
      <c r="F36" s="585" t="s">
        <v>44</v>
      </c>
      <c r="G36" s="586"/>
      <c r="H36" s="586"/>
      <c r="I36" s="594"/>
      <c r="J36" s="99"/>
    </row>
    <row r="37" spans="1:10" ht="15.75">
      <c r="A37" s="173"/>
      <c r="F37" s="109" t="str">
        <f>A2</f>
        <v>Bloco 1</v>
      </c>
      <c r="G37" s="109" t="s">
        <v>45</v>
      </c>
      <c r="H37" s="109" t="s">
        <v>46</v>
      </c>
      <c r="I37" s="174" t="s">
        <v>47</v>
      </c>
      <c r="J37" s="99"/>
    </row>
    <row r="38" spans="1:10" ht="16.5" thickBot="1">
      <c r="A38" s="175"/>
      <c r="B38" s="176"/>
      <c r="C38" s="176"/>
      <c r="D38" s="176"/>
      <c r="E38" s="176"/>
      <c r="F38" s="177">
        <f>A3</f>
        <v>10</v>
      </c>
      <c r="G38" s="177">
        <v>820</v>
      </c>
      <c r="H38" s="178">
        <f>I35</f>
        <v>1638.4568773492113</v>
      </c>
      <c r="I38" s="179">
        <f>G38*H38</f>
        <v>1343534.6394263532</v>
      </c>
      <c r="J38" s="99"/>
    </row>
  </sheetData>
  <mergeCells count="8">
    <mergeCell ref="F36:I36"/>
    <mergeCell ref="A35:C35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303EF-7DC3-4E3F-A3EC-615109BE943A}">
  <sheetPr>
    <tabColor theme="9" tint="0.39997558519241921"/>
    <pageSetUpPr fitToPage="1"/>
  </sheetPr>
  <dimension ref="A1:I44"/>
  <sheetViews>
    <sheetView showGridLines="0" zoomScale="90" zoomScaleNormal="90" workbookViewId="0">
      <selection activeCell="H35" sqref="H35:I35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48.42578125" style="3" customWidth="1"/>
    <col min="11" max="11" width="10" style="3" bestFit="1" customWidth="1"/>
    <col min="12" max="12" width="7" style="3" bestFit="1" customWidth="1"/>
    <col min="13" max="16384" width="9.28515625" style="3"/>
  </cols>
  <sheetData>
    <row r="1" spans="1:9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</row>
    <row r="2" spans="1:9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</row>
    <row r="3" spans="1:9" s="6" customFormat="1" ht="16.5" thickBot="1">
      <c r="A3" s="117">
        <f>PRODUTOS!A14</f>
        <v>11</v>
      </c>
      <c r="B3" s="118" t="str">
        <f>PRODUTOS!B14</f>
        <v>ESTUDO IMPACTO SINERGICO</v>
      </c>
      <c r="C3" s="119"/>
      <c r="D3" s="120"/>
      <c r="E3" s="119" t="str">
        <f>PRODUTOS!C14</f>
        <v>EIS</v>
      </c>
      <c r="F3" s="120"/>
      <c r="G3" s="118"/>
      <c r="H3" s="121"/>
      <c r="I3" s="122"/>
    </row>
    <row r="4" spans="1:9" s="6" customFormat="1" ht="15.75">
      <c r="A4" s="102"/>
      <c r="B4" s="75"/>
      <c r="C4" s="98"/>
      <c r="D4" s="98"/>
      <c r="E4" s="98"/>
      <c r="F4" s="97"/>
      <c r="G4" s="75"/>
      <c r="H4" s="99"/>
      <c r="I4" s="103"/>
    </row>
    <row r="5" spans="1:9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</row>
    <row r="6" spans="1:9" ht="14.2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</row>
    <row r="7" spans="1:9" ht="1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SUM(I8:I14)</f>
        <v>151165.685</v>
      </c>
    </row>
    <row r="8" spans="1:9" ht="15">
      <c r="A8" s="106"/>
      <c r="B8" s="80" t="s">
        <v>176</v>
      </c>
      <c r="C8" s="125" t="str">
        <f>VLOOKUP(B8,'Preços de Referência'!$A$5:$C$103,2,FALSE)</f>
        <v>Biólogo sênior</v>
      </c>
      <c r="D8" s="134" t="s">
        <v>15</v>
      </c>
      <c r="E8" s="182">
        <v>2</v>
      </c>
      <c r="F8" s="159">
        <f>'Preços de Referência'!$O$30*1</f>
        <v>182.49</v>
      </c>
      <c r="G8" s="88">
        <f>VLOOKUP(B8,'Preços de Referência'!$A$5:$C$103,3,FALSE)</f>
        <v>14751.92</v>
      </c>
      <c r="H8" s="88">
        <f>G8/'Preços de Referência'!$O$30</f>
        <v>80.836867773576628</v>
      </c>
      <c r="I8" s="91">
        <f t="shared" ref="I8:I14" si="0">H8*F8*E8</f>
        <v>29503.84</v>
      </c>
    </row>
    <row r="9" spans="1:9" ht="15">
      <c r="A9" s="106"/>
      <c r="B9" s="80" t="s">
        <v>234</v>
      </c>
      <c r="C9" s="125" t="str">
        <f>VLOOKUP(B9,'Preços de Referência'!$A$5:$C$103,2,FALSE)</f>
        <v>Engenheiro florestal sênior</v>
      </c>
      <c r="D9" s="134" t="s">
        <v>15</v>
      </c>
      <c r="E9" s="182">
        <v>1</v>
      </c>
      <c r="F9" s="159">
        <f>'Preços de Referência'!$O$30*1</f>
        <v>182.49</v>
      </c>
      <c r="G9" s="88">
        <f>VLOOKUP(B9,'Preços de Referência'!$A$5:$C$103,3,FALSE)</f>
        <v>30388.799999999999</v>
      </c>
      <c r="H9" s="88">
        <f>G9/'Preços de Referência'!$O$30</f>
        <v>166.52309715600853</v>
      </c>
      <c r="I9" s="91">
        <f t="shared" si="0"/>
        <v>30388.799999999999</v>
      </c>
    </row>
    <row r="10" spans="1:9" ht="15">
      <c r="A10" s="106"/>
      <c r="B10" s="80" t="s">
        <v>242</v>
      </c>
      <c r="C10" s="125" t="str">
        <f>VLOOKUP(B10,'Preços de Referência'!$A$5:$C$103,2,FALSE)</f>
        <v>Geólogo sênior</v>
      </c>
      <c r="D10" s="134" t="s">
        <v>15</v>
      </c>
      <c r="E10" s="182">
        <v>1</v>
      </c>
      <c r="F10" s="159">
        <f>'Preços de Referência'!$O$30*1</f>
        <v>182.49</v>
      </c>
      <c r="G10" s="88">
        <f>VLOOKUP(B10,'Preços de Referência'!$A$5:$C$103,3,FALSE)</f>
        <v>25667.7</v>
      </c>
      <c r="H10" s="88">
        <f>G10/'Preços de Referência'!$O$30</f>
        <v>140.65263850073976</v>
      </c>
      <c r="I10" s="91">
        <f t="shared" si="0"/>
        <v>25667.7</v>
      </c>
    </row>
    <row r="11" spans="1:9" ht="15">
      <c r="A11" s="106"/>
      <c r="B11" s="80" t="s">
        <v>238</v>
      </c>
      <c r="C11" s="125" t="str">
        <f>VLOOKUP(B11,'Preços de Referência'!$A$5:$C$103,2,FALSE)</f>
        <v>Geógrafo sênior</v>
      </c>
      <c r="D11" s="134" t="s">
        <v>15</v>
      </c>
      <c r="E11" s="182">
        <v>1</v>
      </c>
      <c r="F11" s="159">
        <f>'Preços de Referência'!$O$30*1</f>
        <v>182.49</v>
      </c>
      <c r="G11" s="88">
        <f>VLOOKUP(B11,'Preços de Referência'!$A$5:$C$103,3,FALSE)</f>
        <v>18696.3</v>
      </c>
      <c r="H11" s="88">
        <f>G11/'Preços de Referência'!$O$30</f>
        <v>102.45109321058688</v>
      </c>
      <c r="I11" s="91">
        <f t="shared" si="0"/>
        <v>18696.3</v>
      </c>
    </row>
    <row r="12" spans="1:9" ht="15">
      <c r="A12" s="106"/>
      <c r="B12" s="80" t="s">
        <v>17</v>
      </c>
      <c r="C12" s="125" t="str">
        <f>VLOOKUP(B12,'Preços de Referência'!$A$5:$C$103,2,FALSE)</f>
        <v>Técnico em geoprocessamento</v>
      </c>
      <c r="D12" s="134" t="s">
        <v>15</v>
      </c>
      <c r="E12" s="182">
        <v>1</v>
      </c>
      <c r="F12" s="159">
        <f>'Preços de Referência'!$O$30*0.5</f>
        <v>91.245000000000005</v>
      </c>
      <c r="G12" s="88">
        <f>VLOOKUP(B12,'Preços de Referência'!$A$5:$C$103,3,FALSE)</f>
        <v>6120.29</v>
      </c>
      <c r="H12" s="88">
        <f>G12/'Preços de Referência'!$O$30</f>
        <v>33.537673297166968</v>
      </c>
      <c r="I12" s="91">
        <f t="shared" si="0"/>
        <v>3060.145</v>
      </c>
    </row>
    <row r="13" spans="1:9" ht="15">
      <c r="A13" s="106"/>
      <c r="B13" s="80" t="s">
        <v>213</v>
      </c>
      <c r="C13" s="125" t="str">
        <f>VLOOKUP(B13,'Preços de Referência'!$A$5:$C$103,2,FALSE)</f>
        <v>Engenheiro ambiental sênior</v>
      </c>
      <c r="D13" s="134" t="s">
        <v>15</v>
      </c>
      <c r="E13" s="182">
        <v>1</v>
      </c>
      <c r="F13" s="159">
        <f>'Preços de Referência'!$O$30*1</f>
        <v>182.49</v>
      </c>
      <c r="G13" s="88">
        <f>VLOOKUP(B13,'Preços de Referência'!$A$5:$C$103,3,FALSE)</f>
        <v>27331.69</v>
      </c>
      <c r="H13" s="88">
        <f>G13/'Preços de Referência'!$O$30</f>
        <v>149.77089155570167</v>
      </c>
      <c r="I13" s="91">
        <f t="shared" si="0"/>
        <v>27331.69</v>
      </c>
    </row>
    <row r="14" spans="1:9" ht="15">
      <c r="A14" s="106"/>
      <c r="B14" s="80" t="s">
        <v>302</v>
      </c>
      <c r="C14" s="125" t="str">
        <f>VLOOKUP(B14,'Preços de Referência'!$A$5:$C$103,2,FALSE)</f>
        <v>Sociólogo sênior</v>
      </c>
      <c r="D14" s="134" t="s">
        <v>15</v>
      </c>
      <c r="E14" s="182">
        <v>1</v>
      </c>
      <c r="F14" s="159">
        <f>'Preços de Referência'!$O$30*1</f>
        <v>182.49</v>
      </c>
      <c r="G14" s="88">
        <f>VLOOKUP(B14,'Preços de Referência'!$A$5:$C$103,3,FALSE)</f>
        <v>16517.21</v>
      </c>
      <c r="H14" s="88">
        <f>G14/'Preços de Referência'!$O$30</f>
        <v>90.510219738067832</v>
      </c>
      <c r="I14" s="91">
        <f t="shared" si="0"/>
        <v>16517.21</v>
      </c>
    </row>
    <row r="15" spans="1:9" ht="15" hidden="1">
      <c r="A15" s="128" t="s">
        <v>21</v>
      </c>
      <c r="B15" s="107"/>
      <c r="C15" s="126" t="s">
        <v>22</v>
      </c>
      <c r="D15" s="107"/>
      <c r="E15" s="107"/>
      <c r="F15" s="107"/>
      <c r="G15" s="107"/>
      <c r="H15" s="123"/>
      <c r="I15" s="100">
        <v>0</v>
      </c>
    </row>
    <row r="16" spans="1:9" ht="28.5" hidden="1" customHeight="1">
      <c r="A16" s="106"/>
      <c r="B16" s="84" t="s">
        <v>23</v>
      </c>
      <c r="C16" s="125" t="str">
        <f>VLOOKUP(B16,'Preços de Referência'!$E$4:$P$5,2,FALSE)</f>
        <v>Veículo leve picape 4 x 4 com capacidade de 1,10 t - 147 kW (sem motorista)</v>
      </c>
      <c r="D16" s="134" t="s">
        <v>15</v>
      </c>
      <c r="E16" s="81">
        <v>2</v>
      </c>
      <c r="F16" s="159">
        <f>'Preços de Referência'!$O$28*7</f>
        <v>51.331000000000003</v>
      </c>
      <c r="G16" s="88">
        <f>VLOOKUP(B16,'Preços de Referência'!$E$4:$P$5,10,FALSE)</f>
        <v>8274.9513000000006</v>
      </c>
      <c r="H16" s="88">
        <f>VLOOKUP(B16,'Preços de Referência'!$E$4:$P$5,12,FALSE)</f>
        <v>45.3446</v>
      </c>
      <c r="I16" s="91">
        <f>H16*F16*E16</f>
        <v>4655.1673252000001</v>
      </c>
    </row>
    <row r="17" spans="1:9" ht="30" hidden="1">
      <c r="A17" s="128" t="s">
        <v>24</v>
      </c>
      <c r="B17" s="107"/>
      <c r="C17" s="126" t="s">
        <v>25</v>
      </c>
      <c r="D17" s="107"/>
      <c r="E17" s="107"/>
      <c r="F17" s="107"/>
      <c r="G17" s="107"/>
      <c r="H17" s="123"/>
      <c r="I17" s="100">
        <v>0</v>
      </c>
    </row>
    <row r="18" spans="1:9" ht="15" hidden="1">
      <c r="A18" s="106"/>
      <c r="B18" s="80" t="s">
        <v>26</v>
      </c>
      <c r="C18" s="125" t="s">
        <v>27</v>
      </c>
      <c r="D18" s="134" t="s">
        <v>15</v>
      </c>
      <c r="E18" s="81">
        <v>6</v>
      </c>
      <c r="F18" s="81">
        <f>'Preços de Referência'!$O$28*5</f>
        <v>36.664999999999999</v>
      </c>
      <c r="G18" s="81">
        <v>223.422507</v>
      </c>
      <c r="H18" s="88">
        <v>1.2242999999999999</v>
      </c>
      <c r="I18" s="91">
        <f>H18*F18*E18</f>
        <v>269.33375699999999</v>
      </c>
    </row>
    <row r="19" spans="1:9" ht="15" hidden="1">
      <c r="A19" s="106"/>
      <c r="B19" s="80" t="s">
        <v>28</v>
      </c>
      <c r="C19" s="125" t="s">
        <v>29</v>
      </c>
      <c r="D19" s="134" t="s">
        <v>15</v>
      </c>
      <c r="E19" s="81">
        <v>1</v>
      </c>
      <c r="F19" s="81">
        <f>'Preços de Referência'!$O$28*5</f>
        <v>36.664999999999999</v>
      </c>
      <c r="G19" s="81">
        <f>E19*F19</f>
        <v>36.664999999999999</v>
      </c>
      <c r="H19" s="88">
        <v>5.16</v>
      </c>
      <c r="I19" s="91">
        <f>H19*F19*E19</f>
        <v>189.19139999999999</v>
      </c>
    </row>
    <row r="20" spans="1:9" ht="15" hidden="1">
      <c r="A20" s="128" t="s">
        <v>30</v>
      </c>
      <c r="B20" s="107"/>
      <c r="C20" s="126" t="s">
        <v>31</v>
      </c>
      <c r="D20" s="107"/>
      <c r="E20" s="107"/>
      <c r="F20" s="107"/>
      <c r="G20" s="107"/>
      <c r="H20" s="123"/>
      <c r="I20" s="100">
        <v>0</v>
      </c>
    </row>
    <row r="21" spans="1:9" ht="15" hidden="1">
      <c r="A21" s="129" t="s">
        <v>32</v>
      </c>
      <c r="B21" s="108"/>
      <c r="C21" s="127" t="s">
        <v>33</v>
      </c>
      <c r="D21" s="108"/>
      <c r="E21" s="108"/>
      <c r="F21" s="108"/>
      <c r="G21" s="108"/>
      <c r="H21" s="124"/>
      <c r="I21" s="101"/>
    </row>
    <row r="22" spans="1:9" ht="28.5" hidden="1">
      <c r="A22" s="106"/>
      <c r="B22" s="80" t="s">
        <v>34</v>
      </c>
      <c r="C22" s="125" t="str">
        <f>VLOOKUP(B22,'Preços de Referência'!$F$74:$J$83,2,FALSE)</f>
        <v>Comercial (2,60% do CMCC - SINAPI)</v>
      </c>
      <c r="D22" s="80" t="str">
        <f>VLOOKUP(B22,'Preços de Referência'!$F$74:$J$83,4,FALSE)</f>
        <v>m² x mês</v>
      </c>
      <c r="E22" s="81">
        <f>12.41*6</f>
        <v>74.460000000000008</v>
      </c>
      <c r="F22" s="81">
        <f>'Preços de Referência'!$O$28*5</f>
        <v>36.664999999999999</v>
      </c>
      <c r="G22" s="89">
        <f>VLOOKUP(B22,'Preços de Referência'!$F$74:$J$83,5,FALSE)</f>
        <v>47.75</v>
      </c>
      <c r="H22" s="88">
        <f>G22/'Preços de Referência'!$O$30</f>
        <v>0.26165817305057809</v>
      </c>
      <c r="I22" s="91">
        <v>0</v>
      </c>
    </row>
    <row r="23" spans="1:9" ht="15" hidden="1">
      <c r="A23" s="129" t="s">
        <v>35</v>
      </c>
      <c r="B23" s="108"/>
      <c r="C23" s="127" t="s">
        <v>36</v>
      </c>
      <c r="D23" s="108"/>
      <c r="E23" s="108"/>
      <c r="F23" s="108"/>
      <c r="G23" s="108"/>
      <c r="H23" s="124"/>
      <c r="I23" s="101"/>
    </row>
    <row r="24" spans="1:9" ht="15" hidden="1">
      <c r="A24" s="106"/>
      <c r="B24" s="80" t="s">
        <v>37</v>
      </c>
      <c r="C24" s="125" t="str">
        <f>VLOOKUP(B24,'Preços de Referência'!$F$74:$J$83,2,FALSE)</f>
        <v>Escritório</v>
      </c>
      <c r="D24" s="80" t="str">
        <f>VLOOKUP(B24,'Preços de Referência'!$F$74:$J$83,4,FALSE)</f>
        <v>ocupante x mês</v>
      </c>
      <c r="E24" s="81">
        <v>6</v>
      </c>
      <c r="F24" s="81">
        <f>'Preços de Referência'!$O$28*5</f>
        <v>36.664999999999999</v>
      </c>
      <c r="G24" s="89">
        <f>VLOOKUP(B24,'Preços de Referência'!$F$74:$J$83,5,FALSE)</f>
        <v>490.4</v>
      </c>
      <c r="H24" s="88">
        <f>G24/'Preços de Referência'!$O$30</f>
        <v>2.6872705353718009</v>
      </c>
      <c r="I24" s="91">
        <f>H24*F24*E24</f>
        <v>591.17264507644245</v>
      </c>
    </row>
    <row r="25" spans="1:9" ht="15" hidden="1">
      <c r="A25" s="129" t="s">
        <v>38</v>
      </c>
      <c r="B25" s="108"/>
      <c r="C25" s="127" t="s">
        <v>39</v>
      </c>
      <c r="D25" s="108"/>
      <c r="E25" s="108"/>
      <c r="F25" s="108"/>
      <c r="G25" s="108"/>
      <c r="H25" s="124"/>
      <c r="I25" s="101"/>
    </row>
    <row r="26" spans="1:9" ht="15" hidden="1">
      <c r="A26" s="106"/>
      <c r="B26" s="80" t="s">
        <v>40</v>
      </c>
      <c r="C26" s="125" t="str">
        <f>VLOOKUP(B26,'Preços de Referência'!$F$74:$J$83,2,FALSE)</f>
        <v>Escritório</v>
      </c>
      <c r="D26" s="80" t="str">
        <f>VLOOKUP(B26,'Preços de Referência'!$F$74:$J$83,4,FALSE)</f>
        <v>ocupante x mês</v>
      </c>
      <c r="E26" s="81">
        <v>6</v>
      </c>
      <c r="F26" s="81">
        <f>'Preços de Referência'!$O$28*5</f>
        <v>36.664999999999999</v>
      </c>
      <c r="G26" s="89">
        <f>VLOOKUP(B26,'Preços de Referência'!$F$74:$J$83,5,FALSE)</f>
        <v>135.22</v>
      </c>
      <c r="H26" s="88">
        <f>G26/'Preços de Referência'!$O$30</f>
        <v>0.74097210806071556</v>
      </c>
      <c r="I26" s="91">
        <f>H26*F26*E26</f>
        <v>163.00645405227681</v>
      </c>
    </row>
    <row r="27" spans="1:9" ht="15.75" hidden="1">
      <c r="A27" s="160" t="s">
        <v>361</v>
      </c>
      <c r="B27" s="161"/>
      <c r="C27" s="162" t="s">
        <v>360</v>
      </c>
      <c r="D27" s="161"/>
      <c r="E27" s="161"/>
      <c r="F27" s="161"/>
      <c r="G27" s="161"/>
      <c r="H27" s="161"/>
      <c r="I27" s="163">
        <v>0</v>
      </c>
    </row>
    <row r="28" spans="1:9" ht="42.75" hidden="1">
      <c r="A28" s="164"/>
      <c r="B28" s="169" t="s">
        <v>198</v>
      </c>
      <c r="C28" s="165" t="s">
        <v>199</v>
      </c>
      <c r="D28" s="134" t="s">
        <v>122</v>
      </c>
      <c r="E28" s="135">
        <v>5</v>
      </c>
      <c r="F28" s="135">
        <v>7</v>
      </c>
      <c r="G28" s="166">
        <v>341.02</v>
      </c>
      <c r="H28" s="167"/>
      <c r="I28" s="168">
        <f>E28*F28*G28</f>
        <v>11935.699999999999</v>
      </c>
    </row>
    <row r="29" spans="1:9" ht="28.5" hidden="1">
      <c r="A29" s="164"/>
      <c r="B29" s="169" t="s">
        <v>194</v>
      </c>
      <c r="C29" s="165" t="s">
        <v>195</v>
      </c>
      <c r="D29" s="134" t="s">
        <v>122</v>
      </c>
      <c r="E29" s="135">
        <v>5</v>
      </c>
      <c r="F29" s="135">
        <v>2</v>
      </c>
      <c r="G29" s="166">
        <v>1189.4070999999999</v>
      </c>
      <c r="H29" s="167"/>
      <c r="I29" s="168">
        <f>E29*F29*G29</f>
        <v>11894.071</v>
      </c>
    </row>
    <row r="30" spans="1:9" ht="15">
      <c r="A30" s="595" t="s">
        <v>41</v>
      </c>
      <c r="B30" s="596"/>
      <c r="C30" s="82"/>
      <c r="D30" s="82"/>
      <c r="E30" s="82"/>
      <c r="F30" s="82"/>
      <c r="G30" s="82"/>
      <c r="H30" s="90"/>
      <c r="I30" s="92">
        <f>I7+I17+I20+I15+I27</f>
        <v>151165.685</v>
      </c>
    </row>
    <row r="31" spans="1:9" ht="15">
      <c r="A31" s="93" t="s">
        <v>42</v>
      </c>
      <c r="B31" s="83"/>
      <c r="C31" s="83"/>
      <c r="D31" s="83"/>
      <c r="E31" s="83"/>
      <c r="F31" s="83"/>
      <c r="G31" s="83"/>
      <c r="H31" s="252">
        <f>BDI!$D$17</f>
        <v>0.44579999999999997</v>
      </c>
      <c r="I31" s="94">
        <f>I30*H31</f>
        <v>67389.662372999999</v>
      </c>
    </row>
    <row r="32" spans="1:9" ht="16.5" customHeight="1" thickBot="1">
      <c r="A32" s="597"/>
      <c r="B32" s="598"/>
      <c r="C32" s="598"/>
      <c r="D32" s="95"/>
      <c r="E32" s="95"/>
      <c r="F32" s="95"/>
      <c r="G32" s="95"/>
      <c r="H32" s="181" t="s">
        <v>363</v>
      </c>
      <c r="I32" s="96">
        <f>I30+I31</f>
        <v>218555.347373</v>
      </c>
    </row>
    <row r="33" spans="1:9">
      <c r="A33" s="173"/>
      <c r="F33" s="585" t="s">
        <v>44</v>
      </c>
      <c r="G33" s="586"/>
      <c r="H33" s="586"/>
      <c r="I33" s="594"/>
    </row>
    <row r="34" spans="1:9">
      <c r="A34" s="173"/>
      <c r="F34" s="109" t="str">
        <f>A2</f>
        <v>Bloco 1</v>
      </c>
      <c r="G34" s="109" t="s">
        <v>45</v>
      </c>
      <c r="H34" s="109" t="s">
        <v>46</v>
      </c>
      <c r="I34" s="174" t="s">
        <v>47</v>
      </c>
    </row>
    <row r="35" spans="1:9" ht="13.5" thickBot="1">
      <c r="A35" s="175"/>
      <c r="B35" s="176"/>
      <c r="C35" s="176"/>
      <c r="D35" s="176"/>
      <c r="E35" s="176"/>
      <c r="F35" s="177">
        <f>A3</f>
        <v>11</v>
      </c>
      <c r="G35" s="177">
        <v>3</v>
      </c>
      <c r="H35" s="178">
        <f>I32</f>
        <v>218555.347373</v>
      </c>
      <c r="I35" s="179">
        <f>G35*H35</f>
        <v>655666.04211899999</v>
      </c>
    </row>
    <row r="44" spans="1:9">
      <c r="C44" s="186"/>
    </row>
  </sheetData>
  <mergeCells count="9">
    <mergeCell ref="A30:B30"/>
    <mergeCell ref="A32:C32"/>
    <mergeCell ref="F33:I33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E2709-5368-4650-A600-86AD5BA8B10A}">
  <sheetPr>
    <tabColor theme="9" tint="0.39997558519241921"/>
    <pageSetUpPr fitToPage="1"/>
  </sheetPr>
  <dimension ref="A1:J31"/>
  <sheetViews>
    <sheetView showGridLines="0" zoomScale="90" zoomScaleNormal="90" workbookViewId="0">
      <selection activeCell="H31" sqref="H31:I31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PRODUTOS!A15</f>
        <v>12</v>
      </c>
      <c r="B3" s="118" t="str">
        <f>PRODUTOS!B15</f>
        <v>ESTUDOS DE FAUNA - CAMPANHA</v>
      </c>
      <c r="C3" s="119"/>
      <c r="D3" s="120"/>
      <c r="E3" s="119" t="str">
        <f>PRODUTOS!C15</f>
        <v>CAMP.FAUNA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SUM(I8:I9)</f>
        <v>103623.58297243685</v>
      </c>
      <c r="J7" s="99"/>
    </row>
    <row r="8" spans="1:10" ht="15.75">
      <c r="A8" s="106"/>
      <c r="B8" s="80" t="s">
        <v>167</v>
      </c>
      <c r="C8" s="125" t="str">
        <f>VLOOKUP(B8,'Preços de Referência'!$A$5:$C$103,2,FALSE)</f>
        <v>Auxiliar</v>
      </c>
      <c r="D8" s="134" t="s">
        <v>15</v>
      </c>
      <c r="E8" s="182">
        <v>4</v>
      </c>
      <c r="F8" s="182">
        <f>'Preços de Referência'!$O$28*10</f>
        <v>73.33</v>
      </c>
      <c r="G8" s="88">
        <f>VLOOKUP(B8,'Preços de Referência'!$A$5:$C$103,3,FALSE)</f>
        <v>3986.88</v>
      </c>
      <c r="H8" s="88">
        <f>G8/'Preços de Referência'!$O$30</f>
        <v>21.847114910406049</v>
      </c>
      <c r="I8" s="91">
        <f t="shared" ref="I8:I9" si="0">H8*F8*E8</f>
        <v>6408.1957455203019</v>
      </c>
      <c r="J8" s="99"/>
    </row>
    <row r="9" spans="1:10" ht="15.75">
      <c r="A9" s="106"/>
      <c r="B9" s="80" t="s">
        <v>176</v>
      </c>
      <c r="C9" s="125" t="str">
        <f>VLOOKUP(B9,'Preços de Referência'!$A$5:$C$103,2,FALSE)</f>
        <v>Biólogo sênior</v>
      </c>
      <c r="D9" s="134" t="s">
        <v>15</v>
      </c>
      <c r="E9" s="182">
        <v>4</v>
      </c>
      <c r="F9" s="182">
        <f>'Preços de Referência'!$O$28*(11+30)</f>
        <v>300.65300000000002</v>
      </c>
      <c r="G9" s="88">
        <f>VLOOKUP(B9,'Preços de Referência'!$A$5:$C$103,3,FALSE)</f>
        <v>14751.92</v>
      </c>
      <c r="H9" s="88">
        <f>G9/'Preços de Referência'!$O$30</f>
        <v>80.836867773576628</v>
      </c>
      <c r="I9" s="91">
        <f t="shared" si="0"/>
        <v>97215.387226916544</v>
      </c>
      <c r="J9" s="99"/>
    </row>
    <row r="10" spans="1:10" ht="15.75">
      <c r="A10" s="128" t="s">
        <v>21</v>
      </c>
      <c r="B10" s="107"/>
      <c r="C10" s="126" t="s">
        <v>22</v>
      </c>
      <c r="D10" s="107"/>
      <c r="E10" s="196"/>
      <c r="F10" s="196"/>
      <c r="G10" s="107"/>
      <c r="H10" s="123"/>
      <c r="I10" s="100">
        <f>I11</f>
        <v>6650.2390359999999</v>
      </c>
      <c r="J10" s="99"/>
    </row>
    <row r="11" spans="1:10" ht="28.5" customHeight="1">
      <c r="A11" s="106"/>
      <c r="B11" s="84" t="s">
        <v>23</v>
      </c>
      <c r="C11" s="125" t="str">
        <f>VLOOKUP(B11,'Preços de Referência'!$E$4:$P$5,2,FALSE)</f>
        <v>Veículo leve picape 4 x 4 com capacidade de 1,10 t - 147 kW (sem motorista)</v>
      </c>
      <c r="D11" s="134" t="s">
        <v>15</v>
      </c>
      <c r="E11" s="182">
        <v>2</v>
      </c>
      <c r="F11" s="182">
        <f>'Preços de Referência'!$O$28*10</f>
        <v>73.33</v>
      </c>
      <c r="G11" s="88">
        <f>VLOOKUP(B11,'Preços de Referência'!$E$4:$P$5,10,FALSE)</f>
        <v>8274.9513000000006</v>
      </c>
      <c r="H11" s="88">
        <f>VLOOKUP(B11,'Preços de Referência'!$E$4:$P$5,12,FALSE)</f>
        <v>45.3446</v>
      </c>
      <c r="I11" s="91">
        <f>H11*F11*E11</f>
        <v>6650.2390359999999</v>
      </c>
      <c r="J11" s="99"/>
    </row>
    <row r="12" spans="1:10" ht="30" hidden="1">
      <c r="A12" s="128" t="s">
        <v>24</v>
      </c>
      <c r="B12" s="107"/>
      <c r="C12" s="126" t="s">
        <v>25</v>
      </c>
      <c r="D12" s="107"/>
      <c r="E12" s="196"/>
      <c r="F12" s="196"/>
      <c r="G12" s="107"/>
      <c r="H12" s="123"/>
      <c r="I12" s="100">
        <v>0</v>
      </c>
      <c r="J12" s="99"/>
    </row>
    <row r="13" spans="1:10" ht="15.75" hidden="1">
      <c r="A13" s="106"/>
      <c r="B13" s="80" t="s">
        <v>26</v>
      </c>
      <c r="C13" s="125" t="s">
        <v>27</v>
      </c>
      <c r="D13" s="134" t="s">
        <v>15</v>
      </c>
      <c r="E13" s="182">
        <v>6</v>
      </c>
      <c r="F13" s="182">
        <f>'Preços de Referência'!$O$28*5</f>
        <v>36.664999999999999</v>
      </c>
      <c r="G13" s="81">
        <v>223.422507</v>
      </c>
      <c r="H13" s="88">
        <v>1.2242999999999999</v>
      </c>
      <c r="I13" s="91">
        <f>H13*F13*E13</f>
        <v>269.33375699999999</v>
      </c>
      <c r="J13" s="99"/>
    </row>
    <row r="14" spans="1:10" ht="15.75" hidden="1">
      <c r="A14" s="106"/>
      <c r="B14" s="80" t="s">
        <v>28</v>
      </c>
      <c r="C14" s="125" t="s">
        <v>29</v>
      </c>
      <c r="D14" s="134" t="s">
        <v>15</v>
      </c>
      <c r="E14" s="182">
        <v>1</v>
      </c>
      <c r="F14" s="182">
        <f>'Preços de Referência'!$O$28*5</f>
        <v>36.664999999999999</v>
      </c>
      <c r="G14" s="81">
        <f>E14*F14</f>
        <v>36.664999999999999</v>
      </c>
      <c r="H14" s="88">
        <v>5.16</v>
      </c>
      <c r="I14" s="91">
        <f>H14*F14*E14</f>
        <v>189.19139999999999</v>
      </c>
      <c r="J14" s="99"/>
    </row>
    <row r="15" spans="1:10" ht="15.75" hidden="1">
      <c r="A15" s="128" t="s">
        <v>30</v>
      </c>
      <c r="B15" s="107"/>
      <c r="C15" s="126" t="s">
        <v>31</v>
      </c>
      <c r="D15" s="107"/>
      <c r="E15" s="196"/>
      <c r="F15" s="196"/>
      <c r="G15" s="107"/>
      <c r="H15" s="123"/>
      <c r="I15" s="100">
        <v>0</v>
      </c>
      <c r="J15" s="99"/>
    </row>
    <row r="16" spans="1:10" ht="15.75" hidden="1">
      <c r="A16" s="129" t="s">
        <v>32</v>
      </c>
      <c r="B16" s="108"/>
      <c r="C16" s="127" t="s">
        <v>33</v>
      </c>
      <c r="D16" s="108"/>
      <c r="E16" s="197"/>
      <c r="F16" s="197"/>
      <c r="G16" s="108"/>
      <c r="H16" s="124"/>
      <c r="I16" s="101"/>
      <c r="J16" s="99"/>
    </row>
    <row r="17" spans="1:10" ht="28.5" hidden="1">
      <c r="A17" s="106"/>
      <c r="B17" s="80" t="s">
        <v>34</v>
      </c>
      <c r="C17" s="125" t="str">
        <f>VLOOKUP(B17,'Preços de Referência'!$F$74:$J$83,2,FALSE)</f>
        <v>Comercial (2,60% do CMCC - SINAPI)</v>
      </c>
      <c r="D17" s="80" t="str">
        <f>VLOOKUP(B17,'Preços de Referência'!$F$74:$J$83,4,FALSE)</f>
        <v>m² x mês</v>
      </c>
      <c r="E17" s="182">
        <f>12.41*6</f>
        <v>74.460000000000008</v>
      </c>
      <c r="F17" s="182">
        <f>'Preços de Referência'!$O$28*5</f>
        <v>36.664999999999999</v>
      </c>
      <c r="G17" s="89">
        <f>VLOOKUP(B17,'Preços de Referência'!$F$74:$J$83,5,FALSE)</f>
        <v>47.75</v>
      </c>
      <c r="H17" s="88">
        <f>G17/'Preços de Referência'!$O$30</f>
        <v>0.26165817305057809</v>
      </c>
      <c r="I17" s="91">
        <v>0</v>
      </c>
      <c r="J17" s="99"/>
    </row>
    <row r="18" spans="1:10" ht="15.75" hidden="1">
      <c r="A18" s="129" t="s">
        <v>35</v>
      </c>
      <c r="B18" s="108"/>
      <c r="C18" s="127" t="s">
        <v>36</v>
      </c>
      <c r="D18" s="108"/>
      <c r="E18" s="197"/>
      <c r="F18" s="197"/>
      <c r="G18" s="108"/>
      <c r="H18" s="124"/>
      <c r="I18" s="101"/>
      <c r="J18" s="99"/>
    </row>
    <row r="19" spans="1:10" ht="15.75" hidden="1">
      <c r="A19" s="106"/>
      <c r="B19" s="80" t="s">
        <v>37</v>
      </c>
      <c r="C19" s="125" t="str">
        <f>VLOOKUP(B19,'Preços de Referência'!$F$74:$J$83,2,FALSE)</f>
        <v>Escritório</v>
      </c>
      <c r="D19" s="80" t="str">
        <f>VLOOKUP(B19,'Preços de Referência'!$F$74:$J$83,4,FALSE)</f>
        <v>ocupante x mês</v>
      </c>
      <c r="E19" s="182">
        <v>6</v>
      </c>
      <c r="F19" s="182">
        <f>'Preços de Referência'!$O$28*5</f>
        <v>36.664999999999999</v>
      </c>
      <c r="G19" s="89">
        <f>VLOOKUP(B19,'Preços de Referência'!$F$74:$J$83,5,FALSE)</f>
        <v>490.4</v>
      </c>
      <c r="H19" s="88">
        <f>G19/'Preços de Referência'!$O$30</f>
        <v>2.6872705353718009</v>
      </c>
      <c r="I19" s="91">
        <f>H19*F19*E19</f>
        <v>591.17264507644245</v>
      </c>
      <c r="J19" s="99"/>
    </row>
    <row r="20" spans="1:10" ht="15.75" hidden="1">
      <c r="A20" s="129" t="s">
        <v>38</v>
      </c>
      <c r="B20" s="108"/>
      <c r="C20" s="127" t="s">
        <v>39</v>
      </c>
      <c r="D20" s="108"/>
      <c r="E20" s="197"/>
      <c r="F20" s="197"/>
      <c r="G20" s="108"/>
      <c r="H20" s="124"/>
      <c r="I20" s="101"/>
      <c r="J20" s="99"/>
    </row>
    <row r="21" spans="1:10" ht="15.75" hidden="1">
      <c r="A21" s="106"/>
      <c r="B21" s="80" t="s">
        <v>40</v>
      </c>
      <c r="C21" s="125" t="str">
        <f>VLOOKUP(B21,'Preços de Referência'!$F$74:$J$83,2,FALSE)</f>
        <v>Escritório</v>
      </c>
      <c r="D21" s="80" t="str">
        <f>VLOOKUP(B21,'Preços de Referência'!$F$74:$J$83,4,FALSE)</f>
        <v>ocupante x mês</v>
      </c>
      <c r="E21" s="182">
        <v>6</v>
      </c>
      <c r="F21" s="182">
        <f>'Preços de Referência'!$O$28*5</f>
        <v>36.664999999999999</v>
      </c>
      <c r="G21" s="89">
        <f>VLOOKUP(B21,'Preços de Referência'!$F$74:$J$83,5,FALSE)</f>
        <v>135.22</v>
      </c>
      <c r="H21" s="88">
        <f>G21/'Preços de Referência'!$O$30</f>
        <v>0.74097210806071556</v>
      </c>
      <c r="I21" s="91">
        <f>H21*F21*E21</f>
        <v>163.00645405227681</v>
      </c>
      <c r="J21" s="99"/>
    </row>
    <row r="22" spans="1:10" ht="15.75">
      <c r="A22" s="160" t="s">
        <v>24</v>
      </c>
      <c r="B22" s="161"/>
      <c r="C22" s="162" t="s">
        <v>360</v>
      </c>
      <c r="D22" s="161"/>
      <c r="E22" s="198"/>
      <c r="F22" s="198"/>
      <c r="G22" s="161"/>
      <c r="H22" s="161"/>
      <c r="I22" s="163">
        <f>SUM(I23:I24)</f>
        <v>55018.460800000001</v>
      </c>
    </row>
    <row r="23" spans="1:10" ht="28.5">
      <c r="A23" s="164"/>
      <c r="B23" s="169" t="s">
        <v>198</v>
      </c>
      <c r="C23" s="165" t="str">
        <f>VLOOKUP(B23,'Preços de Referência'!$P$69:$W$70,2,FALSE)</f>
        <v>DIÁRIA (CONF. DECRETO 11.117 PR - CUSTO MEDIANO</v>
      </c>
      <c r="D23" s="134" t="s">
        <v>122</v>
      </c>
      <c r="E23" s="199">
        <v>8</v>
      </c>
      <c r="F23" s="199">
        <v>11</v>
      </c>
      <c r="G23" s="330">
        <f>VLOOKUP(B23,'Preços de Referência'!$P$69:$W$70,6,FALSE)</f>
        <v>380</v>
      </c>
      <c r="H23" s="167"/>
      <c r="I23" s="168">
        <f>E23*F23*G23</f>
        <v>33440</v>
      </c>
    </row>
    <row r="24" spans="1:10" ht="28.5">
      <c r="A24" s="164"/>
      <c r="B24" s="169" t="s">
        <v>194</v>
      </c>
      <c r="C24" s="165" t="str">
        <f>VLOOKUP(B24,'Preços de Referência'!$P$69:$W$70,2,FALSE)</f>
        <v>PASSAGEM AÉREA - DESTINO NACIONAL (Cotação JUL/24)*</v>
      </c>
      <c r="D24" s="134" t="s">
        <v>122</v>
      </c>
      <c r="E24" s="199">
        <v>4</v>
      </c>
      <c r="F24" s="199">
        <v>4</v>
      </c>
      <c r="G24" s="330">
        <f>VLOOKUP(B24,'Preços de Referência'!$P$69:$W$70,6,FALSE)</f>
        <v>1348.6538</v>
      </c>
      <c r="H24" s="167"/>
      <c r="I24" s="168">
        <f>E24*F24*G24</f>
        <v>21578.460800000001</v>
      </c>
    </row>
    <row r="25" spans="1:10" ht="15.75">
      <c r="A25" s="359"/>
      <c r="B25" s="193"/>
      <c r="C25" s="82"/>
      <c r="D25" s="82"/>
      <c r="E25" s="82"/>
      <c r="F25" s="82"/>
      <c r="G25" s="82"/>
      <c r="H25" s="473" t="s">
        <v>41</v>
      </c>
      <c r="I25" s="92">
        <f>I7+I12+I15+I10+I22</f>
        <v>165292.28280843684</v>
      </c>
      <c r="J25" s="99"/>
    </row>
    <row r="26" spans="1:10" ht="16.5" thickBot="1">
      <c r="A26" s="93"/>
      <c r="B26" s="83"/>
      <c r="C26" s="83"/>
      <c r="D26" s="83"/>
      <c r="E26" s="83"/>
      <c r="F26" s="83"/>
      <c r="G26" s="474" t="s">
        <v>42</v>
      </c>
      <c r="H26" s="252">
        <f>BDI!$D$17</f>
        <v>0.44579999999999997</v>
      </c>
      <c r="I26" s="94">
        <f>I25*H26</f>
        <v>73687.299676001145</v>
      </c>
      <c r="J26" s="99"/>
    </row>
    <row r="27" spans="1:10" ht="26.25" thickBot="1">
      <c r="A27" s="476"/>
      <c r="B27" s="477"/>
      <c r="C27" s="477"/>
      <c r="D27" s="477"/>
      <c r="E27" s="477"/>
      <c r="F27" s="477"/>
      <c r="G27" s="478"/>
      <c r="H27" s="479" t="s">
        <v>524</v>
      </c>
      <c r="I27" s="480">
        <f>1.07765625</f>
        <v>1.07765625</v>
      </c>
    </row>
    <row r="28" spans="1:10" ht="16.5" thickBot="1">
      <c r="A28" s="360"/>
      <c r="B28" s="194"/>
      <c r="C28" s="194"/>
      <c r="D28" s="95"/>
      <c r="E28" s="95"/>
      <c r="F28" s="95"/>
      <c r="G28" s="95"/>
      <c r="H28" s="181" t="s">
        <v>43</v>
      </c>
      <c r="I28" s="96">
        <f>(I25+I26)*I27</f>
        <v>257537.8406867451</v>
      </c>
      <c r="J28" s="99"/>
    </row>
    <row r="29" spans="1:10" ht="15.75">
      <c r="A29" s="173"/>
      <c r="F29" s="585" t="s">
        <v>44</v>
      </c>
      <c r="G29" s="586"/>
      <c r="H29" s="586"/>
      <c r="I29" s="594"/>
      <c r="J29" s="99"/>
    </row>
    <row r="30" spans="1:10" ht="15.75">
      <c r="A30" s="173"/>
      <c r="F30" s="109" t="str">
        <f>A2</f>
        <v>Bloco 1</v>
      </c>
      <c r="G30" s="109" t="s">
        <v>45</v>
      </c>
      <c r="H30" s="109" t="s">
        <v>46</v>
      </c>
      <c r="I30" s="174" t="s">
        <v>47</v>
      </c>
      <c r="J30" s="99"/>
    </row>
    <row r="31" spans="1:10" ht="16.5" thickBot="1">
      <c r="A31" s="175"/>
      <c r="B31" s="176"/>
      <c r="C31" s="176"/>
      <c r="D31" s="176"/>
      <c r="E31" s="176"/>
      <c r="F31" s="177">
        <f>A3</f>
        <v>12</v>
      </c>
      <c r="G31" s="177">
        <v>3</v>
      </c>
      <c r="H31" s="178">
        <f>I28</f>
        <v>257537.8406867451</v>
      </c>
      <c r="I31" s="179">
        <f>G31*H31</f>
        <v>772613.52206023526</v>
      </c>
      <c r="J31" s="99"/>
    </row>
  </sheetData>
  <mergeCells count="7">
    <mergeCell ref="F29:I29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54ABD-3253-4A38-BD11-87C206207D36}">
  <sheetPr>
    <tabColor theme="9" tint="0.39997558519241921"/>
    <pageSetUpPr fitToPage="1"/>
  </sheetPr>
  <dimension ref="A1:J37"/>
  <sheetViews>
    <sheetView showGridLines="0" zoomScale="90" zoomScaleNormal="90" workbookViewId="0">
      <selection activeCell="H37" sqref="H37:I37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PRODUTOS!A16</f>
        <v>13</v>
      </c>
      <c r="B3" s="118" t="str">
        <f>PRODUTOS!B16</f>
        <v>DUE DILIGENCE AMBIENTAL</v>
      </c>
      <c r="C3" s="119"/>
      <c r="D3" s="120"/>
      <c r="E3" s="119" t="str">
        <f>PRODUTOS!C16</f>
        <v>DDA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SUM(I9:I15)</f>
        <v>97182.580000000016</v>
      </c>
      <c r="J7" s="99"/>
    </row>
    <row r="8" spans="1:10" ht="15.75">
      <c r="A8" s="106"/>
      <c r="B8" s="80" t="s">
        <v>169</v>
      </c>
      <c r="C8" s="125" t="str">
        <f>VLOOKUP(B8,'Preços de Referência'!$A$5:$C$103,2,FALSE)</f>
        <v>Auxiliar administrativo</v>
      </c>
      <c r="D8" s="188" t="s">
        <v>15</v>
      </c>
      <c r="E8" s="182">
        <v>2</v>
      </c>
      <c r="F8" s="159">
        <f>'Preços de Referência'!$O$30*1</f>
        <v>182.49</v>
      </c>
      <c r="G8" s="88">
        <f>VLOOKUP(B8,'Preços de Referência'!$A$5:$C$103,3,FALSE)</f>
        <v>4434.07</v>
      </c>
      <c r="H8" s="88">
        <f>G8/'Preços de Referência'!$O$30</f>
        <v>24.297605348238257</v>
      </c>
      <c r="I8" s="91">
        <f t="shared" ref="I8" si="0">H8*F8*E8</f>
        <v>8868.14</v>
      </c>
      <c r="J8" s="99"/>
    </row>
    <row r="9" spans="1:10" ht="15.75">
      <c r="A9" s="106"/>
      <c r="B9" s="80" t="s">
        <v>127</v>
      </c>
      <c r="C9" s="125" t="str">
        <f>VLOOKUP(B9,'Preços de Referência'!$A$5:$C$103,2,FALSE)</f>
        <v>Advogado júnior</v>
      </c>
      <c r="D9" s="188" t="s">
        <v>15</v>
      </c>
      <c r="E9" s="182">
        <v>1</v>
      </c>
      <c r="F9" s="159">
        <f>'Preços de Referência'!$O$30*1</f>
        <v>182.49</v>
      </c>
      <c r="G9" s="88">
        <f>VLOOKUP(B9,'Preços de Referência'!$A$5:$C$103,3,FALSE)</f>
        <v>9152.0499999999993</v>
      </c>
      <c r="H9" s="88">
        <f>G9/'Preços de Referência'!$O$30</f>
        <v>50.150967176283622</v>
      </c>
      <c r="I9" s="91">
        <f t="shared" ref="I9" si="1">H9*F9*E9</f>
        <v>9152.0499999999993</v>
      </c>
      <c r="J9" s="99"/>
    </row>
    <row r="10" spans="1:10" ht="15.75">
      <c r="A10" s="106"/>
      <c r="B10" s="80" t="s">
        <v>174</v>
      </c>
      <c r="C10" s="125" t="str">
        <f>VLOOKUP(B10,'Preços de Referência'!$A$5:$C$103,2,FALSE)</f>
        <v>Biólogo júnior</v>
      </c>
      <c r="D10" s="188" t="s">
        <v>15</v>
      </c>
      <c r="E10" s="182">
        <v>1</v>
      </c>
      <c r="F10" s="159">
        <f>'Preços de Referência'!$O$30*1</f>
        <v>182.49</v>
      </c>
      <c r="G10" s="88">
        <f>VLOOKUP(B10,'Preços de Referência'!$A$5:$C$103,3,FALSE)</f>
        <v>6869.32</v>
      </c>
      <c r="H10" s="88">
        <f>G10/'Preços de Referência'!$O$30</f>
        <v>37.642172173817741</v>
      </c>
      <c r="I10" s="91">
        <f t="shared" ref="I10:I15" si="2">H10*F10*E10</f>
        <v>6869.32</v>
      </c>
      <c r="J10" s="99"/>
    </row>
    <row r="11" spans="1:10" ht="15.75">
      <c r="A11" s="106"/>
      <c r="B11" s="80" t="s">
        <v>232</v>
      </c>
      <c r="C11" s="125" t="str">
        <f>VLOOKUP(B11,'Preços de Referência'!$A$5:$C$103,2,FALSE)</f>
        <v>Engenheiro florestal júnior</v>
      </c>
      <c r="D11" s="188" t="s">
        <v>15</v>
      </c>
      <c r="E11" s="182">
        <v>1</v>
      </c>
      <c r="F11" s="159">
        <f>'Preços de Referência'!$O$30*1</f>
        <v>182.49</v>
      </c>
      <c r="G11" s="88">
        <f>VLOOKUP(B11,'Preços de Referência'!$A$5:$C$103,3,FALSE)</f>
        <v>22670.05</v>
      </c>
      <c r="H11" s="88">
        <f>G11/'Preços de Referência'!$O$30</f>
        <v>124.2262589730944</v>
      </c>
      <c r="I11" s="91">
        <f t="shared" si="2"/>
        <v>22670.05</v>
      </c>
      <c r="J11" s="99"/>
    </row>
    <row r="12" spans="1:10" ht="15.75">
      <c r="A12" s="106"/>
      <c r="B12" s="80" t="s">
        <v>240</v>
      </c>
      <c r="C12" s="125" t="str">
        <f>VLOOKUP(B12,'Preços de Referência'!$A$5:$C$103,2,FALSE)</f>
        <v>Geólogo júnior</v>
      </c>
      <c r="D12" s="188" t="s">
        <v>15</v>
      </c>
      <c r="E12" s="182">
        <v>1</v>
      </c>
      <c r="F12" s="159">
        <f>'Preços de Referência'!$O$30*1</f>
        <v>182.49</v>
      </c>
      <c r="G12" s="88">
        <f>VLOOKUP(B12,'Preços de Referência'!$A$5:$C$103,3,FALSE)</f>
        <v>19052.8</v>
      </c>
      <c r="H12" s="88">
        <f>G12/'Preços de Referência'!$O$30</f>
        <v>104.40462491095401</v>
      </c>
      <c r="I12" s="91">
        <f t="shared" si="2"/>
        <v>19052.8</v>
      </c>
      <c r="J12" s="99"/>
    </row>
    <row r="13" spans="1:10" ht="15.75">
      <c r="A13" s="106"/>
      <c r="B13" s="80" t="s">
        <v>17</v>
      </c>
      <c r="C13" s="125" t="str">
        <f>VLOOKUP(B13,'Preços de Referência'!$A$5:$C$103,2,FALSE)</f>
        <v>Técnico em geoprocessamento</v>
      </c>
      <c r="D13" s="188" t="s">
        <v>15</v>
      </c>
      <c r="E13" s="182">
        <v>1</v>
      </c>
      <c r="F13" s="159">
        <f>'Preços de Referência'!$O$30*1</f>
        <v>182.49</v>
      </c>
      <c r="G13" s="88">
        <f>VLOOKUP(B13,'Preços de Referência'!$A$5:$C$103,3,FALSE)</f>
        <v>6120.29</v>
      </c>
      <c r="H13" s="88">
        <f>G13/'Preços de Referência'!$O$30</f>
        <v>33.537673297166968</v>
      </c>
      <c r="I13" s="91">
        <f t="shared" si="2"/>
        <v>6120.29</v>
      </c>
      <c r="J13" s="99"/>
    </row>
    <row r="14" spans="1:10" ht="15.75">
      <c r="A14" s="106"/>
      <c r="B14" s="80" t="s">
        <v>18</v>
      </c>
      <c r="C14" s="125" t="str">
        <f>VLOOKUP(B14,'Preços de Referência'!$A$5:$C$103,2,FALSE)</f>
        <v>Engenheiro ambiental pleno</v>
      </c>
      <c r="D14" s="134" t="s">
        <v>15</v>
      </c>
      <c r="E14" s="182">
        <v>1</v>
      </c>
      <c r="F14" s="159">
        <f>'Preços de Referência'!$O$30*1</f>
        <v>182.49</v>
      </c>
      <c r="G14" s="88">
        <f>VLOOKUP(B14,'Preços de Referência'!$A$5:$C$103,3,FALSE)</f>
        <v>24964.47</v>
      </c>
      <c r="H14" s="88">
        <f>G14/'Preços de Referência'!$O$30</f>
        <v>136.79911228012494</v>
      </c>
      <c r="I14" s="91">
        <f t="shared" si="2"/>
        <v>24964.47</v>
      </c>
      <c r="J14" s="99"/>
    </row>
    <row r="15" spans="1:10" ht="15.75">
      <c r="A15" s="106"/>
      <c r="B15" s="80" t="s">
        <v>299</v>
      </c>
      <c r="C15" s="125" t="str">
        <f>VLOOKUP(B15,'Preços de Referência'!$A$5:$C$103,2,FALSE)</f>
        <v>Sociólogo júnior</v>
      </c>
      <c r="D15" s="134" t="s">
        <v>15</v>
      </c>
      <c r="E15" s="182">
        <v>1</v>
      </c>
      <c r="F15" s="159">
        <f>'Preços de Referência'!$O$30*1</f>
        <v>182.49</v>
      </c>
      <c r="G15" s="88">
        <f>VLOOKUP(B15,'Preços de Referência'!$A$5:$C$103,3,FALSE)</f>
        <v>8353.6</v>
      </c>
      <c r="H15" s="88">
        <f>G15/'Preços de Referência'!$O$30</f>
        <v>45.775658940215905</v>
      </c>
      <c r="I15" s="91">
        <f t="shared" si="2"/>
        <v>8353.6</v>
      </c>
      <c r="J15" s="99"/>
    </row>
    <row r="16" spans="1:10" ht="15.75" hidden="1">
      <c r="A16" s="128" t="s">
        <v>21</v>
      </c>
      <c r="B16" s="107"/>
      <c r="C16" s="126" t="s">
        <v>22</v>
      </c>
      <c r="D16" s="107"/>
      <c r="E16" s="107"/>
      <c r="F16" s="107"/>
      <c r="G16" s="107"/>
      <c r="H16" s="123"/>
      <c r="I16" s="100">
        <v>0</v>
      </c>
      <c r="J16" s="99"/>
    </row>
    <row r="17" spans="1:10" ht="28.5" hidden="1" customHeight="1">
      <c r="A17" s="106"/>
      <c r="B17" s="84" t="s">
        <v>23</v>
      </c>
      <c r="C17" s="125" t="str">
        <f>VLOOKUP(B17,'Preços de Referência'!$E$4:$P$5,2,FALSE)</f>
        <v>Veículo leve picape 4 x 4 com capacidade de 1,10 t - 147 kW (sem motorista)</v>
      </c>
      <c r="D17" s="134" t="s">
        <v>15</v>
      </c>
      <c r="E17" s="81">
        <v>2</v>
      </c>
      <c r="F17" s="159">
        <f>'Preços de Referência'!$O$28*7</f>
        <v>51.331000000000003</v>
      </c>
      <c r="G17" s="88">
        <f>VLOOKUP(B17,'Preços de Referência'!$E$4:$P$5,10,FALSE)</f>
        <v>8274.9513000000006</v>
      </c>
      <c r="H17" s="88">
        <f>VLOOKUP(B17,'Preços de Referência'!$E$4:$P$5,12,FALSE)</f>
        <v>45.3446</v>
      </c>
      <c r="I17" s="91">
        <f>H17*F17*E17</f>
        <v>4655.1673252000001</v>
      </c>
      <c r="J17" s="99"/>
    </row>
    <row r="18" spans="1:10" ht="30" hidden="1">
      <c r="A18" s="128" t="s">
        <v>24</v>
      </c>
      <c r="B18" s="107"/>
      <c r="C18" s="126" t="s">
        <v>25</v>
      </c>
      <c r="D18" s="107"/>
      <c r="E18" s="107"/>
      <c r="F18" s="107"/>
      <c r="G18" s="107"/>
      <c r="H18" s="123"/>
      <c r="I18" s="100">
        <v>0</v>
      </c>
      <c r="J18" s="99"/>
    </row>
    <row r="19" spans="1:10" ht="15.75" hidden="1">
      <c r="A19" s="106"/>
      <c r="B19" s="80" t="s">
        <v>26</v>
      </c>
      <c r="C19" s="125" t="s">
        <v>27</v>
      </c>
      <c r="D19" s="134" t="s">
        <v>15</v>
      </c>
      <c r="E19" s="81">
        <v>6</v>
      </c>
      <c r="F19" s="81">
        <f>'Preços de Referência'!$O$28*5</f>
        <v>36.664999999999999</v>
      </c>
      <c r="G19" s="81">
        <v>223.422507</v>
      </c>
      <c r="H19" s="88">
        <v>1.2242999999999999</v>
      </c>
      <c r="I19" s="91">
        <f>H19*F19*E19</f>
        <v>269.33375699999999</v>
      </c>
      <c r="J19" s="99"/>
    </row>
    <row r="20" spans="1:10" ht="15.75" hidden="1">
      <c r="A20" s="106"/>
      <c r="B20" s="80" t="s">
        <v>28</v>
      </c>
      <c r="C20" s="125" t="s">
        <v>29</v>
      </c>
      <c r="D20" s="134" t="s">
        <v>15</v>
      </c>
      <c r="E20" s="81">
        <v>1</v>
      </c>
      <c r="F20" s="81">
        <f>'Preços de Referência'!$O$28*5</f>
        <v>36.664999999999999</v>
      </c>
      <c r="G20" s="81">
        <f>E20*F20</f>
        <v>36.664999999999999</v>
      </c>
      <c r="H20" s="88">
        <v>5.16</v>
      </c>
      <c r="I20" s="91">
        <f>H20*F20*E20</f>
        <v>189.19139999999999</v>
      </c>
      <c r="J20" s="99"/>
    </row>
    <row r="21" spans="1:10" ht="15.75" hidden="1">
      <c r="A21" s="128" t="s">
        <v>30</v>
      </c>
      <c r="B21" s="107"/>
      <c r="C21" s="126" t="s">
        <v>31</v>
      </c>
      <c r="D21" s="107"/>
      <c r="E21" s="107"/>
      <c r="F21" s="107"/>
      <c r="G21" s="107"/>
      <c r="H21" s="123"/>
      <c r="I21" s="100">
        <v>0</v>
      </c>
      <c r="J21" s="99"/>
    </row>
    <row r="22" spans="1:10" ht="15.75" hidden="1">
      <c r="A22" s="129" t="s">
        <v>32</v>
      </c>
      <c r="B22" s="108"/>
      <c r="C22" s="127" t="s">
        <v>33</v>
      </c>
      <c r="D22" s="108"/>
      <c r="E22" s="108"/>
      <c r="F22" s="108"/>
      <c r="G22" s="108"/>
      <c r="H22" s="124"/>
      <c r="I22" s="101"/>
      <c r="J22" s="99"/>
    </row>
    <row r="23" spans="1:10" ht="28.5" hidden="1">
      <c r="A23" s="106"/>
      <c r="B23" s="80" t="s">
        <v>34</v>
      </c>
      <c r="C23" s="125" t="str">
        <f>VLOOKUP(B23,'Preços de Referência'!$F$74:$J$83,2,FALSE)</f>
        <v>Comercial (2,60% do CMCC - SINAPI)</v>
      </c>
      <c r="D23" s="80" t="str">
        <f>VLOOKUP(B23,'Preços de Referência'!$F$74:$J$83,4,FALSE)</f>
        <v>m² x mês</v>
      </c>
      <c r="E23" s="81">
        <f>12.41*6</f>
        <v>74.460000000000008</v>
      </c>
      <c r="F23" s="81">
        <f>'Preços de Referência'!$O$28*5</f>
        <v>36.664999999999999</v>
      </c>
      <c r="G23" s="89">
        <f>VLOOKUP(B23,'Preços de Referência'!$F$74:$J$83,5,FALSE)</f>
        <v>47.75</v>
      </c>
      <c r="H23" s="88">
        <f>G23/'Preços de Referência'!$O$30</f>
        <v>0.26165817305057809</v>
      </c>
      <c r="I23" s="91">
        <v>0</v>
      </c>
      <c r="J23" s="99"/>
    </row>
    <row r="24" spans="1:10" ht="15.75" hidden="1">
      <c r="A24" s="129" t="s">
        <v>35</v>
      </c>
      <c r="B24" s="108"/>
      <c r="C24" s="127" t="s">
        <v>36</v>
      </c>
      <c r="D24" s="108"/>
      <c r="E24" s="108"/>
      <c r="F24" s="108"/>
      <c r="G24" s="108"/>
      <c r="H24" s="124"/>
      <c r="I24" s="101"/>
      <c r="J24" s="99"/>
    </row>
    <row r="25" spans="1:10" ht="15.75" hidden="1">
      <c r="A25" s="106"/>
      <c r="B25" s="80" t="s">
        <v>37</v>
      </c>
      <c r="C25" s="125" t="str">
        <f>VLOOKUP(B25,'Preços de Referência'!$F$74:$J$83,2,FALSE)</f>
        <v>Escritório</v>
      </c>
      <c r="D25" s="80" t="str">
        <f>VLOOKUP(B25,'Preços de Referência'!$F$74:$J$83,4,FALSE)</f>
        <v>ocupante x mês</v>
      </c>
      <c r="E25" s="81">
        <v>6</v>
      </c>
      <c r="F25" s="81">
        <f>'Preços de Referência'!$O$28*5</f>
        <v>36.664999999999999</v>
      </c>
      <c r="G25" s="89">
        <f>VLOOKUP(B25,'Preços de Referência'!$F$74:$J$83,5,FALSE)</f>
        <v>490.4</v>
      </c>
      <c r="H25" s="88">
        <f>G25/'Preços de Referência'!$O$30</f>
        <v>2.6872705353718009</v>
      </c>
      <c r="I25" s="91">
        <f>H25*F25*E25</f>
        <v>591.17264507644245</v>
      </c>
      <c r="J25" s="99"/>
    </row>
    <row r="26" spans="1:10" ht="15.75" hidden="1">
      <c r="A26" s="129" t="s">
        <v>38</v>
      </c>
      <c r="B26" s="108"/>
      <c r="C26" s="127" t="s">
        <v>39</v>
      </c>
      <c r="D26" s="108"/>
      <c r="E26" s="108"/>
      <c r="F26" s="108"/>
      <c r="G26" s="108"/>
      <c r="H26" s="124"/>
      <c r="I26" s="101"/>
      <c r="J26" s="99"/>
    </row>
    <row r="27" spans="1:10" ht="15.75" hidden="1">
      <c r="A27" s="106"/>
      <c r="B27" s="80" t="s">
        <v>40</v>
      </c>
      <c r="C27" s="125" t="str">
        <f>VLOOKUP(B27,'Preços de Referência'!$F$74:$J$83,2,FALSE)</f>
        <v>Escritório</v>
      </c>
      <c r="D27" s="80" t="str">
        <f>VLOOKUP(B27,'Preços de Referência'!$F$74:$J$83,4,FALSE)</f>
        <v>ocupante x mês</v>
      </c>
      <c r="E27" s="81">
        <v>6</v>
      </c>
      <c r="F27" s="81">
        <f>'Preços de Referência'!$O$28*5</f>
        <v>36.664999999999999</v>
      </c>
      <c r="G27" s="89">
        <f>VLOOKUP(B27,'Preços de Referência'!$F$74:$J$83,5,FALSE)</f>
        <v>135.22</v>
      </c>
      <c r="H27" s="88">
        <f>G27/'Preços de Referência'!$O$30</f>
        <v>0.74097210806071556</v>
      </c>
      <c r="I27" s="91">
        <f>H27*F27*E27</f>
        <v>163.00645405227681</v>
      </c>
      <c r="J27" s="99"/>
    </row>
    <row r="28" spans="1:10" ht="15.75" hidden="1">
      <c r="A28" s="160" t="s">
        <v>361</v>
      </c>
      <c r="B28" s="161"/>
      <c r="C28" s="162" t="s">
        <v>360</v>
      </c>
      <c r="D28" s="161"/>
      <c r="E28" s="161"/>
      <c r="F28" s="161"/>
      <c r="G28" s="161"/>
      <c r="H28" s="161"/>
      <c r="I28" s="163">
        <v>0</v>
      </c>
    </row>
    <row r="29" spans="1:10" ht="42.75" hidden="1">
      <c r="A29" s="164"/>
      <c r="B29" s="169" t="s">
        <v>198</v>
      </c>
      <c r="C29" s="165" t="s">
        <v>199</v>
      </c>
      <c r="D29" s="134" t="s">
        <v>122</v>
      </c>
      <c r="E29" s="135">
        <v>5</v>
      </c>
      <c r="F29" s="135">
        <v>7</v>
      </c>
      <c r="G29" s="166">
        <v>341.02</v>
      </c>
      <c r="H29" s="167"/>
      <c r="I29" s="168">
        <f>E29*F29*G29</f>
        <v>11935.699999999999</v>
      </c>
    </row>
    <row r="30" spans="1:10" ht="28.5" hidden="1">
      <c r="A30" s="164"/>
      <c r="B30" s="169" t="s">
        <v>194</v>
      </c>
      <c r="C30" s="165" t="s">
        <v>195</v>
      </c>
      <c r="D30" s="134" t="s">
        <v>122</v>
      </c>
      <c r="E30" s="135">
        <v>5</v>
      </c>
      <c r="F30" s="135">
        <v>2</v>
      </c>
      <c r="G30" s="166">
        <v>1189.4070999999999</v>
      </c>
      <c r="H30" s="167"/>
      <c r="I30" s="168">
        <f>E30*F30*G30</f>
        <v>11894.071</v>
      </c>
    </row>
    <row r="31" spans="1:10" ht="15.75">
      <c r="A31" s="359"/>
      <c r="B31" s="193"/>
      <c r="C31" s="82"/>
      <c r="D31" s="82"/>
      <c r="E31" s="82"/>
      <c r="F31" s="82"/>
      <c r="G31" s="82"/>
      <c r="H31" s="473" t="s">
        <v>41</v>
      </c>
      <c r="I31" s="92">
        <f>I7+I18+I21+I16+I28</f>
        <v>97182.580000000016</v>
      </c>
      <c r="J31" s="99"/>
    </row>
    <row r="32" spans="1:10" ht="15.75">
      <c r="A32" s="93"/>
      <c r="B32" s="83"/>
      <c r="C32" s="83"/>
      <c r="D32" s="83"/>
      <c r="E32" s="83"/>
      <c r="F32" s="83"/>
      <c r="G32" s="474" t="s">
        <v>42</v>
      </c>
      <c r="H32" s="252">
        <f>BDI!$D$17</f>
        <v>0.44579999999999997</v>
      </c>
      <c r="I32" s="94">
        <f>I31*H32</f>
        <v>43323.994164000003</v>
      </c>
      <c r="J32" s="99"/>
    </row>
    <row r="33" spans="1:10" ht="16.5" customHeight="1" thickBot="1">
      <c r="A33" s="360"/>
      <c r="B33" s="194"/>
      <c r="C33" s="194"/>
      <c r="D33" s="95"/>
      <c r="E33" s="95"/>
      <c r="F33" s="95"/>
      <c r="G33" s="95"/>
      <c r="H33" s="181" t="s">
        <v>43</v>
      </c>
      <c r="I33" s="96">
        <f>I31+I32</f>
        <v>140506.57416400002</v>
      </c>
      <c r="J33" s="99"/>
    </row>
    <row r="34" spans="1:10" ht="15.75">
      <c r="A34" s="170"/>
      <c r="B34" s="171"/>
      <c r="C34" s="171"/>
      <c r="D34" s="171"/>
      <c r="E34" s="171"/>
      <c r="F34" s="171"/>
      <c r="G34" s="171"/>
      <c r="H34" s="171"/>
      <c r="I34" s="187"/>
      <c r="J34" s="99"/>
    </row>
    <row r="35" spans="1:10" ht="15.75">
      <c r="A35" s="173"/>
      <c r="F35" s="585" t="s">
        <v>44</v>
      </c>
      <c r="G35" s="586"/>
      <c r="H35" s="586"/>
      <c r="I35" s="594"/>
      <c r="J35" s="99"/>
    </row>
    <row r="36" spans="1:10" ht="15.75">
      <c r="A36" s="173"/>
      <c r="F36" s="109" t="str">
        <f>A2</f>
        <v>Bloco 1</v>
      </c>
      <c r="G36" s="109" t="s">
        <v>45</v>
      </c>
      <c r="H36" s="109" t="s">
        <v>46</v>
      </c>
      <c r="I36" s="174" t="s">
        <v>47</v>
      </c>
      <c r="J36" s="99"/>
    </row>
    <row r="37" spans="1:10" ht="16.5" thickBot="1">
      <c r="A37" s="175"/>
      <c r="B37" s="176"/>
      <c r="C37" s="176"/>
      <c r="D37" s="176"/>
      <c r="E37" s="176"/>
      <c r="F37" s="177">
        <f>A3</f>
        <v>13</v>
      </c>
      <c r="G37" s="177">
        <v>3</v>
      </c>
      <c r="H37" s="178">
        <f>I33</f>
        <v>140506.57416400002</v>
      </c>
      <c r="I37" s="179">
        <f>G37*H37</f>
        <v>421519.72249200009</v>
      </c>
      <c r="J37" s="99"/>
    </row>
  </sheetData>
  <mergeCells count="7">
    <mergeCell ref="F35:I35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51E3-A58A-4FC9-8A97-6C39B2061498}">
  <sheetPr>
    <tabColor theme="9" tint="0.39997558519241921"/>
    <pageSetUpPr fitToPage="1"/>
  </sheetPr>
  <dimension ref="A1:J34"/>
  <sheetViews>
    <sheetView showGridLines="0" zoomScale="80" zoomScaleNormal="80" workbookViewId="0">
      <selection activeCell="I34" sqref="H34:I34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24.1406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PRODUTOS!A17</f>
        <v>14</v>
      </c>
      <c r="B3" s="118" t="str">
        <f>PRODUTOS!B17</f>
        <v xml:space="preserve">DIAGNÓSTICO SOCIOAMBIENTAL PARTICIPATIVO </v>
      </c>
      <c r="C3" s="119"/>
      <c r="D3" s="120"/>
      <c r="E3" s="119" t="str">
        <f>PRODUTOS!C17</f>
        <v>DSAP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SUM(I8:I11)</f>
        <v>70076.332349169825</v>
      </c>
      <c r="J7" s="99"/>
    </row>
    <row r="8" spans="1:10" ht="15.75">
      <c r="A8" s="106"/>
      <c r="B8" s="80" t="s">
        <v>167</v>
      </c>
      <c r="C8" s="125" t="str">
        <f>VLOOKUP(B8,'Preços de Referência'!$A$5:$C$103,2,FALSE)</f>
        <v>Auxiliar</v>
      </c>
      <c r="D8" s="134" t="s">
        <v>15</v>
      </c>
      <c r="E8" s="81">
        <v>3</v>
      </c>
      <c r="F8" s="159">
        <f>'Preços de Referência'!$O$28*(6*5)</f>
        <v>219.99</v>
      </c>
      <c r="G8" s="88">
        <f>VLOOKUP(B8,'Preços de Referência'!$A$5:$C$103,3,FALSE)</f>
        <v>3986.88</v>
      </c>
      <c r="H8" s="88">
        <f>G8/'Preços de Referência'!$O$30</f>
        <v>21.847114910406049</v>
      </c>
      <c r="I8" s="91">
        <f t="shared" ref="I8:I11" si="0">H8*F8*E8</f>
        <v>14418.440427420679</v>
      </c>
      <c r="J8" s="99"/>
    </row>
    <row r="9" spans="1:10" ht="15.75">
      <c r="A9" s="106"/>
      <c r="B9" s="80" t="s">
        <v>162</v>
      </c>
      <c r="C9" s="125" t="str">
        <f>VLOOKUP(B9,'Preços de Referência'!$A$5:$C$103,2,FALSE)</f>
        <v>Assistente social júnior</v>
      </c>
      <c r="D9" s="134" t="s">
        <v>15</v>
      </c>
      <c r="E9" s="81">
        <v>1</v>
      </c>
      <c r="F9" s="159">
        <f>'Preços de Referência'!$O$28*(30+30)</f>
        <v>439.98</v>
      </c>
      <c r="G9" s="88">
        <f>VLOOKUP(B9,'Preços de Referência'!$A$5:$C$103,3,FALSE)</f>
        <v>6796.14</v>
      </c>
      <c r="H9" s="88">
        <f>G9/'Preços de Referência'!$O$30</f>
        <v>37.241163899391751</v>
      </c>
      <c r="I9" s="91">
        <f t="shared" si="0"/>
        <v>16385.367292454383</v>
      </c>
      <c r="J9" s="99"/>
    </row>
    <row r="10" spans="1:10" ht="15.75">
      <c r="A10" s="106"/>
      <c r="B10" s="80" t="s">
        <v>236</v>
      </c>
      <c r="C10" s="125" t="str">
        <f>VLOOKUP(B10,'Preços de Referência'!$A$5:$C$103,2,FALSE)</f>
        <v>Geógrafo júnior</v>
      </c>
      <c r="D10" s="134" t="s">
        <v>15</v>
      </c>
      <c r="E10" s="81">
        <v>1</v>
      </c>
      <c r="F10" s="159">
        <f>'Preços de Referência'!$O$28*(30+30)</f>
        <v>439.98</v>
      </c>
      <c r="G10" s="88">
        <f>VLOOKUP(B10,'Preços de Referência'!$A$5:$C$103,3,FALSE)</f>
        <v>7935.42</v>
      </c>
      <c r="H10" s="88">
        <f>G10/'Preços de Referência'!$O$30</f>
        <v>43.484136117047505</v>
      </c>
      <c r="I10" s="91">
        <f t="shared" si="0"/>
        <v>19132.150208778563</v>
      </c>
      <c r="J10" s="99"/>
    </row>
    <row r="11" spans="1:10" ht="15.75">
      <c r="A11" s="106"/>
      <c r="B11" s="80" t="s">
        <v>299</v>
      </c>
      <c r="C11" s="125" t="str">
        <f>VLOOKUP(B11,'Preços de Referência'!$A$5:$C$103,2,FALSE)</f>
        <v>Sociólogo júnior</v>
      </c>
      <c r="D11" s="134" t="s">
        <v>15</v>
      </c>
      <c r="E11" s="81">
        <v>1</v>
      </c>
      <c r="F11" s="159">
        <f>'Preços de Referência'!$O$28*(30+30)</f>
        <v>439.98</v>
      </c>
      <c r="G11" s="88">
        <f>VLOOKUP(B11,'Preços de Referência'!$A$5:$C$103,3,FALSE)</f>
        <v>8353.6</v>
      </c>
      <c r="H11" s="88">
        <f>G11/'Preços de Referência'!$O$30</f>
        <v>45.775658940215905</v>
      </c>
      <c r="I11" s="91">
        <f t="shared" si="0"/>
        <v>20140.374420516197</v>
      </c>
      <c r="J11" s="99"/>
    </row>
    <row r="12" spans="1:10" ht="15.75">
      <c r="A12" s="128" t="s">
        <v>21</v>
      </c>
      <c r="B12" s="107"/>
      <c r="C12" s="126" t="s">
        <v>22</v>
      </c>
      <c r="D12" s="107"/>
      <c r="E12" s="107"/>
      <c r="F12" s="107"/>
      <c r="G12" s="107"/>
      <c r="H12" s="123"/>
      <c r="I12" s="100">
        <f>I13</f>
        <v>2378.4145519999997</v>
      </c>
      <c r="J12" s="99"/>
    </row>
    <row r="13" spans="1:10" ht="28.5" customHeight="1">
      <c r="A13" s="106"/>
      <c r="B13" s="84" t="s">
        <v>121</v>
      </c>
      <c r="C13" s="125" t="str">
        <f>VLOOKUP(B13,'Preços de Referência'!$E$4:$P$5,2,FALSE)</f>
        <v>Veículo leve - 53 kW (sem motorista)</v>
      </c>
      <c r="D13" s="134" t="s">
        <v>15</v>
      </c>
      <c r="E13" s="81">
        <v>2</v>
      </c>
      <c r="F13" s="159">
        <f>'Preços de Referência'!$O$28*10</f>
        <v>73.33</v>
      </c>
      <c r="G13" s="88">
        <f>VLOOKUP(B13,'Preços de Referência'!$E$4:$P$5,10,FALSE)</f>
        <v>2959.4861999999998</v>
      </c>
      <c r="H13" s="88">
        <f>VLOOKUP(B13,'Preços de Referência'!$E$4:$P$5,12,FALSE)</f>
        <v>16.217199999999998</v>
      </c>
      <c r="I13" s="91">
        <f>H13*F13*E13</f>
        <v>2378.4145519999997</v>
      </c>
      <c r="J13" s="99"/>
    </row>
    <row r="14" spans="1:10" ht="30" hidden="1">
      <c r="A14" s="128" t="s">
        <v>24</v>
      </c>
      <c r="B14" s="107"/>
      <c r="C14" s="126" t="s">
        <v>25</v>
      </c>
      <c r="D14" s="107"/>
      <c r="E14" s="107"/>
      <c r="F14" s="107"/>
      <c r="G14" s="107"/>
      <c r="H14" s="123"/>
      <c r="I14" s="100">
        <v>0</v>
      </c>
      <c r="J14" s="99"/>
    </row>
    <row r="15" spans="1:10" ht="15.75" hidden="1">
      <c r="A15" s="106"/>
      <c r="B15" s="80" t="s">
        <v>26</v>
      </c>
      <c r="C15" s="125" t="s">
        <v>27</v>
      </c>
      <c r="D15" s="134" t="s">
        <v>15</v>
      </c>
      <c r="E15" s="81">
        <v>6</v>
      </c>
      <c r="F15" s="81">
        <f>'Preços de Referência'!$O$28*5</f>
        <v>36.664999999999999</v>
      </c>
      <c r="G15" s="81">
        <v>223.422507</v>
      </c>
      <c r="H15" s="88">
        <v>1.2242999999999999</v>
      </c>
      <c r="I15" s="91">
        <f>H15*F15*E15</f>
        <v>269.33375699999999</v>
      </c>
      <c r="J15" s="99"/>
    </row>
    <row r="16" spans="1:10" ht="28.5" hidden="1">
      <c r="A16" s="106"/>
      <c r="B16" s="80" t="s">
        <v>28</v>
      </c>
      <c r="C16" s="125" t="s">
        <v>29</v>
      </c>
      <c r="D16" s="134" t="s">
        <v>15</v>
      </c>
      <c r="E16" s="81">
        <v>1</v>
      </c>
      <c r="F16" s="81">
        <f>'Preços de Referência'!$O$28*5</f>
        <v>36.664999999999999</v>
      </c>
      <c r="G16" s="81">
        <f>E16*F16</f>
        <v>36.664999999999999</v>
      </c>
      <c r="H16" s="88">
        <v>5.16</v>
      </c>
      <c r="I16" s="91">
        <f>H16*F16*E16</f>
        <v>189.19139999999999</v>
      </c>
      <c r="J16" s="99"/>
    </row>
    <row r="17" spans="1:10" ht="15.75" hidden="1">
      <c r="A17" s="128" t="s">
        <v>30</v>
      </c>
      <c r="B17" s="107"/>
      <c r="C17" s="126" t="s">
        <v>31</v>
      </c>
      <c r="D17" s="107"/>
      <c r="E17" s="107"/>
      <c r="F17" s="107"/>
      <c r="G17" s="107"/>
      <c r="H17" s="123"/>
      <c r="I17" s="100">
        <v>0</v>
      </c>
      <c r="J17" s="99"/>
    </row>
    <row r="18" spans="1:10" ht="15.75" hidden="1">
      <c r="A18" s="129" t="s">
        <v>32</v>
      </c>
      <c r="B18" s="108"/>
      <c r="C18" s="127" t="s">
        <v>33</v>
      </c>
      <c r="D18" s="108"/>
      <c r="E18" s="108"/>
      <c r="F18" s="108"/>
      <c r="G18" s="108"/>
      <c r="H18" s="124"/>
      <c r="I18" s="101"/>
      <c r="J18" s="99"/>
    </row>
    <row r="19" spans="1:10" ht="28.5" hidden="1">
      <c r="A19" s="106"/>
      <c r="B19" s="80" t="s">
        <v>34</v>
      </c>
      <c r="C19" s="125" t="str">
        <f>VLOOKUP(B19,'Preços de Referência'!$F$74:$J$83,2,FALSE)</f>
        <v>Comercial (2,60% do CMCC - SINAPI)</v>
      </c>
      <c r="D19" s="80" t="str">
        <f>VLOOKUP(B19,'Preços de Referência'!$F$74:$J$83,4,FALSE)</f>
        <v>m² x mês</v>
      </c>
      <c r="E19" s="81">
        <f>12.41*6</f>
        <v>74.460000000000008</v>
      </c>
      <c r="F19" s="81">
        <f>'Preços de Referência'!$O$28*5</f>
        <v>36.664999999999999</v>
      </c>
      <c r="G19" s="89">
        <f>VLOOKUP(B19,'Preços de Referência'!$F$74:$J$83,5,FALSE)</f>
        <v>47.75</v>
      </c>
      <c r="H19" s="88">
        <f>G19/'Preços de Referência'!$O$30</f>
        <v>0.26165817305057809</v>
      </c>
      <c r="I19" s="91">
        <v>0</v>
      </c>
      <c r="J19" s="99"/>
    </row>
    <row r="20" spans="1:10" ht="15.75" hidden="1">
      <c r="A20" s="129" t="s">
        <v>35</v>
      </c>
      <c r="B20" s="108"/>
      <c r="C20" s="127" t="s">
        <v>36</v>
      </c>
      <c r="D20" s="108"/>
      <c r="E20" s="108"/>
      <c r="F20" s="108"/>
      <c r="G20" s="108"/>
      <c r="H20" s="124"/>
      <c r="I20" s="101"/>
      <c r="J20" s="99"/>
    </row>
    <row r="21" spans="1:10" ht="15.75" hidden="1">
      <c r="A21" s="106"/>
      <c r="B21" s="80" t="s">
        <v>37</v>
      </c>
      <c r="C21" s="125" t="str">
        <f>VLOOKUP(B21,'Preços de Referência'!$F$74:$J$83,2,FALSE)</f>
        <v>Escritório</v>
      </c>
      <c r="D21" s="80" t="str">
        <f>VLOOKUP(B21,'Preços de Referência'!$F$74:$J$83,4,FALSE)</f>
        <v>ocupante x mês</v>
      </c>
      <c r="E21" s="81">
        <v>6</v>
      </c>
      <c r="F21" s="81">
        <f>'Preços de Referência'!$O$28*5</f>
        <v>36.664999999999999</v>
      </c>
      <c r="G21" s="89">
        <f>VLOOKUP(B21,'Preços de Referência'!$F$74:$J$83,5,FALSE)</f>
        <v>490.4</v>
      </c>
      <c r="H21" s="88">
        <f>G21/'Preços de Referência'!$O$30</f>
        <v>2.6872705353718009</v>
      </c>
      <c r="I21" s="91">
        <f>H21*F21*E21</f>
        <v>591.17264507644245</v>
      </c>
      <c r="J21" s="99"/>
    </row>
    <row r="22" spans="1:10" ht="15.75" hidden="1">
      <c r="A22" s="129" t="s">
        <v>38</v>
      </c>
      <c r="B22" s="108"/>
      <c r="C22" s="127" t="s">
        <v>39</v>
      </c>
      <c r="D22" s="108"/>
      <c r="E22" s="108"/>
      <c r="F22" s="108"/>
      <c r="G22" s="108"/>
      <c r="H22" s="124"/>
      <c r="I22" s="101"/>
      <c r="J22" s="99"/>
    </row>
    <row r="23" spans="1:10" ht="15.75" hidden="1">
      <c r="A23" s="106"/>
      <c r="B23" s="80" t="s">
        <v>40</v>
      </c>
      <c r="C23" s="125" t="str">
        <f>VLOOKUP(B23,'Preços de Referência'!$F$74:$J$83,2,FALSE)</f>
        <v>Escritório</v>
      </c>
      <c r="D23" s="80" t="str">
        <f>VLOOKUP(B23,'Preços de Referência'!$F$74:$J$83,4,FALSE)</f>
        <v>ocupante x mês</v>
      </c>
      <c r="E23" s="81">
        <v>6</v>
      </c>
      <c r="F23" s="81">
        <f>'Preços de Referência'!$O$28*5</f>
        <v>36.664999999999999</v>
      </c>
      <c r="G23" s="89">
        <f>VLOOKUP(B23,'Preços de Referência'!$F$74:$J$83,5,FALSE)</f>
        <v>135.22</v>
      </c>
      <c r="H23" s="88">
        <f>G23/'Preços de Referência'!$O$30</f>
        <v>0.74097210806071556</v>
      </c>
      <c r="I23" s="91">
        <f>H23*F23*E23</f>
        <v>163.00645405227681</v>
      </c>
      <c r="J23" s="99"/>
    </row>
    <row r="24" spans="1:10" ht="15.75">
      <c r="A24" s="160" t="s">
        <v>24</v>
      </c>
      <c r="B24" s="161"/>
      <c r="C24" s="162" t="s">
        <v>360</v>
      </c>
      <c r="D24" s="161"/>
      <c r="E24" s="161"/>
      <c r="F24" s="161"/>
      <c r="G24" s="161"/>
      <c r="H24" s="161"/>
      <c r="I24" s="163">
        <f>SUM(I25:I26)</f>
        <v>72445.9614</v>
      </c>
    </row>
    <row r="25" spans="1:10" ht="28.5">
      <c r="A25" s="164"/>
      <c r="B25" s="169" t="s">
        <v>198</v>
      </c>
      <c r="C25" s="165" t="str">
        <f>VLOOKUP(B25,'Preços de Referência'!$P$69:$W$70,2,FALSE)</f>
        <v>DIÁRIA (CONF. DECRETO 11.117 PR - CUSTO MEDIANO</v>
      </c>
      <c r="D25" s="134" t="s">
        <v>122</v>
      </c>
      <c r="E25" s="135">
        <v>6</v>
      </c>
      <c r="F25" s="135">
        <v>30</v>
      </c>
      <c r="G25" s="330">
        <f>VLOOKUP(B25,'Preços de Referência'!$P$69:$W$70,6,FALSE)</f>
        <v>380</v>
      </c>
      <c r="H25" s="167"/>
      <c r="I25" s="168">
        <f>E25*F25*G25</f>
        <v>68400</v>
      </c>
    </row>
    <row r="26" spans="1:10" ht="28.5">
      <c r="A26" s="164"/>
      <c r="B26" s="169" t="s">
        <v>194</v>
      </c>
      <c r="C26" s="165" t="str">
        <f>VLOOKUP(B26,'Preços de Referência'!$P$69:$W$70,2,FALSE)</f>
        <v>PASSAGEM AÉREA - DESTINO NACIONAL (Cotação JUL/24)*</v>
      </c>
      <c r="D26" s="134" t="s">
        <v>122</v>
      </c>
      <c r="E26" s="135">
        <v>3</v>
      </c>
      <c r="F26" s="135">
        <v>1</v>
      </c>
      <c r="G26" s="330">
        <f>VLOOKUP(B26,'Preços de Referência'!$P$69:$W$70,6,FALSE)</f>
        <v>1348.6538</v>
      </c>
      <c r="H26" s="167"/>
      <c r="I26" s="168">
        <f>E26*F26*G26</f>
        <v>4045.9614000000001</v>
      </c>
    </row>
    <row r="27" spans="1:10" ht="15.75">
      <c r="A27" s="359"/>
      <c r="B27" s="193"/>
      <c r="C27" s="82"/>
      <c r="D27" s="82"/>
      <c r="E27" s="82"/>
      <c r="F27" s="82"/>
      <c r="G27" s="82"/>
      <c r="H27" s="248" t="s">
        <v>41</v>
      </c>
      <c r="I27" s="92">
        <f>I7+I14+I17+I12+I24</f>
        <v>144900.70830116983</v>
      </c>
      <c r="J27" s="99"/>
    </row>
    <row r="28" spans="1:10" ht="15.75">
      <c r="A28" s="93"/>
      <c r="B28" s="83"/>
      <c r="C28" s="83"/>
      <c r="D28" s="83"/>
      <c r="E28" s="83"/>
      <c r="F28" s="83"/>
      <c r="G28" s="474" t="s">
        <v>42</v>
      </c>
      <c r="H28" s="252">
        <f>BDI!$D$17</f>
        <v>0.44579999999999997</v>
      </c>
      <c r="I28" s="94">
        <f>I27*H28</f>
        <v>64596.735760661504</v>
      </c>
      <c r="J28" s="99"/>
    </row>
    <row r="29" spans="1:10" ht="16.5" customHeight="1" thickBot="1">
      <c r="A29" s="360"/>
      <c r="B29" s="194"/>
      <c r="C29" s="194"/>
      <c r="D29" s="95"/>
      <c r="E29" s="95"/>
      <c r="F29" s="95"/>
      <c r="G29" s="95"/>
      <c r="H29" s="181" t="s">
        <v>497</v>
      </c>
      <c r="I29" s="96">
        <f>I27+I28</f>
        <v>209497.44406183134</v>
      </c>
      <c r="J29" s="99"/>
    </row>
    <row r="30" spans="1:10" ht="15.75" thickBot="1">
      <c r="A30" s="476"/>
      <c r="B30" s="477"/>
      <c r="C30" s="477"/>
      <c r="D30" s="477"/>
      <c r="E30" s="477"/>
      <c r="F30" s="477"/>
      <c r="G30" s="478"/>
      <c r="H30" s="479" t="s">
        <v>524</v>
      </c>
      <c r="I30" s="480">
        <f>1.07765625</f>
        <v>1.07765625</v>
      </c>
    </row>
    <row r="31" spans="1:10" ht="16.5" customHeight="1" thickBot="1">
      <c r="A31" s="597"/>
      <c r="B31" s="598"/>
      <c r="C31" s="598"/>
      <c r="D31" s="95"/>
      <c r="E31" s="95"/>
      <c r="F31" s="95"/>
      <c r="G31" s="95"/>
      <c r="H31" s="181" t="s">
        <v>43</v>
      </c>
      <c r="I31" s="96">
        <f>(I29/6)*I30</f>
        <v>37627.704992042985</v>
      </c>
      <c r="J31" s="99"/>
    </row>
    <row r="32" spans="1:10" ht="15.75">
      <c r="A32" s="173"/>
      <c r="F32" s="585" t="s">
        <v>44</v>
      </c>
      <c r="G32" s="586"/>
      <c r="H32" s="586"/>
      <c r="I32" s="594"/>
      <c r="J32" s="99"/>
    </row>
    <row r="33" spans="1:10" ht="15.75">
      <c r="A33" s="173"/>
      <c r="F33" s="109" t="str">
        <f>A2</f>
        <v>Bloco 1</v>
      </c>
      <c r="G33" s="109" t="s">
        <v>45</v>
      </c>
      <c r="H33" s="109" t="s">
        <v>46</v>
      </c>
      <c r="I33" s="174" t="s">
        <v>47</v>
      </c>
      <c r="J33" s="99"/>
    </row>
    <row r="34" spans="1:10" ht="19.5" thickBot="1">
      <c r="A34" s="175"/>
      <c r="B34" s="176"/>
      <c r="C34" s="176"/>
      <c r="D34" s="176"/>
      <c r="E34" s="176"/>
      <c r="F34" s="189">
        <f>A3</f>
        <v>14</v>
      </c>
      <c r="G34" s="189">
        <v>18</v>
      </c>
      <c r="H34" s="190">
        <f>I31</f>
        <v>37627.704992042985</v>
      </c>
      <c r="I34" s="191">
        <f>G34*H34</f>
        <v>677298.68985677371</v>
      </c>
      <c r="J34" s="99"/>
    </row>
  </sheetData>
  <mergeCells count="8">
    <mergeCell ref="F32:I32"/>
    <mergeCell ref="A31:C31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26EC1-228B-4AED-BFB9-E22098FDE515}">
  <sheetPr>
    <tabColor theme="9" tint="0.39997558519241921"/>
    <pageSetUpPr fitToPage="1"/>
  </sheetPr>
  <dimension ref="A1:J39"/>
  <sheetViews>
    <sheetView showGridLines="0" topLeftCell="A3" zoomScale="80" zoomScaleNormal="80" workbookViewId="0">
      <selection activeCell="H39" sqref="H39:I39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33.75" customHeight="1" thickBot="1">
      <c r="A3" s="117">
        <f>PRODUTOS!A18</f>
        <v>15</v>
      </c>
      <c r="B3" s="599" t="str">
        <f>PRODUTOS!B18</f>
        <v>ELABORAÇÃO/REVISÃO DE PLANO DE GESTÃO AMBIENTAL (PGA) OU DOCUMENTO SIMILAR – TIPO I</v>
      </c>
      <c r="C3" s="599"/>
      <c r="D3" s="599"/>
      <c r="E3" s="119" t="str">
        <f>PRODUTOS!C18</f>
        <v>PGA.I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SUM(I8:I16)</f>
        <v>181326.22813085647</v>
      </c>
      <c r="J7" s="99"/>
    </row>
    <row r="8" spans="1:10" ht="15.75">
      <c r="A8" s="106"/>
      <c r="B8" s="80" t="s">
        <v>186</v>
      </c>
      <c r="C8" s="125" t="str">
        <f>VLOOKUP(B8,'Preços de Referência'!$A$5:$C$103,2,FALSE)</f>
        <v xml:space="preserve">Coordenador ambiental </v>
      </c>
      <c r="D8" s="134" t="s">
        <v>15</v>
      </c>
      <c r="E8" s="182">
        <v>1</v>
      </c>
      <c r="F8" s="159">
        <f>'Preços de Referência'!$O$28*10</f>
        <v>73.33</v>
      </c>
      <c r="G8" s="88">
        <f>VLOOKUP(B8,'Preços de Referência'!$A$5:$C$103,3,FALSE)</f>
        <v>34290.74</v>
      </c>
      <c r="H8" s="88">
        <f>G8/'Preços de Referência'!$O$30</f>
        <v>187.9047619047619</v>
      </c>
      <c r="I8" s="91">
        <f t="shared" ref="I8:I16" si="0">H8*F8*E8</f>
        <v>13779.056190476189</v>
      </c>
      <c r="J8" s="99"/>
    </row>
    <row r="9" spans="1:10" ht="15.75">
      <c r="A9" s="106"/>
      <c r="B9" s="80" t="s">
        <v>167</v>
      </c>
      <c r="C9" s="125" t="str">
        <f>VLOOKUP(B9,'Preços de Referência'!$A$5:$C$103,2,FALSE)</f>
        <v>Auxiliar</v>
      </c>
      <c r="D9" s="134" t="s">
        <v>15</v>
      </c>
      <c r="E9" s="182">
        <v>4</v>
      </c>
      <c r="F9" s="159">
        <f>'Preços de Referência'!$O$28*10*2</f>
        <v>146.66</v>
      </c>
      <c r="G9" s="88">
        <f>VLOOKUP(B9,'Preços de Referência'!$A$5:$C$103,3,FALSE)</f>
        <v>3986.88</v>
      </c>
      <c r="H9" s="88">
        <f>G9/'Preços de Referência'!$O$30</f>
        <v>21.847114910406049</v>
      </c>
      <c r="I9" s="91">
        <f t="shared" si="0"/>
        <v>12816.391491040604</v>
      </c>
      <c r="J9" s="99"/>
    </row>
    <row r="10" spans="1:10" ht="15.75">
      <c r="A10" s="106"/>
      <c r="B10" s="80" t="s">
        <v>14</v>
      </c>
      <c r="C10" s="125" t="str">
        <f>VLOOKUP(B10,'Preços de Referência'!$A$5:$C$103,2,FALSE)</f>
        <v>Biólogo pleno</v>
      </c>
      <c r="D10" s="134" t="s">
        <v>15</v>
      </c>
      <c r="E10" s="182">
        <v>4</v>
      </c>
      <c r="F10" s="159">
        <f>'Preços de Referência'!$O$28*40</f>
        <v>293.32</v>
      </c>
      <c r="G10" s="88">
        <f>VLOOKUP(B10,'Preços de Referência'!$A$5:$C$103,3,FALSE)</f>
        <v>8782.2099999999991</v>
      </c>
      <c r="H10" s="88">
        <f>G10/'Preços de Referência'!$O$30</f>
        <v>48.124335580031776</v>
      </c>
      <c r="I10" s="91">
        <f>H10*F10*E10</f>
        <v>56463.320449339677</v>
      </c>
      <c r="J10" s="99"/>
    </row>
    <row r="11" spans="1:10" ht="15.75">
      <c r="A11" s="106"/>
      <c r="B11" s="80" t="s">
        <v>16</v>
      </c>
      <c r="C11" s="125" t="str">
        <f>VLOOKUP(B11,'Preços de Referência'!$A$5:$C$103,2,FALSE)</f>
        <v>Engenheiro florestal pleno</v>
      </c>
      <c r="D11" s="134" t="s">
        <v>15</v>
      </c>
      <c r="E11" s="182">
        <v>1</v>
      </c>
      <c r="F11" s="159">
        <f>'Preços de Referência'!$O$30*1</f>
        <v>182.49</v>
      </c>
      <c r="G11" s="88">
        <f>VLOOKUP(B11,'Preços de Referência'!$A$5:$C$103,3,FALSE)</f>
        <v>23790.89</v>
      </c>
      <c r="H11" s="88">
        <f>G11/'Preços de Referência'!$O$30</f>
        <v>130.36818455805798</v>
      </c>
      <c r="I11" s="91">
        <f>H11*F11*E11</f>
        <v>23790.890000000003</v>
      </c>
      <c r="J11" s="99"/>
    </row>
    <row r="12" spans="1:10" ht="15.75">
      <c r="A12" s="106"/>
      <c r="B12" s="80" t="s">
        <v>19</v>
      </c>
      <c r="C12" s="125" t="str">
        <f>VLOOKUP(B12,'Preços de Referência'!$A$5:$C$103,2,FALSE)</f>
        <v>Geólogo pleno</v>
      </c>
      <c r="D12" s="134" t="s">
        <v>15</v>
      </c>
      <c r="E12" s="182">
        <v>1</v>
      </c>
      <c r="F12" s="159">
        <f>'Preços de Referência'!$O$30*1</f>
        <v>182.49</v>
      </c>
      <c r="G12" s="88">
        <f>VLOOKUP(B12,'Preços de Referência'!$A$5:$C$103,3,FALSE)</f>
        <v>22360.25</v>
      </c>
      <c r="H12" s="88">
        <f>G12/'Preços de Referência'!$O$30</f>
        <v>122.52863170584689</v>
      </c>
      <c r="I12" s="91">
        <f t="shared" si="0"/>
        <v>22360.25</v>
      </c>
      <c r="J12" s="99"/>
    </row>
    <row r="13" spans="1:10" ht="15.75">
      <c r="A13" s="106"/>
      <c r="B13" s="80" t="s">
        <v>20</v>
      </c>
      <c r="C13" s="125" t="str">
        <f>VLOOKUP(B13,'Preços de Referência'!$A$5:$C$103,2,FALSE)</f>
        <v>Geógrafo pleno</v>
      </c>
      <c r="D13" s="134" t="s">
        <v>15</v>
      </c>
      <c r="E13" s="182">
        <v>1</v>
      </c>
      <c r="F13" s="159">
        <f>'Preços de Referência'!$O$30*1</f>
        <v>182.49</v>
      </c>
      <c r="G13" s="88">
        <f>VLOOKUP(B13,'Preços de Referência'!$A$5:$C$103,3,FALSE)</f>
        <v>10237.07</v>
      </c>
      <c r="H13" s="88">
        <f>G13/'Preços de Referência'!$O$30</f>
        <v>56.09660803331689</v>
      </c>
      <c r="I13" s="91">
        <f t="shared" si="0"/>
        <v>10237.07</v>
      </c>
      <c r="J13" s="99"/>
    </row>
    <row r="14" spans="1:10" ht="15.75">
      <c r="A14" s="106"/>
      <c r="B14" s="80" t="s">
        <v>17</v>
      </c>
      <c r="C14" s="125" t="str">
        <f>VLOOKUP(B14,'Preços de Referência'!$A$5:$C$103,2,FALSE)</f>
        <v>Técnico em geoprocessamento</v>
      </c>
      <c r="D14" s="134" t="s">
        <v>15</v>
      </c>
      <c r="E14" s="182">
        <v>1</v>
      </c>
      <c r="F14" s="159">
        <f>'Preços de Referência'!$O$30*1</f>
        <v>182.49</v>
      </c>
      <c r="G14" s="88">
        <f>VLOOKUP(B14,'Preços de Referência'!$A$5:$C$103,3,FALSE)</f>
        <v>6120.29</v>
      </c>
      <c r="H14" s="88">
        <f>G14/'Preços de Referência'!$O$30</f>
        <v>33.537673297166968</v>
      </c>
      <c r="I14" s="91">
        <f t="shared" si="0"/>
        <v>6120.29</v>
      </c>
      <c r="J14" s="99"/>
    </row>
    <row r="15" spans="1:10" ht="15.75">
      <c r="A15" s="106"/>
      <c r="B15" s="80" t="s">
        <v>18</v>
      </c>
      <c r="C15" s="125" t="str">
        <f>VLOOKUP(B15,'Preços de Referência'!$A$5:$C$103,2,FALSE)</f>
        <v>Engenheiro ambiental pleno</v>
      </c>
      <c r="D15" s="134" t="s">
        <v>15</v>
      </c>
      <c r="E15" s="182">
        <v>1</v>
      </c>
      <c r="F15" s="159">
        <f>'Preços de Referência'!$O$30*1</f>
        <v>182.49</v>
      </c>
      <c r="G15" s="88">
        <f>VLOOKUP(B15,'Preços de Referência'!$A$5:$C$103,3,FALSE)</f>
        <v>24964.47</v>
      </c>
      <c r="H15" s="88">
        <f>G15/'Preços de Referência'!$O$30</f>
        <v>136.79911228012494</v>
      </c>
      <c r="I15" s="91">
        <f t="shared" si="0"/>
        <v>24964.47</v>
      </c>
      <c r="J15" s="99"/>
    </row>
    <row r="16" spans="1:10" ht="15.75">
      <c r="A16" s="106"/>
      <c r="B16" s="80" t="s">
        <v>301</v>
      </c>
      <c r="C16" s="125" t="str">
        <f>VLOOKUP(B16,'Preços de Referência'!$A$5:$C$103,2,FALSE)</f>
        <v>Sociólogo pleno</v>
      </c>
      <c r="D16" s="134" t="s">
        <v>15</v>
      </c>
      <c r="E16" s="182">
        <v>1</v>
      </c>
      <c r="F16" s="159">
        <f>'Preços de Referência'!$O$30*1</f>
        <v>182.49</v>
      </c>
      <c r="G16" s="88">
        <f>VLOOKUP(B16,'Preços de Referência'!$A$5:$C$103,3,FALSE)</f>
        <v>10794.49</v>
      </c>
      <c r="H16" s="88">
        <f>G16/'Preços de Referência'!$O$30</f>
        <v>59.151131568853081</v>
      </c>
      <c r="I16" s="91">
        <f t="shared" si="0"/>
        <v>10794.49</v>
      </c>
      <c r="J16" s="99"/>
    </row>
    <row r="17" spans="1:10" ht="15.75">
      <c r="A17" s="128" t="s">
        <v>21</v>
      </c>
      <c r="B17" s="107"/>
      <c r="C17" s="126" t="s">
        <v>22</v>
      </c>
      <c r="D17" s="107"/>
      <c r="E17" s="107"/>
      <c r="F17" s="107"/>
      <c r="G17" s="107"/>
      <c r="H17" s="123"/>
      <c r="I17" s="100">
        <f>I18</f>
        <v>9975.3585540000004</v>
      </c>
      <c r="J17" s="99"/>
    </row>
    <row r="18" spans="1:10" ht="28.5" customHeight="1">
      <c r="A18" s="106"/>
      <c r="B18" s="84" t="s">
        <v>23</v>
      </c>
      <c r="C18" s="125" t="str">
        <f>VLOOKUP(B18,'Preços de Referência'!$E$4:$P$5,2,FALSE)</f>
        <v>Veículo leve picape 4 x 4 com capacidade de 1,10 t - 147 kW (sem motorista)</v>
      </c>
      <c r="D18" s="134" t="s">
        <v>15</v>
      </c>
      <c r="E18" s="81">
        <v>2</v>
      </c>
      <c r="F18" s="159">
        <f>'Preços de Referência'!$O$28*15</f>
        <v>109.995</v>
      </c>
      <c r="G18" s="88">
        <f>VLOOKUP(B18,'Preços de Referência'!$E$4:$P$5,10,FALSE)</f>
        <v>8274.9513000000006</v>
      </c>
      <c r="H18" s="88">
        <f>VLOOKUP(B18,'Preços de Referência'!$E$4:$P$5,12,FALSE)</f>
        <v>45.3446</v>
      </c>
      <c r="I18" s="91">
        <f>H18*F18*E18</f>
        <v>9975.3585540000004</v>
      </c>
      <c r="J18" s="99"/>
    </row>
    <row r="19" spans="1:10" ht="30" hidden="1">
      <c r="A19" s="128" t="s">
        <v>24</v>
      </c>
      <c r="B19" s="107"/>
      <c r="C19" s="126" t="s">
        <v>25</v>
      </c>
      <c r="D19" s="107"/>
      <c r="E19" s="107"/>
      <c r="F19" s="107"/>
      <c r="G19" s="107"/>
      <c r="H19" s="123"/>
      <c r="I19" s="100">
        <v>0</v>
      </c>
      <c r="J19" s="99"/>
    </row>
    <row r="20" spans="1:10" ht="15.75" hidden="1">
      <c r="A20" s="106"/>
      <c r="B20" s="80" t="s">
        <v>26</v>
      </c>
      <c r="C20" s="125" t="s">
        <v>27</v>
      </c>
      <c r="D20" s="134" t="s">
        <v>15</v>
      </c>
      <c r="E20" s="81">
        <v>6</v>
      </c>
      <c r="F20" s="81">
        <f>'Preços de Referência'!$O$28*5</f>
        <v>36.664999999999999</v>
      </c>
      <c r="G20" s="81">
        <v>223.422507</v>
      </c>
      <c r="H20" s="88">
        <v>1.2242999999999999</v>
      </c>
      <c r="I20" s="91">
        <f>H20*F20*E20</f>
        <v>269.33375699999999</v>
      </c>
      <c r="J20" s="99"/>
    </row>
    <row r="21" spans="1:10" ht="28.5" hidden="1">
      <c r="A21" s="106"/>
      <c r="B21" s="80" t="s">
        <v>28</v>
      </c>
      <c r="C21" s="125" t="s">
        <v>29</v>
      </c>
      <c r="D21" s="134" t="s">
        <v>15</v>
      </c>
      <c r="E21" s="81">
        <v>1</v>
      </c>
      <c r="F21" s="81">
        <f>'Preços de Referência'!$O$28*5</f>
        <v>36.664999999999999</v>
      </c>
      <c r="G21" s="81">
        <f>E21*F21</f>
        <v>36.664999999999999</v>
      </c>
      <c r="H21" s="88">
        <v>5.16</v>
      </c>
      <c r="I21" s="91">
        <f>H21*F21*E21</f>
        <v>189.19139999999999</v>
      </c>
      <c r="J21" s="99"/>
    </row>
    <row r="22" spans="1:10" ht="15.75" hidden="1">
      <c r="A22" s="128" t="s">
        <v>30</v>
      </c>
      <c r="B22" s="107"/>
      <c r="C22" s="126" t="s">
        <v>31</v>
      </c>
      <c r="D22" s="107"/>
      <c r="E22" s="107"/>
      <c r="F22" s="107"/>
      <c r="G22" s="107"/>
      <c r="H22" s="123"/>
      <c r="I22" s="100">
        <v>0</v>
      </c>
      <c r="J22" s="99"/>
    </row>
    <row r="23" spans="1:10" ht="15.75" hidden="1">
      <c r="A23" s="129" t="s">
        <v>32</v>
      </c>
      <c r="B23" s="108"/>
      <c r="C23" s="127" t="s">
        <v>33</v>
      </c>
      <c r="D23" s="108"/>
      <c r="E23" s="108"/>
      <c r="F23" s="108"/>
      <c r="G23" s="108"/>
      <c r="H23" s="124"/>
      <c r="I23" s="101"/>
      <c r="J23" s="99"/>
    </row>
    <row r="24" spans="1:10" ht="28.5" hidden="1">
      <c r="A24" s="106"/>
      <c r="B24" s="80" t="s">
        <v>34</v>
      </c>
      <c r="C24" s="125" t="str">
        <f>VLOOKUP(B24,'Preços de Referência'!$F$74:$J$83,2,FALSE)</f>
        <v>Comercial (2,60% do CMCC - SINAPI)</v>
      </c>
      <c r="D24" s="80" t="str">
        <f>VLOOKUP(B24,'Preços de Referência'!$F$74:$J$83,4,FALSE)</f>
        <v>m² x mês</v>
      </c>
      <c r="E24" s="81">
        <f>12.41*6</f>
        <v>74.460000000000008</v>
      </c>
      <c r="F24" s="81">
        <f>'Preços de Referência'!$O$28*5</f>
        <v>36.664999999999999</v>
      </c>
      <c r="G24" s="89">
        <f>VLOOKUP(B24,'Preços de Referência'!$F$74:$J$83,5,FALSE)</f>
        <v>47.75</v>
      </c>
      <c r="H24" s="88">
        <f>G24/'Preços de Referência'!$O$30</f>
        <v>0.26165817305057809</v>
      </c>
      <c r="I24" s="91">
        <v>0</v>
      </c>
      <c r="J24" s="99"/>
    </row>
    <row r="25" spans="1:10" ht="15.75" hidden="1">
      <c r="A25" s="129" t="s">
        <v>35</v>
      </c>
      <c r="B25" s="108"/>
      <c r="C25" s="127" t="s">
        <v>36</v>
      </c>
      <c r="D25" s="108"/>
      <c r="E25" s="108"/>
      <c r="F25" s="108"/>
      <c r="G25" s="108"/>
      <c r="H25" s="124"/>
      <c r="I25" s="101"/>
      <c r="J25" s="99"/>
    </row>
    <row r="26" spans="1:10" ht="15.75" hidden="1">
      <c r="A26" s="106"/>
      <c r="B26" s="80" t="s">
        <v>37</v>
      </c>
      <c r="C26" s="125" t="str">
        <f>VLOOKUP(B26,'Preços de Referência'!$F$74:$J$83,2,FALSE)</f>
        <v>Escritório</v>
      </c>
      <c r="D26" s="80" t="str">
        <f>VLOOKUP(B26,'Preços de Referência'!$F$74:$J$83,4,FALSE)</f>
        <v>ocupante x mês</v>
      </c>
      <c r="E26" s="81">
        <v>6</v>
      </c>
      <c r="F26" s="81">
        <f>'Preços de Referência'!$O$28*5</f>
        <v>36.664999999999999</v>
      </c>
      <c r="G26" s="89">
        <f>VLOOKUP(B26,'Preços de Referência'!$F$74:$J$83,5,FALSE)</f>
        <v>490.4</v>
      </c>
      <c r="H26" s="88">
        <f>G26/'Preços de Referência'!$O$30</f>
        <v>2.6872705353718009</v>
      </c>
      <c r="I26" s="91">
        <f>H26*F26*E26</f>
        <v>591.17264507644245</v>
      </c>
      <c r="J26" s="99"/>
    </row>
    <row r="27" spans="1:10" ht="15.75" hidden="1">
      <c r="A27" s="129" t="s">
        <v>38</v>
      </c>
      <c r="B27" s="108"/>
      <c r="C27" s="127" t="s">
        <v>39</v>
      </c>
      <c r="D27" s="108"/>
      <c r="E27" s="108"/>
      <c r="F27" s="108"/>
      <c r="G27" s="108"/>
      <c r="H27" s="124"/>
      <c r="I27" s="101"/>
      <c r="J27" s="99"/>
    </row>
    <row r="28" spans="1:10" ht="15.75" hidden="1">
      <c r="A28" s="106"/>
      <c r="B28" s="80" t="s">
        <v>40</v>
      </c>
      <c r="C28" s="125" t="str">
        <f>VLOOKUP(B28,'Preços de Referência'!$F$74:$J$83,2,FALSE)</f>
        <v>Escritório</v>
      </c>
      <c r="D28" s="80" t="str">
        <f>VLOOKUP(B28,'Preços de Referência'!$F$74:$J$83,4,FALSE)</f>
        <v>ocupante x mês</v>
      </c>
      <c r="E28" s="81">
        <v>6</v>
      </c>
      <c r="F28" s="81">
        <f>'Preços de Referência'!$O$28*5</f>
        <v>36.664999999999999</v>
      </c>
      <c r="G28" s="89">
        <f>VLOOKUP(B28,'Preços de Referência'!$F$74:$J$83,5,FALSE)</f>
        <v>135.22</v>
      </c>
      <c r="H28" s="88">
        <f>G28/'Preços de Referência'!$O$30</f>
        <v>0.74097210806071556</v>
      </c>
      <c r="I28" s="91">
        <f>H28*F28*E28</f>
        <v>163.00645405227681</v>
      </c>
      <c r="J28" s="99"/>
    </row>
    <row r="29" spans="1:10" ht="15.75">
      <c r="A29" s="160" t="s">
        <v>24</v>
      </c>
      <c r="B29" s="161"/>
      <c r="C29" s="162" t="s">
        <v>360</v>
      </c>
      <c r="D29" s="161"/>
      <c r="E29" s="161"/>
      <c r="F29" s="161"/>
      <c r="G29" s="161"/>
      <c r="H29" s="161"/>
      <c r="I29" s="163">
        <f>SUM(I30:I31)</f>
        <v>50994.6152</v>
      </c>
    </row>
    <row r="30" spans="1:10" ht="28.5">
      <c r="A30" s="164"/>
      <c r="B30" s="169" t="s">
        <v>198</v>
      </c>
      <c r="C30" s="165" t="str">
        <f>VLOOKUP(B30,'Preços de Referência'!$P$69:$W$70,2,FALSE)</f>
        <v>DIÁRIA (CONF. DECRETO 11.117 PR - CUSTO MEDIANO</v>
      </c>
      <c r="D30" s="134" t="s">
        <v>122</v>
      </c>
      <c r="E30" s="192">
        <v>8</v>
      </c>
      <c r="F30" s="192">
        <v>15</v>
      </c>
      <c r="G30" s="330">
        <f>VLOOKUP(B30,'Preços de Referência'!$P$69:$W$70,6,FALSE)</f>
        <v>380</v>
      </c>
      <c r="H30" s="266"/>
      <c r="I30" s="168">
        <f>E30*F30*G30</f>
        <v>45600</v>
      </c>
    </row>
    <row r="31" spans="1:10" ht="28.5">
      <c r="A31" s="164"/>
      <c r="B31" s="169" t="s">
        <v>194</v>
      </c>
      <c r="C31" s="165" t="str">
        <f>VLOOKUP(B31,'Preços de Referência'!$P$69:$W$70,2,FALSE)</f>
        <v>PASSAGEM AÉREA - DESTINO NACIONAL (Cotação JUL/24)*</v>
      </c>
      <c r="D31" s="134" t="s">
        <v>122</v>
      </c>
      <c r="E31" s="192">
        <v>4</v>
      </c>
      <c r="F31" s="192">
        <v>1</v>
      </c>
      <c r="G31" s="330">
        <f>VLOOKUP(B31,'Preços de Referência'!$P$69:$W$70,6,FALSE)</f>
        <v>1348.6538</v>
      </c>
      <c r="H31" s="266"/>
      <c r="I31" s="168">
        <f>E31*F31*G31</f>
        <v>5394.6152000000002</v>
      </c>
    </row>
    <row r="32" spans="1:10" ht="15.75">
      <c r="A32" s="359"/>
      <c r="B32" s="193"/>
      <c r="C32" s="82"/>
      <c r="D32" s="82"/>
      <c r="E32" s="82"/>
      <c r="F32" s="82"/>
      <c r="G32" s="82"/>
      <c r="H32" s="473" t="s">
        <v>41</v>
      </c>
      <c r="I32" s="92">
        <f>I7+I19+I22+I17+I29</f>
        <v>242296.20188485648</v>
      </c>
      <c r="J32" s="99"/>
    </row>
    <row r="33" spans="1:10" ht="15.75">
      <c r="A33" s="93"/>
      <c r="B33" s="83"/>
      <c r="C33" s="83"/>
      <c r="D33" s="83"/>
      <c r="E33" s="83"/>
      <c r="F33" s="83"/>
      <c r="G33" s="474" t="s">
        <v>42</v>
      </c>
      <c r="H33" s="252">
        <f>BDI!$D$17</f>
        <v>0.44579999999999997</v>
      </c>
      <c r="I33" s="94">
        <f>I32*H33</f>
        <v>108015.64680026901</v>
      </c>
      <c r="J33" s="99"/>
    </row>
    <row r="34" spans="1:10" ht="16.5" customHeight="1" thickBot="1">
      <c r="A34" s="360"/>
      <c r="B34" s="194"/>
      <c r="C34" s="194"/>
      <c r="D34" s="95"/>
      <c r="E34" s="95"/>
      <c r="F34" s="95"/>
      <c r="G34" s="95"/>
      <c r="H34" s="181" t="s">
        <v>496</v>
      </c>
      <c r="I34" s="96">
        <f>I32+I33</f>
        <v>350311.84868512547</v>
      </c>
      <c r="J34" s="99"/>
    </row>
    <row r="35" spans="1:10" ht="26.25" thickBot="1">
      <c r="A35" s="476"/>
      <c r="B35" s="477"/>
      <c r="C35" s="477"/>
      <c r="D35" s="477"/>
      <c r="E35" s="477"/>
      <c r="F35" s="477"/>
      <c r="G35" s="478"/>
      <c r="H35" s="479" t="s">
        <v>524</v>
      </c>
      <c r="I35" s="480">
        <f>1.07765625</f>
        <v>1.07765625</v>
      </c>
    </row>
    <row r="36" spans="1:10" ht="16.5" thickBot="1">
      <c r="A36" s="597"/>
      <c r="B36" s="598"/>
      <c r="C36" s="598"/>
      <c r="D36" s="95"/>
      <c r="E36" s="95"/>
      <c r="F36" s="95"/>
      <c r="G36" s="95"/>
      <c r="H36" s="181" t="s">
        <v>367</v>
      </c>
      <c r="I36" s="96">
        <f>I34/200*I35</f>
        <v>1887.5787659228986</v>
      </c>
      <c r="J36" s="99"/>
    </row>
    <row r="37" spans="1:10" ht="15.75">
      <c r="A37" s="173"/>
      <c r="F37" s="585" t="s">
        <v>44</v>
      </c>
      <c r="G37" s="586"/>
      <c r="H37" s="586"/>
      <c r="I37" s="594"/>
      <c r="J37" s="99"/>
    </row>
    <row r="38" spans="1:10" ht="15.75">
      <c r="A38" s="173"/>
      <c r="F38" s="109" t="str">
        <f>A2</f>
        <v>Bloco 1</v>
      </c>
      <c r="G38" s="109" t="s">
        <v>45</v>
      </c>
      <c r="H38" s="109" t="s">
        <v>46</v>
      </c>
      <c r="I38" s="174" t="s">
        <v>47</v>
      </c>
      <c r="J38" s="99"/>
    </row>
    <row r="39" spans="1:10" ht="16.5" thickBot="1">
      <c r="A39" s="175"/>
      <c r="B39" s="176"/>
      <c r="C39" s="176"/>
      <c r="D39" s="176"/>
      <c r="E39" s="176"/>
      <c r="F39" s="177">
        <f>A3</f>
        <v>15</v>
      </c>
      <c r="G39" s="184">
        <v>3280</v>
      </c>
      <c r="H39" s="178">
        <f>I36</f>
        <v>1887.5787659228986</v>
      </c>
      <c r="I39" s="179">
        <f>G39*H39</f>
        <v>6191258.3522271076</v>
      </c>
      <c r="J39" s="99"/>
    </row>
  </sheetData>
  <mergeCells count="9">
    <mergeCell ref="B3:D3"/>
    <mergeCell ref="F37:I37"/>
    <mergeCell ref="A36:C36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38926-31CD-4EFD-919F-E4FD7FE5AEE8}">
  <sheetPr codeName="Planilha2">
    <tabColor theme="1"/>
  </sheetPr>
  <dimension ref="A1:K39"/>
  <sheetViews>
    <sheetView view="pageBreakPreview" topLeftCell="B1" zoomScale="40" zoomScaleNormal="90" zoomScaleSheetLayoutView="40" workbookViewId="0">
      <selection activeCell="F24" sqref="F24"/>
    </sheetView>
  </sheetViews>
  <sheetFormatPr defaultRowHeight="12.75"/>
  <cols>
    <col min="1" max="1" width="38.140625" style="10" customWidth="1"/>
    <col min="2" max="2" width="28.28515625" style="8" customWidth="1"/>
    <col min="3" max="4" width="17.42578125" style="8" customWidth="1"/>
    <col min="5" max="6" width="7.28515625" style="8" customWidth="1"/>
    <col min="7" max="7" width="21.7109375" style="9" customWidth="1"/>
    <col min="8" max="8" width="51.5703125" style="9" customWidth="1"/>
    <col min="9" max="9" width="12.7109375" style="9" customWidth="1"/>
    <col min="10" max="10" width="1.7109375" style="9" customWidth="1"/>
    <col min="11" max="12" width="13.7109375" style="9" customWidth="1"/>
    <col min="13" max="256" width="8.7109375" style="9"/>
    <col min="257" max="257" width="32.28515625" style="9" customWidth="1"/>
    <col min="258" max="258" width="27.5703125" style="9" bestFit="1" customWidth="1"/>
    <col min="259" max="260" width="12.85546875" style="9" bestFit="1" customWidth="1"/>
    <col min="261" max="512" width="8.7109375" style="9"/>
    <col min="513" max="513" width="32.28515625" style="9" customWidth="1"/>
    <col min="514" max="514" width="27.5703125" style="9" bestFit="1" customWidth="1"/>
    <col min="515" max="516" width="12.85546875" style="9" bestFit="1" customWidth="1"/>
    <col min="517" max="768" width="8.7109375" style="9"/>
    <col min="769" max="769" width="32.28515625" style="9" customWidth="1"/>
    <col min="770" max="770" width="27.5703125" style="9" bestFit="1" customWidth="1"/>
    <col min="771" max="772" width="12.85546875" style="9" bestFit="1" customWidth="1"/>
    <col min="773" max="1024" width="8.7109375" style="9"/>
    <col min="1025" max="1025" width="32.28515625" style="9" customWidth="1"/>
    <col min="1026" max="1026" width="27.5703125" style="9" bestFit="1" customWidth="1"/>
    <col min="1027" max="1028" width="12.85546875" style="9" bestFit="1" customWidth="1"/>
    <col min="1029" max="1280" width="8.7109375" style="9"/>
    <col min="1281" max="1281" width="32.28515625" style="9" customWidth="1"/>
    <col min="1282" max="1282" width="27.5703125" style="9" bestFit="1" customWidth="1"/>
    <col min="1283" max="1284" width="12.85546875" style="9" bestFit="1" customWidth="1"/>
    <col min="1285" max="1536" width="8.7109375" style="9"/>
    <col min="1537" max="1537" width="32.28515625" style="9" customWidth="1"/>
    <col min="1538" max="1538" width="27.5703125" style="9" bestFit="1" customWidth="1"/>
    <col min="1539" max="1540" width="12.85546875" style="9" bestFit="1" customWidth="1"/>
    <col min="1541" max="1792" width="8.7109375" style="9"/>
    <col min="1793" max="1793" width="32.28515625" style="9" customWidth="1"/>
    <col min="1794" max="1794" width="27.5703125" style="9" bestFit="1" customWidth="1"/>
    <col min="1795" max="1796" width="12.85546875" style="9" bestFit="1" customWidth="1"/>
    <col min="1797" max="2048" width="8.7109375" style="9"/>
    <col min="2049" max="2049" width="32.28515625" style="9" customWidth="1"/>
    <col min="2050" max="2050" width="27.5703125" style="9" bestFit="1" customWidth="1"/>
    <col min="2051" max="2052" width="12.85546875" style="9" bestFit="1" customWidth="1"/>
    <col min="2053" max="2304" width="8.7109375" style="9"/>
    <col min="2305" max="2305" width="32.28515625" style="9" customWidth="1"/>
    <col min="2306" max="2306" width="27.5703125" style="9" bestFit="1" customWidth="1"/>
    <col min="2307" max="2308" width="12.85546875" style="9" bestFit="1" customWidth="1"/>
    <col min="2309" max="2560" width="8.7109375" style="9"/>
    <col min="2561" max="2561" width="32.28515625" style="9" customWidth="1"/>
    <col min="2562" max="2562" width="27.5703125" style="9" bestFit="1" customWidth="1"/>
    <col min="2563" max="2564" width="12.85546875" style="9" bestFit="1" customWidth="1"/>
    <col min="2565" max="2816" width="8.7109375" style="9"/>
    <col min="2817" max="2817" width="32.28515625" style="9" customWidth="1"/>
    <col min="2818" max="2818" width="27.5703125" style="9" bestFit="1" customWidth="1"/>
    <col min="2819" max="2820" width="12.85546875" style="9" bestFit="1" customWidth="1"/>
    <col min="2821" max="3072" width="8.7109375" style="9"/>
    <col min="3073" max="3073" width="32.28515625" style="9" customWidth="1"/>
    <col min="3074" max="3074" width="27.5703125" style="9" bestFit="1" customWidth="1"/>
    <col min="3075" max="3076" width="12.85546875" style="9" bestFit="1" customWidth="1"/>
    <col min="3077" max="3328" width="8.7109375" style="9"/>
    <col min="3329" max="3329" width="32.28515625" style="9" customWidth="1"/>
    <col min="3330" max="3330" width="27.5703125" style="9" bestFit="1" customWidth="1"/>
    <col min="3331" max="3332" width="12.85546875" style="9" bestFit="1" customWidth="1"/>
    <col min="3333" max="3584" width="8.7109375" style="9"/>
    <col min="3585" max="3585" width="32.28515625" style="9" customWidth="1"/>
    <col min="3586" max="3586" width="27.5703125" style="9" bestFit="1" customWidth="1"/>
    <col min="3587" max="3588" width="12.85546875" style="9" bestFit="1" customWidth="1"/>
    <col min="3589" max="3840" width="8.7109375" style="9"/>
    <col min="3841" max="3841" width="32.28515625" style="9" customWidth="1"/>
    <col min="3842" max="3842" width="27.5703125" style="9" bestFit="1" customWidth="1"/>
    <col min="3843" max="3844" width="12.85546875" style="9" bestFit="1" customWidth="1"/>
    <col min="3845" max="4096" width="8.7109375" style="9"/>
    <col min="4097" max="4097" width="32.28515625" style="9" customWidth="1"/>
    <col min="4098" max="4098" width="27.5703125" style="9" bestFit="1" customWidth="1"/>
    <col min="4099" max="4100" width="12.85546875" style="9" bestFit="1" customWidth="1"/>
    <col min="4101" max="4352" width="8.7109375" style="9"/>
    <col min="4353" max="4353" width="32.28515625" style="9" customWidth="1"/>
    <col min="4354" max="4354" width="27.5703125" style="9" bestFit="1" customWidth="1"/>
    <col min="4355" max="4356" width="12.85546875" style="9" bestFit="1" customWidth="1"/>
    <col min="4357" max="4608" width="8.7109375" style="9"/>
    <col min="4609" max="4609" width="32.28515625" style="9" customWidth="1"/>
    <col min="4610" max="4610" width="27.5703125" style="9" bestFit="1" customWidth="1"/>
    <col min="4611" max="4612" width="12.85546875" style="9" bestFit="1" customWidth="1"/>
    <col min="4613" max="4864" width="8.7109375" style="9"/>
    <col min="4865" max="4865" width="32.28515625" style="9" customWidth="1"/>
    <col min="4866" max="4866" width="27.5703125" style="9" bestFit="1" customWidth="1"/>
    <col min="4867" max="4868" width="12.85546875" style="9" bestFit="1" customWidth="1"/>
    <col min="4869" max="5120" width="8.7109375" style="9"/>
    <col min="5121" max="5121" width="32.28515625" style="9" customWidth="1"/>
    <col min="5122" max="5122" width="27.5703125" style="9" bestFit="1" customWidth="1"/>
    <col min="5123" max="5124" width="12.85546875" style="9" bestFit="1" customWidth="1"/>
    <col min="5125" max="5376" width="8.7109375" style="9"/>
    <col min="5377" max="5377" width="32.28515625" style="9" customWidth="1"/>
    <col min="5378" max="5378" width="27.5703125" style="9" bestFit="1" customWidth="1"/>
    <col min="5379" max="5380" width="12.85546875" style="9" bestFit="1" customWidth="1"/>
    <col min="5381" max="5632" width="8.7109375" style="9"/>
    <col min="5633" max="5633" width="32.28515625" style="9" customWidth="1"/>
    <col min="5634" max="5634" width="27.5703125" style="9" bestFit="1" customWidth="1"/>
    <col min="5635" max="5636" width="12.85546875" style="9" bestFit="1" customWidth="1"/>
    <col min="5637" max="5888" width="8.7109375" style="9"/>
    <col min="5889" max="5889" width="32.28515625" style="9" customWidth="1"/>
    <col min="5890" max="5890" width="27.5703125" style="9" bestFit="1" customWidth="1"/>
    <col min="5891" max="5892" width="12.85546875" style="9" bestFit="1" customWidth="1"/>
    <col min="5893" max="6144" width="8.7109375" style="9"/>
    <col min="6145" max="6145" width="32.28515625" style="9" customWidth="1"/>
    <col min="6146" max="6146" width="27.5703125" style="9" bestFit="1" customWidth="1"/>
    <col min="6147" max="6148" width="12.85546875" style="9" bestFit="1" customWidth="1"/>
    <col min="6149" max="6400" width="8.7109375" style="9"/>
    <col min="6401" max="6401" width="32.28515625" style="9" customWidth="1"/>
    <col min="6402" max="6402" width="27.5703125" style="9" bestFit="1" customWidth="1"/>
    <col min="6403" max="6404" width="12.85546875" style="9" bestFit="1" customWidth="1"/>
    <col min="6405" max="6656" width="8.7109375" style="9"/>
    <col min="6657" max="6657" width="32.28515625" style="9" customWidth="1"/>
    <col min="6658" max="6658" width="27.5703125" style="9" bestFit="1" customWidth="1"/>
    <col min="6659" max="6660" width="12.85546875" style="9" bestFit="1" customWidth="1"/>
    <col min="6661" max="6912" width="8.7109375" style="9"/>
    <col min="6913" max="6913" width="32.28515625" style="9" customWidth="1"/>
    <col min="6914" max="6914" width="27.5703125" style="9" bestFit="1" customWidth="1"/>
    <col min="6915" max="6916" width="12.85546875" style="9" bestFit="1" customWidth="1"/>
    <col min="6917" max="7168" width="8.7109375" style="9"/>
    <col min="7169" max="7169" width="32.28515625" style="9" customWidth="1"/>
    <col min="7170" max="7170" width="27.5703125" style="9" bestFit="1" customWidth="1"/>
    <col min="7171" max="7172" width="12.85546875" style="9" bestFit="1" customWidth="1"/>
    <col min="7173" max="7424" width="8.7109375" style="9"/>
    <col min="7425" max="7425" width="32.28515625" style="9" customWidth="1"/>
    <col min="7426" max="7426" width="27.5703125" style="9" bestFit="1" customWidth="1"/>
    <col min="7427" max="7428" width="12.85546875" style="9" bestFit="1" customWidth="1"/>
    <col min="7429" max="7680" width="8.7109375" style="9"/>
    <col min="7681" max="7681" width="32.28515625" style="9" customWidth="1"/>
    <col min="7682" max="7682" width="27.5703125" style="9" bestFit="1" customWidth="1"/>
    <col min="7683" max="7684" width="12.85546875" style="9" bestFit="1" customWidth="1"/>
    <col min="7685" max="7936" width="8.7109375" style="9"/>
    <col min="7937" max="7937" width="32.28515625" style="9" customWidth="1"/>
    <col min="7938" max="7938" width="27.5703125" style="9" bestFit="1" customWidth="1"/>
    <col min="7939" max="7940" width="12.85546875" style="9" bestFit="1" customWidth="1"/>
    <col min="7941" max="8192" width="8.7109375" style="9"/>
    <col min="8193" max="8193" width="32.28515625" style="9" customWidth="1"/>
    <col min="8194" max="8194" width="27.5703125" style="9" bestFit="1" customWidth="1"/>
    <col min="8195" max="8196" width="12.85546875" style="9" bestFit="1" customWidth="1"/>
    <col min="8197" max="8448" width="8.7109375" style="9"/>
    <col min="8449" max="8449" width="32.28515625" style="9" customWidth="1"/>
    <col min="8450" max="8450" width="27.5703125" style="9" bestFit="1" customWidth="1"/>
    <col min="8451" max="8452" width="12.85546875" style="9" bestFit="1" customWidth="1"/>
    <col min="8453" max="8704" width="8.7109375" style="9"/>
    <col min="8705" max="8705" width="32.28515625" style="9" customWidth="1"/>
    <col min="8706" max="8706" width="27.5703125" style="9" bestFit="1" customWidth="1"/>
    <col min="8707" max="8708" width="12.85546875" style="9" bestFit="1" customWidth="1"/>
    <col min="8709" max="8960" width="8.7109375" style="9"/>
    <col min="8961" max="8961" width="32.28515625" style="9" customWidth="1"/>
    <col min="8962" max="8962" width="27.5703125" style="9" bestFit="1" customWidth="1"/>
    <col min="8963" max="8964" width="12.85546875" style="9" bestFit="1" customWidth="1"/>
    <col min="8965" max="9216" width="8.7109375" style="9"/>
    <col min="9217" max="9217" width="32.28515625" style="9" customWidth="1"/>
    <col min="9218" max="9218" width="27.5703125" style="9" bestFit="1" customWidth="1"/>
    <col min="9219" max="9220" width="12.85546875" style="9" bestFit="1" customWidth="1"/>
    <col min="9221" max="9472" width="8.7109375" style="9"/>
    <col min="9473" max="9473" width="32.28515625" style="9" customWidth="1"/>
    <col min="9474" max="9474" width="27.5703125" style="9" bestFit="1" customWidth="1"/>
    <col min="9475" max="9476" width="12.85546875" style="9" bestFit="1" customWidth="1"/>
    <col min="9477" max="9728" width="8.7109375" style="9"/>
    <col min="9729" max="9729" width="32.28515625" style="9" customWidth="1"/>
    <col min="9730" max="9730" width="27.5703125" style="9" bestFit="1" customWidth="1"/>
    <col min="9731" max="9732" width="12.85546875" style="9" bestFit="1" customWidth="1"/>
    <col min="9733" max="9984" width="8.7109375" style="9"/>
    <col min="9985" max="9985" width="32.28515625" style="9" customWidth="1"/>
    <col min="9986" max="9986" width="27.5703125" style="9" bestFit="1" customWidth="1"/>
    <col min="9987" max="9988" width="12.85546875" style="9" bestFit="1" customWidth="1"/>
    <col min="9989" max="10240" width="8.7109375" style="9"/>
    <col min="10241" max="10241" width="32.28515625" style="9" customWidth="1"/>
    <col min="10242" max="10242" width="27.5703125" style="9" bestFit="1" customWidth="1"/>
    <col min="10243" max="10244" width="12.85546875" style="9" bestFit="1" customWidth="1"/>
    <col min="10245" max="10496" width="8.7109375" style="9"/>
    <col min="10497" max="10497" width="32.28515625" style="9" customWidth="1"/>
    <col min="10498" max="10498" width="27.5703125" style="9" bestFit="1" customWidth="1"/>
    <col min="10499" max="10500" width="12.85546875" style="9" bestFit="1" customWidth="1"/>
    <col min="10501" max="10752" width="8.7109375" style="9"/>
    <col min="10753" max="10753" width="32.28515625" style="9" customWidth="1"/>
    <col min="10754" max="10754" width="27.5703125" style="9" bestFit="1" customWidth="1"/>
    <col min="10755" max="10756" width="12.85546875" style="9" bestFit="1" customWidth="1"/>
    <col min="10757" max="11008" width="8.7109375" style="9"/>
    <col min="11009" max="11009" width="32.28515625" style="9" customWidth="1"/>
    <col min="11010" max="11010" width="27.5703125" style="9" bestFit="1" customWidth="1"/>
    <col min="11011" max="11012" width="12.85546875" style="9" bestFit="1" customWidth="1"/>
    <col min="11013" max="11264" width="8.7109375" style="9"/>
    <col min="11265" max="11265" width="32.28515625" style="9" customWidth="1"/>
    <col min="11266" max="11266" width="27.5703125" style="9" bestFit="1" customWidth="1"/>
    <col min="11267" max="11268" width="12.85546875" style="9" bestFit="1" customWidth="1"/>
    <col min="11269" max="11520" width="8.7109375" style="9"/>
    <col min="11521" max="11521" width="32.28515625" style="9" customWidth="1"/>
    <col min="11522" max="11522" width="27.5703125" style="9" bestFit="1" customWidth="1"/>
    <col min="11523" max="11524" width="12.85546875" style="9" bestFit="1" customWidth="1"/>
    <col min="11525" max="11776" width="8.7109375" style="9"/>
    <col min="11777" max="11777" width="32.28515625" style="9" customWidth="1"/>
    <col min="11778" max="11778" width="27.5703125" style="9" bestFit="1" customWidth="1"/>
    <col min="11779" max="11780" width="12.85546875" style="9" bestFit="1" customWidth="1"/>
    <col min="11781" max="12032" width="8.7109375" style="9"/>
    <col min="12033" max="12033" width="32.28515625" style="9" customWidth="1"/>
    <col min="12034" max="12034" width="27.5703125" style="9" bestFit="1" customWidth="1"/>
    <col min="12035" max="12036" width="12.85546875" style="9" bestFit="1" customWidth="1"/>
    <col min="12037" max="12288" width="8.7109375" style="9"/>
    <col min="12289" max="12289" width="32.28515625" style="9" customWidth="1"/>
    <col min="12290" max="12290" width="27.5703125" style="9" bestFit="1" customWidth="1"/>
    <col min="12291" max="12292" width="12.85546875" style="9" bestFit="1" customWidth="1"/>
    <col min="12293" max="12544" width="8.7109375" style="9"/>
    <col min="12545" max="12545" width="32.28515625" style="9" customWidth="1"/>
    <col min="12546" max="12546" width="27.5703125" style="9" bestFit="1" customWidth="1"/>
    <col min="12547" max="12548" width="12.85546875" style="9" bestFit="1" customWidth="1"/>
    <col min="12549" max="12800" width="8.7109375" style="9"/>
    <col min="12801" max="12801" width="32.28515625" style="9" customWidth="1"/>
    <col min="12802" max="12802" width="27.5703125" style="9" bestFit="1" customWidth="1"/>
    <col min="12803" max="12804" width="12.85546875" style="9" bestFit="1" customWidth="1"/>
    <col min="12805" max="13056" width="8.7109375" style="9"/>
    <col min="13057" max="13057" width="32.28515625" style="9" customWidth="1"/>
    <col min="13058" max="13058" width="27.5703125" style="9" bestFit="1" customWidth="1"/>
    <col min="13059" max="13060" width="12.85546875" style="9" bestFit="1" customWidth="1"/>
    <col min="13061" max="13312" width="8.7109375" style="9"/>
    <col min="13313" max="13313" width="32.28515625" style="9" customWidth="1"/>
    <col min="13314" max="13314" width="27.5703125" style="9" bestFit="1" customWidth="1"/>
    <col min="13315" max="13316" width="12.85546875" style="9" bestFit="1" customWidth="1"/>
    <col min="13317" max="13568" width="8.7109375" style="9"/>
    <col min="13569" max="13569" width="32.28515625" style="9" customWidth="1"/>
    <col min="13570" max="13570" width="27.5703125" style="9" bestFit="1" customWidth="1"/>
    <col min="13571" max="13572" width="12.85546875" style="9" bestFit="1" customWidth="1"/>
    <col min="13573" max="13824" width="8.7109375" style="9"/>
    <col min="13825" max="13825" width="32.28515625" style="9" customWidth="1"/>
    <col min="13826" max="13826" width="27.5703125" style="9" bestFit="1" customWidth="1"/>
    <col min="13827" max="13828" width="12.85546875" style="9" bestFit="1" customWidth="1"/>
    <col min="13829" max="14080" width="8.7109375" style="9"/>
    <col min="14081" max="14081" width="32.28515625" style="9" customWidth="1"/>
    <col min="14082" max="14082" width="27.5703125" style="9" bestFit="1" customWidth="1"/>
    <col min="14083" max="14084" width="12.85546875" style="9" bestFit="1" customWidth="1"/>
    <col min="14085" max="14336" width="8.7109375" style="9"/>
    <col min="14337" max="14337" width="32.28515625" style="9" customWidth="1"/>
    <col min="14338" max="14338" width="27.5703125" style="9" bestFit="1" customWidth="1"/>
    <col min="14339" max="14340" width="12.85546875" style="9" bestFit="1" customWidth="1"/>
    <col min="14341" max="14592" width="8.7109375" style="9"/>
    <col min="14593" max="14593" width="32.28515625" style="9" customWidth="1"/>
    <col min="14594" max="14594" width="27.5703125" style="9" bestFit="1" customWidth="1"/>
    <col min="14595" max="14596" width="12.85546875" style="9" bestFit="1" customWidth="1"/>
    <col min="14597" max="14848" width="8.7109375" style="9"/>
    <col min="14849" max="14849" width="32.28515625" style="9" customWidth="1"/>
    <col min="14850" max="14850" width="27.5703125" style="9" bestFit="1" customWidth="1"/>
    <col min="14851" max="14852" width="12.85546875" style="9" bestFit="1" customWidth="1"/>
    <col min="14853" max="15104" width="8.7109375" style="9"/>
    <col min="15105" max="15105" width="32.28515625" style="9" customWidth="1"/>
    <col min="15106" max="15106" width="27.5703125" style="9" bestFit="1" customWidth="1"/>
    <col min="15107" max="15108" width="12.85546875" style="9" bestFit="1" customWidth="1"/>
    <col min="15109" max="15360" width="8.7109375" style="9"/>
    <col min="15361" max="15361" width="32.28515625" style="9" customWidth="1"/>
    <col min="15362" max="15362" width="27.5703125" style="9" bestFit="1" customWidth="1"/>
    <col min="15363" max="15364" width="12.85546875" style="9" bestFit="1" customWidth="1"/>
    <col min="15365" max="15616" width="8.7109375" style="9"/>
    <col min="15617" max="15617" width="32.28515625" style="9" customWidth="1"/>
    <col min="15618" max="15618" width="27.5703125" style="9" bestFit="1" customWidth="1"/>
    <col min="15619" max="15620" width="12.85546875" style="9" bestFit="1" customWidth="1"/>
    <col min="15621" max="15872" width="8.7109375" style="9"/>
    <col min="15873" max="15873" width="32.28515625" style="9" customWidth="1"/>
    <col min="15874" max="15874" width="27.5703125" style="9" bestFit="1" customWidth="1"/>
    <col min="15875" max="15876" width="12.85546875" style="9" bestFit="1" customWidth="1"/>
    <col min="15877" max="16128" width="8.7109375" style="9"/>
    <col min="16129" max="16129" width="32.28515625" style="9" customWidth="1"/>
    <col min="16130" max="16130" width="27.5703125" style="9" bestFit="1" customWidth="1"/>
    <col min="16131" max="16132" width="12.85546875" style="9" bestFit="1" customWidth="1"/>
    <col min="16133" max="16384" width="8.7109375" style="9"/>
  </cols>
  <sheetData>
    <row r="1" spans="1:11" ht="29.25" customHeight="1" thickBot="1">
      <c r="A1" s="517" t="s">
        <v>449</v>
      </c>
      <c r="B1" s="518"/>
      <c r="C1" s="518"/>
      <c r="D1" s="518"/>
      <c r="E1" s="299"/>
      <c r="F1" s="300"/>
      <c r="G1" s="289"/>
      <c r="H1" s="290"/>
      <c r="I1" s="290"/>
      <c r="J1" s="290"/>
      <c r="K1" s="291"/>
    </row>
    <row r="2" spans="1:11" ht="19.899999999999999" customHeight="1">
      <c r="A2" s="509" t="s">
        <v>50</v>
      </c>
      <c r="B2" s="510"/>
      <c r="C2" s="510"/>
      <c r="D2" s="511"/>
      <c r="E2" s="10"/>
      <c r="F2" s="301"/>
      <c r="G2" s="292"/>
      <c r="K2" s="293"/>
    </row>
    <row r="3" spans="1:11" ht="16.149999999999999" customHeight="1">
      <c r="A3" s="269" t="s">
        <v>51</v>
      </c>
      <c r="B3" s="11"/>
      <c r="C3" s="11" t="s">
        <v>52</v>
      </c>
      <c r="D3" s="270" t="s">
        <v>53</v>
      </c>
      <c r="E3" s="10"/>
      <c r="F3" s="301"/>
      <c r="G3" s="292"/>
      <c r="K3" s="293"/>
    </row>
    <row r="4" spans="1:11" s="14" customFormat="1" ht="16.149999999999999" customHeight="1">
      <c r="A4" s="271" t="s">
        <v>54</v>
      </c>
      <c r="B4" s="12" t="s">
        <v>55</v>
      </c>
      <c r="C4" s="13">
        <v>6.92</v>
      </c>
      <c r="D4" s="272">
        <v>10</v>
      </c>
      <c r="E4" s="302"/>
      <c r="F4" s="303"/>
      <c r="G4" s="294"/>
      <c r="K4" s="295"/>
    </row>
    <row r="5" spans="1:11" ht="16.149999999999999" customHeight="1">
      <c r="A5" s="273" t="s">
        <v>56</v>
      </c>
      <c r="B5" s="15">
        <f>ROUND((((((1+($B$21/100))^(1/12))-1)*100)),2)</f>
        <v>0.84</v>
      </c>
      <c r="C5" s="13">
        <v>0.77</v>
      </c>
      <c r="D5" s="274">
        <v>1.1140000000000001</v>
      </c>
      <c r="E5" s="10"/>
      <c r="F5" s="301"/>
      <c r="G5" s="292"/>
      <c r="K5" s="293"/>
    </row>
    <row r="6" spans="1:11" ht="16.149999999999999" customHeight="1">
      <c r="A6" s="273" t="s">
        <v>57</v>
      </c>
      <c r="B6" s="16">
        <f>C6</f>
        <v>0.5</v>
      </c>
      <c r="C6" s="13">
        <v>0.5</v>
      </c>
      <c r="D6" s="274">
        <v>0.72499999999999998</v>
      </c>
      <c r="E6" s="10"/>
      <c r="F6" s="301"/>
      <c r="G6" s="292"/>
      <c r="K6" s="293"/>
    </row>
    <row r="7" spans="1:11" ht="16.149999999999999" customHeight="1">
      <c r="A7" s="273" t="s">
        <v>58</v>
      </c>
      <c r="B7" s="16">
        <f>C7</f>
        <v>0.1</v>
      </c>
      <c r="C7" s="13">
        <v>0.1</v>
      </c>
      <c r="D7" s="274">
        <v>0.14099999999999999</v>
      </c>
      <c r="E7" s="10"/>
      <c r="F7" s="301"/>
      <c r="G7" s="292"/>
      <c r="K7" s="293"/>
    </row>
    <row r="8" spans="1:11" ht="16.149999999999999" customHeight="1">
      <c r="A8" s="275"/>
      <c r="B8" s="17" t="s">
        <v>59</v>
      </c>
      <c r="C8" s="18">
        <f>SUM(C$4:C$7)</f>
        <v>8.2899999999999991</v>
      </c>
      <c r="D8" s="276">
        <f>SUM(D$4:D$7)</f>
        <v>11.98</v>
      </c>
      <c r="E8" s="10"/>
      <c r="F8" s="301"/>
      <c r="G8" s="292"/>
      <c r="K8" s="293"/>
    </row>
    <row r="9" spans="1:11" s="14" customFormat="1" ht="16.149999999999999" customHeight="1">
      <c r="A9" s="277" t="s">
        <v>60</v>
      </c>
      <c r="B9" s="73"/>
      <c r="C9" s="19" t="s">
        <v>52</v>
      </c>
      <c r="D9" s="278" t="s">
        <v>53</v>
      </c>
      <c r="E9" s="302"/>
      <c r="F9" s="303"/>
      <c r="G9" s="294"/>
      <c r="K9" s="295"/>
    </row>
    <row r="10" spans="1:11" s="14" customFormat="1" ht="16.149999999999999" customHeight="1">
      <c r="A10" s="271" t="s">
        <v>61</v>
      </c>
      <c r="B10" s="12" t="s">
        <v>55</v>
      </c>
      <c r="C10" s="13">
        <v>8.3000000000000007</v>
      </c>
      <c r="D10" s="272">
        <v>12</v>
      </c>
      <c r="E10" s="302"/>
      <c r="F10" s="303"/>
      <c r="G10" s="294"/>
      <c r="K10" s="295"/>
    </row>
    <row r="11" spans="1:11" ht="16.149999999999999" customHeight="1">
      <c r="A11" s="275"/>
      <c r="B11" s="17" t="s">
        <v>62</v>
      </c>
      <c r="C11" s="18">
        <f>SUM(C10:C10)</f>
        <v>8.3000000000000007</v>
      </c>
      <c r="D11" s="279">
        <f>SUM(D10:D10)</f>
        <v>12</v>
      </c>
      <c r="E11" s="10"/>
      <c r="F11" s="301"/>
      <c r="G11" s="292"/>
      <c r="K11" s="293"/>
    </row>
    <row r="12" spans="1:11" ht="16.149999999999999" customHeight="1">
      <c r="A12" s="277" t="s">
        <v>63</v>
      </c>
      <c r="B12" s="73"/>
      <c r="C12" s="19" t="s">
        <v>52</v>
      </c>
      <c r="D12" s="278" t="s">
        <v>53</v>
      </c>
      <c r="E12" s="10"/>
      <c r="F12" s="301"/>
      <c r="G12" s="292"/>
      <c r="H12"/>
      <c r="K12" s="293"/>
    </row>
    <row r="13" spans="1:11" ht="16.149999999999999" customHeight="1">
      <c r="A13" s="271" t="s">
        <v>64</v>
      </c>
      <c r="B13" s="20">
        <f>C13/100</f>
        <v>1.6500000000000001E-2</v>
      </c>
      <c r="C13" s="21">
        <v>1.65</v>
      </c>
      <c r="D13" s="272">
        <v>2.3849999999999998</v>
      </c>
      <c r="E13" s="10"/>
      <c r="F13" s="301"/>
      <c r="G13" s="292"/>
      <c r="K13" s="293"/>
    </row>
    <row r="14" spans="1:11" ht="16.149999999999999" customHeight="1">
      <c r="A14" s="273" t="s">
        <v>65</v>
      </c>
      <c r="B14" s="20">
        <f>C14/100</f>
        <v>7.5999999999999998E-2</v>
      </c>
      <c r="C14" s="22">
        <v>7.6</v>
      </c>
      <c r="D14" s="274">
        <v>10.984999999999999</v>
      </c>
      <c r="E14" s="10"/>
      <c r="F14" s="301"/>
      <c r="G14" s="292"/>
      <c r="K14" s="293"/>
    </row>
    <row r="15" spans="1:11" ht="16.149999999999999" customHeight="1">
      <c r="A15" s="273" t="s">
        <v>66</v>
      </c>
      <c r="B15" s="16">
        <f>$B$22</f>
        <v>5</v>
      </c>
      <c r="C15" s="22">
        <v>5</v>
      </c>
      <c r="D15" s="274">
        <v>7.23</v>
      </c>
      <c r="E15" s="10"/>
      <c r="F15" s="301"/>
      <c r="G15" s="292"/>
      <c r="K15" s="293"/>
    </row>
    <row r="16" spans="1:11" ht="15" customHeight="1">
      <c r="A16" s="280"/>
      <c r="B16" s="23" t="s">
        <v>67</v>
      </c>
      <c r="C16" s="24">
        <f>SUM(C$13:C$15)</f>
        <v>14.25</v>
      </c>
      <c r="D16" s="281">
        <f>ROUND(SUM(D$13:D$15),4)</f>
        <v>20.6</v>
      </c>
      <c r="E16" s="10"/>
      <c r="F16" s="301"/>
      <c r="G16" s="292"/>
      <c r="K16" s="293"/>
    </row>
    <row r="17" spans="1:11" ht="19.899999999999999" customHeight="1">
      <c r="A17" s="512" t="s">
        <v>68</v>
      </c>
      <c r="B17" s="513"/>
      <c r="C17" s="283">
        <f>TRUNC(($C$8+$C$11+$C$16)*0.01,4)</f>
        <v>0.30840000000000001</v>
      </c>
      <c r="D17" s="282">
        <f>TRUNC(($D$8+$D$11+$D$16)*0.01,4)</f>
        <v>0.44579999999999997</v>
      </c>
      <c r="E17" s="10"/>
      <c r="F17" s="301"/>
      <c r="G17" s="292"/>
      <c r="K17" s="293"/>
    </row>
    <row r="18" spans="1:11" ht="34.5" customHeight="1" thickBot="1">
      <c r="A18" s="506" t="s">
        <v>450</v>
      </c>
      <c r="B18" s="507"/>
      <c r="C18" s="507"/>
      <c r="D18" s="508"/>
      <c r="E18" s="10"/>
      <c r="F18" s="301"/>
      <c r="G18" s="292"/>
      <c r="K18" s="293"/>
    </row>
    <row r="19" spans="1:11" ht="20.100000000000001" customHeight="1" thickBot="1">
      <c r="A19" s="304"/>
      <c r="F19" s="305"/>
      <c r="G19" s="292"/>
      <c r="K19" s="293"/>
    </row>
    <row r="20" spans="1:11" ht="20.100000000000001" customHeight="1">
      <c r="A20" s="312" t="s">
        <v>69</v>
      </c>
      <c r="B20" s="290"/>
      <c r="C20" s="290"/>
      <c r="D20" s="291"/>
      <c r="E20" s="9"/>
      <c r="F20" s="293"/>
      <c r="G20" s="292"/>
      <c r="K20" s="293"/>
    </row>
    <row r="21" spans="1:11" ht="20.100000000000001" customHeight="1">
      <c r="A21" s="306" t="s">
        <v>70</v>
      </c>
      <c r="B21" s="307">
        <v>10.5</v>
      </c>
      <c r="C21" s="9"/>
      <c r="D21" s="293"/>
      <c r="E21" s="9"/>
      <c r="F21" s="293"/>
      <c r="G21" s="292"/>
      <c r="K21" s="293"/>
    </row>
    <row r="22" spans="1:11" ht="20.100000000000001" customHeight="1">
      <c r="A22" s="306" t="s">
        <v>71</v>
      </c>
      <c r="B22" s="308">
        <v>5</v>
      </c>
      <c r="C22" s="9"/>
      <c r="D22" s="293"/>
      <c r="E22" s="9"/>
      <c r="F22" s="293"/>
      <c r="G22" s="292"/>
      <c r="K22" s="293"/>
    </row>
    <row r="23" spans="1:11" ht="20.100000000000001" customHeight="1">
      <c r="A23" s="306" t="s">
        <v>72</v>
      </c>
      <c r="B23" s="308" t="s">
        <v>73</v>
      </c>
      <c r="C23" s="309"/>
      <c r="D23" s="295"/>
      <c r="E23" s="14"/>
      <c r="F23" s="295"/>
      <c r="G23" s="292"/>
      <c r="K23" s="293"/>
    </row>
    <row r="24" spans="1:11" ht="20.100000000000001" customHeight="1" thickBot="1">
      <c r="A24" s="313" t="s">
        <v>74</v>
      </c>
      <c r="B24" s="314" t="s">
        <v>448</v>
      </c>
      <c r="C24" s="296"/>
      <c r="D24" s="297"/>
      <c r="E24" s="9"/>
      <c r="F24" s="293"/>
      <c r="G24" s="292"/>
      <c r="K24" s="293"/>
    </row>
    <row r="25" spans="1:11" ht="20.100000000000001" customHeight="1">
      <c r="A25" s="304"/>
      <c r="F25" s="305"/>
      <c r="G25" s="292"/>
      <c r="K25" s="293"/>
    </row>
    <row r="26" spans="1:11" ht="20.100000000000001" customHeight="1">
      <c r="A26" s="304"/>
      <c r="F26" s="305"/>
      <c r="G26" s="292"/>
      <c r="K26" s="293"/>
    </row>
    <row r="27" spans="1:11" ht="20.100000000000001" customHeight="1">
      <c r="A27" s="304"/>
      <c r="F27" s="305"/>
      <c r="G27" s="292"/>
      <c r="K27" s="293"/>
    </row>
    <row r="28" spans="1:11" ht="20.100000000000001" customHeight="1">
      <c r="A28" s="304"/>
      <c r="F28" s="305"/>
      <c r="G28" s="292"/>
      <c r="K28" s="293"/>
    </row>
    <row r="29" spans="1:11">
      <c r="A29" s="304"/>
      <c r="F29" s="305"/>
      <c r="G29" s="292"/>
      <c r="K29" s="293"/>
    </row>
    <row r="30" spans="1:11">
      <c r="A30" s="304"/>
      <c r="F30" s="305"/>
      <c r="G30" s="292"/>
      <c r="K30" s="293"/>
    </row>
    <row r="31" spans="1:11">
      <c r="A31" s="304"/>
      <c r="F31" s="305"/>
      <c r="G31" s="292"/>
      <c r="K31" s="293"/>
    </row>
    <row r="32" spans="1:11">
      <c r="A32" s="304"/>
      <c r="F32" s="305"/>
      <c r="G32" s="292"/>
      <c r="K32" s="293"/>
    </row>
    <row r="33" spans="1:11">
      <c r="A33" s="304"/>
      <c r="F33" s="305"/>
      <c r="G33" s="292"/>
      <c r="K33" s="293"/>
    </row>
    <row r="34" spans="1:11">
      <c r="A34" s="304"/>
      <c r="F34" s="305"/>
      <c r="G34" s="292"/>
      <c r="K34" s="293"/>
    </row>
    <row r="35" spans="1:11">
      <c r="A35" s="304"/>
      <c r="F35" s="305"/>
      <c r="G35" s="292"/>
      <c r="K35" s="293"/>
    </row>
    <row r="36" spans="1:11">
      <c r="A36" s="304"/>
      <c r="F36" s="305"/>
      <c r="G36" s="292"/>
      <c r="K36" s="293"/>
    </row>
    <row r="37" spans="1:11">
      <c r="A37" s="304"/>
      <c r="F37" s="305"/>
      <c r="G37" s="292"/>
      <c r="K37" s="293"/>
    </row>
    <row r="38" spans="1:11">
      <c r="A38" s="304"/>
      <c r="F38" s="305"/>
      <c r="G38" s="292"/>
      <c r="K38" s="293"/>
    </row>
    <row r="39" spans="1:11" ht="15.75" thickBot="1">
      <c r="A39" s="298"/>
      <c r="B39" s="310"/>
      <c r="C39" s="310"/>
      <c r="D39" s="310"/>
      <c r="E39" s="310"/>
      <c r="F39" s="311"/>
      <c r="G39" s="514" t="s">
        <v>443</v>
      </c>
      <c r="H39" s="515"/>
      <c r="I39" s="515"/>
      <c r="J39" s="515"/>
      <c r="K39" s="516"/>
    </row>
  </sheetData>
  <mergeCells count="5">
    <mergeCell ref="A18:D18"/>
    <mergeCell ref="A2:D2"/>
    <mergeCell ref="A17:B17"/>
    <mergeCell ref="G39:K39"/>
    <mergeCell ref="A1:D1"/>
  </mergeCells>
  <hyperlinks>
    <hyperlink ref="G39" r:id="rId1" display="https://www.gov.br/dnit/pt-br/assuntos/planejamento-e-pesquisa/custos-e-pagamentos/custos-e-pagamentos-dnit/engenharia-consultiva-2/bdi/bdi-tabela-de-precos-de-consultoria/AnexoBDITabeladePreosdeConsultoria_2024SELIC1050.pdf" xr:uid="{BD746031-1D08-4DC9-BE71-00CAE52E9E3A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5" orientation="portrait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C1784-C126-428B-B8F1-302ED8BB303C}">
  <sheetPr>
    <tabColor theme="9" tint="0.39997558519241921"/>
    <pageSetUpPr fitToPage="1"/>
  </sheetPr>
  <dimension ref="A1:J36"/>
  <sheetViews>
    <sheetView showGridLines="0" zoomScale="90" zoomScaleNormal="90" workbookViewId="0">
      <selection activeCell="H36" sqref="H36:I36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29.25" customHeight="1" thickBot="1">
      <c r="A3" s="117">
        <f>PRODUTOS!A19</f>
        <v>16</v>
      </c>
      <c r="B3" s="599" t="str">
        <f>PRODUTOS!B19</f>
        <v>ELABORAÇÃO/REVISÃO DE PLANO DE GESTÃO AMBIENTAL (PGA) OU DOCUMENTO SIMILAR – TIPO II</v>
      </c>
      <c r="C3" s="599"/>
      <c r="D3" s="599"/>
      <c r="E3" s="119" t="str">
        <f>PRODUTOS!C19</f>
        <v>PGA.II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603" t="s">
        <v>1</v>
      </c>
      <c r="B5" s="605" t="s">
        <v>2</v>
      </c>
      <c r="C5" s="605" t="s">
        <v>3</v>
      </c>
      <c r="D5" s="605" t="s">
        <v>4</v>
      </c>
      <c r="E5" s="590" t="s">
        <v>5</v>
      </c>
      <c r="F5" s="607"/>
      <c r="G5" s="608" t="s">
        <v>6</v>
      </c>
      <c r="H5" s="609"/>
      <c r="I5" s="610"/>
      <c r="J5" s="99"/>
    </row>
    <row r="6" spans="1:10" ht="15.75">
      <c r="A6" s="604"/>
      <c r="B6" s="606"/>
      <c r="C6" s="606"/>
      <c r="D6" s="606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SUM(I8:I15)</f>
        <v>124195.04000000001</v>
      </c>
      <c r="J7" s="99"/>
    </row>
    <row r="8" spans="1:10" ht="15.75">
      <c r="A8" s="106"/>
      <c r="B8" s="80" t="s">
        <v>186</v>
      </c>
      <c r="C8" s="125" t="str">
        <f>VLOOKUP(B8,'Preços de Referência'!$A$5:$C$103,2,FALSE)</f>
        <v xml:space="preserve">Coordenador ambiental </v>
      </c>
      <c r="D8" s="134" t="s">
        <v>15</v>
      </c>
      <c r="E8" s="182">
        <v>1</v>
      </c>
      <c r="F8" s="159">
        <f>'Preços de Referência'!$O$30/2</f>
        <v>91.245000000000005</v>
      </c>
      <c r="G8" s="88">
        <f>VLOOKUP(B8,'Preços de Referência'!$A$5:$C$103,3,FALSE)</f>
        <v>34290.74</v>
      </c>
      <c r="H8" s="88">
        <f>G8/'Preços de Referência'!$O$30</f>
        <v>187.9047619047619</v>
      </c>
      <c r="I8" s="91">
        <f t="shared" ref="I8:I15" si="0">H8*F8*E8</f>
        <v>17145.37</v>
      </c>
      <c r="J8" s="99"/>
    </row>
    <row r="9" spans="1:10" ht="15.75">
      <c r="A9" s="106"/>
      <c r="B9" s="80" t="s">
        <v>14</v>
      </c>
      <c r="C9" s="125" t="str">
        <f>VLOOKUP(B9,'Preços de Referência'!$A$5:$C$103,2,FALSE)</f>
        <v>Biólogo pleno</v>
      </c>
      <c r="D9" s="134" t="s">
        <v>15</v>
      </c>
      <c r="E9" s="182">
        <v>1</v>
      </c>
      <c r="F9" s="159">
        <f>'Preços de Referência'!$O$30*1</f>
        <v>182.49</v>
      </c>
      <c r="G9" s="88">
        <f>VLOOKUP(B9,'Preços de Referência'!$A$5:$C$103,3,FALSE)</f>
        <v>8782.2099999999991</v>
      </c>
      <c r="H9" s="88">
        <f>G9/'Preços de Referência'!$O$30</f>
        <v>48.124335580031776</v>
      </c>
      <c r="I9" s="91">
        <f>H9*F9*E9</f>
        <v>8782.2099999999991</v>
      </c>
      <c r="J9" s="99"/>
    </row>
    <row r="10" spans="1:10" ht="15.75">
      <c r="A10" s="106"/>
      <c r="B10" s="80" t="s">
        <v>16</v>
      </c>
      <c r="C10" s="125" t="str">
        <f>VLOOKUP(B10,'Preços de Referência'!$A$5:$C$103,2,FALSE)</f>
        <v>Engenheiro florestal pleno</v>
      </c>
      <c r="D10" s="134" t="s">
        <v>15</v>
      </c>
      <c r="E10" s="182">
        <v>1</v>
      </c>
      <c r="F10" s="159">
        <f>'Preços de Referência'!$O$30*1</f>
        <v>182.49</v>
      </c>
      <c r="G10" s="88">
        <f>VLOOKUP(B10,'Preços de Referência'!$A$5:$C$103,3,FALSE)</f>
        <v>23790.89</v>
      </c>
      <c r="H10" s="88">
        <f>G10/'Preços de Referência'!$O$30</f>
        <v>130.36818455805798</v>
      </c>
      <c r="I10" s="91">
        <f>H10*F10*E10</f>
        <v>23790.890000000003</v>
      </c>
      <c r="J10" s="99"/>
    </row>
    <row r="11" spans="1:10" ht="15.75">
      <c r="A11" s="106"/>
      <c r="B11" s="80" t="s">
        <v>19</v>
      </c>
      <c r="C11" s="125" t="str">
        <f>VLOOKUP(B11,'Preços de Referência'!$A$5:$C$103,2,FALSE)</f>
        <v>Geólogo pleno</v>
      </c>
      <c r="D11" s="134" t="s">
        <v>15</v>
      </c>
      <c r="E11" s="182">
        <v>1</v>
      </c>
      <c r="F11" s="159">
        <f>'Preços de Referência'!$O$30*1</f>
        <v>182.49</v>
      </c>
      <c r="G11" s="88">
        <f>VLOOKUP(B11,'Preços de Referência'!$A$5:$C$103,3,FALSE)</f>
        <v>22360.25</v>
      </c>
      <c r="H11" s="88">
        <f>G11/'Preços de Referência'!$O$30</f>
        <v>122.52863170584689</v>
      </c>
      <c r="I11" s="91">
        <f t="shared" si="0"/>
        <v>22360.25</v>
      </c>
      <c r="J11" s="99"/>
    </row>
    <row r="12" spans="1:10" ht="15.75">
      <c r="A12" s="106"/>
      <c r="B12" s="80" t="s">
        <v>20</v>
      </c>
      <c r="C12" s="125" t="str">
        <f>VLOOKUP(B12,'Preços de Referência'!$A$5:$C$103,2,FALSE)</f>
        <v>Geógrafo pleno</v>
      </c>
      <c r="D12" s="134" t="s">
        <v>15</v>
      </c>
      <c r="E12" s="182">
        <v>1</v>
      </c>
      <c r="F12" s="159">
        <f>'Preços de Referência'!$O$30*1</f>
        <v>182.49</v>
      </c>
      <c r="G12" s="88">
        <f>VLOOKUP(B12,'Preços de Referência'!$A$5:$C$103,3,FALSE)</f>
        <v>10237.07</v>
      </c>
      <c r="H12" s="88">
        <f>G12/'Preços de Referência'!$O$30</f>
        <v>56.09660803331689</v>
      </c>
      <c r="I12" s="91">
        <f t="shared" si="0"/>
        <v>10237.07</v>
      </c>
      <c r="J12" s="99"/>
    </row>
    <row r="13" spans="1:10" ht="15.75">
      <c r="A13" s="106"/>
      <c r="B13" s="80" t="s">
        <v>17</v>
      </c>
      <c r="C13" s="125" t="str">
        <f>VLOOKUP(B13,'Preços de Referência'!$A$5:$C$103,2,FALSE)</f>
        <v>Técnico em geoprocessamento</v>
      </c>
      <c r="D13" s="134" t="s">
        <v>15</v>
      </c>
      <c r="E13" s="182">
        <v>1</v>
      </c>
      <c r="F13" s="159">
        <f>'Preços de Referência'!$O$30*1</f>
        <v>182.49</v>
      </c>
      <c r="G13" s="88">
        <f>VLOOKUP(B13,'Preços de Referência'!$A$5:$C$103,3,FALSE)</f>
        <v>6120.29</v>
      </c>
      <c r="H13" s="88">
        <f>G13/'Preços de Referência'!$O$30</f>
        <v>33.537673297166968</v>
      </c>
      <c r="I13" s="91">
        <f t="shared" si="0"/>
        <v>6120.29</v>
      </c>
      <c r="J13" s="99"/>
    </row>
    <row r="14" spans="1:10" ht="15.75">
      <c r="A14" s="106"/>
      <c r="B14" s="80" t="s">
        <v>18</v>
      </c>
      <c r="C14" s="125" t="str">
        <f>VLOOKUP(B14,'Preços de Referência'!$A$5:$C$103,2,FALSE)</f>
        <v>Engenheiro ambiental pleno</v>
      </c>
      <c r="D14" s="134" t="s">
        <v>15</v>
      </c>
      <c r="E14" s="182">
        <v>1</v>
      </c>
      <c r="F14" s="159">
        <f>'Preços de Referência'!$O$30*1</f>
        <v>182.49</v>
      </c>
      <c r="G14" s="88">
        <f>VLOOKUP(B14,'Preços de Referência'!$A$5:$C$103,3,FALSE)</f>
        <v>24964.47</v>
      </c>
      <c r="H14" s="88">
        <f>G14/'Preços de Referência'!$O$30</f>
        <v>136.79911228012494</v>
      </c>
      <c r="I14" s="91">
        <f t="shared" si="0"/>
        <v>24964.47</v>
      </c>
      <c r="J14" s="99"/>
    </row>
    <row r="15" spans="1:10" ht="15.75">
      <c r="A15" s="106"/>
      <c r="B15" s="80" t="s">
        <v>301</v>
      </c>
      <c r="C15" s="125" t="str">
        <f>VLOOKUP(B15,'Preços de Referência'!$A$5:$C$103,2,FALSE)</f>
        <v>Sociólogo pleno</v>
      </c>
      <c r="D15" s="134" t="s">
        <v>15</v>
      </c>
      <c r="E15" s="182">
        <v>1</v>
      </c>
      <c r="F15" s="159">
        <f>'Preços de Referência'!$O$30*1</f>
        <v>182.49</v>
      </c>
      <c r="G15" s="88">
        <f>VLOOKUP(B15,'Preços de Referência'!$A$5:$C$103,3,FALSE)</f>
        <v>10794.49</v>
      </c>
      <c r="H15" s="88">
        <f>G15/'Preços de Referência'!$O$30</f>
        <v>59.151131568853081</v>
      </c>
      <c r="I15" s="91">
        <f t="shared" si="0"/>
        <v>10794.49</v>
      </c>
      <c r="J15" s="99"/>
    </row>
    <row r="16" spans="1:10" ht="15.75" hidden="1">
      <c r="A16" s="128" t="s">
        <v>21</v>
      </c>
      <c r="B16" s="107"/>
      <c r="C16" s="126" t="s">
        <v>22</v>
      </c>
      <c r="D16" s="107"/>
      <c r="E16" s="107"/>
      <c r="F16" s="107"/>
      <c r="G16" s="107"/>
      <c r="H16" s="123"/>
      <c r="I16" s="100">
        <v>0</v>
      </c>
      <c r="J16" s="99"/>
    </row>
    <row r="17" spans="1:10" ht="28.5" hidden="1" customHeight="1">
      <c r="A17" s="106"/>
      <c r="B17" s="84" t="s">
        <v>23</v>
      </c>
      <c r="C17" s="125" t="str">
        <f>VLOOKUP(B17,'Preços de Referência'!$E$4:$P$5,2,FALSE)</f>
        <v>Veículo leve picape 4 x 4 com capacidade de 1,10 t - 147 kW (sem motorista)</v>
      </c>
      <c r="D17" s="134" t="s">
        <v>15</v>
      </c>
      <c r="E17" s="81">
        <v>2</v>
      </c>
      <c r="F17" s="159">
        <f>'Preços de Referência'!$O$28*10*2</f>
        <v>146.66</v>
      </c>
      <c r="G17" s="88">
        <f>VLOOKUP(B17,'Preços de Referência'!$E$4:$P$5,10,FALSE)</f>
        <v>8274.9513000000006</v>
      </c>
      <c r="H17" s="88">
        <f>VLOOKUP(B17,'Preços de Referência'!$E$4:$P$5,12,FALSE)</f>
        <v>45.3446</v>
      </c>
      <c r="I17" s="91">
        <f>H17*F17*E17</f>
        <v>13300.478072</v>
      </c>
      <c r="J17" s="99"/>
    </row>
    <row r="18" spans="1:10" ht="30" hidden="1">
      <c r="A18" s="128" t="s">
        <v>24</v>
      </c>
      <c r="B18" s="107"/>
      <c r="C18" s="126" t="s">
        <v>25</v>
      </c>
      <c r="D18" s="107"/>
      <c r="E18" s="107"/>
      <c r="F18" s="107"/>
      <c r="G18" s="107"/>
      <c r="H18" s="123"/>
      <c r="I18" s="100">
        <v>0</v>
      </c>
      <c r="J18" s="99"/>
    </row>
    <row r="19" spans="1:10" ht="15.75" hidden="1">
      <c r="A19" s="106"/>
      <c r="B19" s="80" t="s">
        <v>26</v>
      </c>
      <c r="C19" s="125" t="s">
        <v>27</v>
      </c>
      <c r="D19" s="134" t="s">
        <v>15</v>
      </c>
      <c r="E19" s="81">
        <v>6</v>
      </c>
      <c r="F19" s="81">
        <f>'Preços de Referência'!$O$28*5</f>
        <v>36.664999999999999</v>
      </c>
      <c r="G19" s="81">
        <v>223.422507</v>
      </c>
      <c r="H19" s="88">
        <v>1.2242999999999999</v>
      </c>
      <c r="I19" s="91">
        <f>H19*F19*E19</f>
        <v>269.33375699999999</v>
      </c>
      <c r="J19" s="99"/>
    </row>
    <row r="20" spans="1:10" ht="15.75" hidden="1">
      <c r="A20" s="106"/>
      <c r="B20" s="80" t="s">
        <v>28</v>
      </c>
      <c r="C20" s="125" t="s">
        <v>29</v>
      </c>
      <c r="D20" s="134" t="s">
        <v>15</v>
      </c>
      <c r="E20" s="81">
        <v>1</v>
      </c>
      <c r="F20" s="81">
        <f>'Preços de Referência'!$O$28*5</f>
        <v>36.664999999999999</v>
      </c>
      <c r="G20" s="81">
        <f>E20*F20</f>
        <v>36.664999999999999</v>
      </c>
      <c r="H20" s="88">
        <v>5.16</v>
      </c>
      <c r="I20" s="91">
        <f>H20*F20*E20</f>
        <v>189.19139999999999</v>
      </c>
      <c r="J20" s="99"/>
    </row>
    <row r="21" spans="1:10" ht="15.75" hidden="1">
      <c r="A21" s="128" t="s">
        <v>30</v>
      </c>
      <c r="B21" s="107"/>
      <c r="C21" s="126" t="s">
        <v>31</v>
      </c>
      <c r="D21" s="107"/>
      <c r="E21" s="107"/>
      <c r="F21" s="107"/>
      <c r="G21" s="107"/>
      <c r="H21" s="123"/>
      <c r="I21" s="100">
        <v>0</v>
      </c>
      <c r="J21" s="99"/>
    </row>
    <row r="22" spans="1:10" ht="15.75" hidden="1">
      <c r="A22" s="129" t="s">
        <v>32</v>
      </c>
      <c r="B22" s="108"/>
      <c r="C22" s="127" t="s">
        <v>33</v>
      </c>
      <c r="D22" s="108"/>
      <c r="E22" s="108"/>
      <c r="F22" s="108"/>
      <c r="G22" s="108"/>
      <c r="H22" s="124"/>
      <c r="I22" s="101"/>
      <c r="J22" s="99"/>
    </row>
    <row r="23" spans="1:10" ht="28.5" hidden="1">
      <c r="A23" s="106"/>
      <c r="B23" s="80" t="s">
        <v>34</v>
      </c>
      <c r="C23" s="125" t="str">
        <f>VLOOKUP(B23,'Preços de Referência'!$F$74:$J$83,2,FALSE)</f>
        <v>Comercial (2,60% do CMCC - SINAPI)</v>
      </c>
      <c r="D23" s="80" t="str">
        <f>VLOOKUP(B23,'Preços de Referência'!$F$74:$J$83,4,FALSE)</f>
        <v>m² x mês</v>
      </c>
      <c r="E23" s="81">
        <f>12.41*6</f>
        <v>74.460000000000008</v>
      </c>
      <c r="F23" s="81">
        <f>'Preços de Referência'!$O$28*5</f>
        <v>36.664999999999999</v>
      </c>
      <c r="G23" s="89">
        <f>VLOOKUP(B23,'Preços de Referência'!$F$74:$J$83,5,FALSE)</f>
        <v>47.75</v>
      </c>
      <c r="H23" s="88">
        <f>G23/'Preços de Referência'!$O$30</f>
        <v>0.26165817305057809</v>
      </c>
      <c r="I23" s="91">
        <v>0</v>
      </c>
      <c r="J23" s="99"/>
    </row>
    <row r="24" spans="1:10" ht="15.75" hidden="1">
      <c r="A24" s="129" t="s">
        <v>35</v>
      </c>
      <c r="B24" s="108"/>
      <c r="C24" s="127" t="s">
        <v>36</v>
      </c>
      <c r="D24" s="108"/>
      <c r="E24" s="108"/>
      <c r="F24" s="108"/>
      <c r="G24" s="108"/>
      <c r="H24" s="124"/>
      <c r="I24" s="101"/>
      <c r="J24" s="99"/>
    </row>
    <row r="25" spans="1:10" ht="15.75" hidden="1">
      <c r="A25" s="106"/>
      <c r="B25" s="80" t="s">
        <v>37</v>
      </c>
      <c r="C25" s="125" t="str">
        <f>VLOOKUP(B25,'Preços de Referência'!$F$74:$J$83,2,FALSE)</f>
        <v>Escritório</v>
      </c>
      <c r="D25" s="80" t="str">
        <f>VLOOKUP(B25,'Preços de Referência'!$F$74:$J$83,4,FALSE)</f>
        <v>ocupante x mês</v>
      </c>
      <c r="E25" s="81">
        <v>6</v>
      </c>
      <c r="F25" s="81">
        <f>'Preços de Referência'!$O$28*5</f>
        <v>36.664999999999999</v>
      </c>
      <c r="G25" s="89">
        <f>VLOOKUP(B25,'Preços de Referência'!$F$74:$J$83,5,FALSE)</f>
        <v>490.4</v>
      </c>
      <c r="H25" s="88">
        <f>G25/'Preços de Referência'!$O$30</f>
        <v>2.6872705353718009</v>
      </c>
      <c r="I25" s="91">
        <f>H25*F25*E25</f>
        <v>591.17264507644245</v>
      </c>
      <c r="J25" s="99"/>
    </row>
    <row r="26" spans="1:10" ht="15.75" hidden="1">
      <c r="A26" s="129" t="s">
        <v>38</v>
      </c>
      <c r="B26" s="108"/>
      <c r="C26" s="127" t="s">
        <v>39</v>
      </c>
      <c r="D26" s="108"/>
      <c r="E26" s="108"/>
      <c r="F26" s="108"/>
      <c r="G26" s="108"/>
      <c r="H26" s="124"/>
      <c r="I26" s="101"/>
      <c r="J26" s="99"/>
    </row>
    <row r="27" spans="1:10" ht="15.75" hidden="1">
      <c r="A27" s="106"/>
      <c r="B27" s="80" t="s">
        <v>40</v>
      </c>
      <c r="C27" s="125" t="str">
        <f>VLOOKUP(B27,'Preços de Referência'!$F$74:$J$83,2,FALSE)</f>
        <v>Escritório</v>
      </c>
      <c r="D27" s="80" t="str">
        <f>VLOOKUP(B27,'Preços de Referência'!$F$74:$J$83,4,FALSE)</f>
        <v>ocupante x mês</v>
      </c>
      <c r="E27" s="81">
        <v>6</v>
      </c>
      <c r="F27" s="81">
        <f>'Preços de Referência'!$O$28*5</f>
        <v>36.664999999999999</v>
      </c>
      <c r="G27" s="89">
        <f>VLOOKUP(B27,'Preços de Referência'!$F$74:$J$83,5,FALSE)</f>
        <v>135.22</v>
      </c>
      <c r="H27" s="88">
        <f>G27/'Preços de Referência'!$O$30</f>
        <v>0.74097210806071556</v>
      </c>
      <c r="I27" s="91">
        <f>H27*F27*E27</f>
        <v>163.00645405227681</v>
      </c>
      <c r="J27" s="99"/>
    </row>
    <row r="28" spans="1:10" ht="15.75" hidden="1">
      <c r="A28" s="160" t="s">
        <v>361</v>
      </c>
      <c r="B28" s="161"/>
      <c r="C28" s="162" t="s">
        <v>360</v>
      </c>
      <c r="D28" s="161"/>
      <c r="E28" s="161"/>
      <c r="F28" s="161"/>
      <c r="G28" s="161"/>
      <c r="H28" s="161"/>
      <c r="I28" s="163">
        <v>0</v>
      </c>
    </row>
    <row r="29" spans="1:10" ht="42.75" hidden="1">
      <c r="A29" s="164"/>
      <c r="B29" s="169" t="s">
        <v>198</v>
      </c>
      <c r="C29" s="165" t="s">
        <v>199</v>
      </c>
      <c r="D29" s="134" t="s">
        <v>122</v>
      </c>
      <c r="E29" s="135">
        <v>8</v>
      </c>
      <c r="F29" s="135">
        <v>20</v>
      </c>
      <c r="G29" s="166">
        <v>341.02</v>
      </c>
      <c r="H29" s="167"/>
      <c r="I29" s="168">
        <f>E29*F29*G29</f>
        <v>54563.199999999997</v>
      </c>
    </row>
    <row r="30" spans="1:10" ht="28.5" hidden="1">
      <c r="A30" s="164"/>
      <c r="B30" s="169" t="s">
        <v>194</v>
      </c>
      <c r="C30" s="165" t="s">
        <v>195</v>
      </c>
      <c r="D30" s="134" t="s">
        <v>122</v>
      </c>
      <c r="E30" s="135">
        <v>4</v>
      </c>
      <c r="F30" s="135">
        <v>2</v>
      </c>
      <c r="G30" s="166">
        <v>1189.4070999999999</v>
      </c>
      <c r="H30" s="167"/>
      <c r="I30" s="168">
        <f>E30*F30*G30</f>
        <v>9515.2567999999992</v>
      </c>
    </row>
    <row r="31" spans="1:10" ht="15.75">
      <c r="A31" s="359"/>
      <c r="B31" s="193"/>
      <c r="C31" s="82"/>
      <c r="D31" s="82"/>
      <c r="E31" s="82"/>
      <c r="F31" s="82"/>
      <c r="G31" s="82"/>
      <c r="H31" s="473" t="s">
        <v>41</v>
      </c>
      <c r="I31" s="92">
        <f>I7+I18+I21+I16+I28</f>
        <v>124195.04000000001</v>
      </c>
      <c r="J31" s="99"/>
    </row>
    <row r="32" spans="1:10" ht="15.75">
      <c r="A32" s="93"/>
      <c r="B32" s="83"/>
      <c r="C32" s="83"/>
      <c r="D32" s="83"/>
      <c r="E32" s="83"/>
      <c r="F32" s="83"/>
      <c r="G32" s="474" t="s">
        <v>42</v>
      </c>
      <c r="H32" s="252">
        <f>BDI!$D$17</f>
        <v>0.44579999999999997</v>
      </c>
      <c r="I32" s="94">
        <f>I31*H32</f>
        <v>55366.148831999999</v>
      </c>
      <c r="J32" s="99"/>
    </row>
    <row r="33" spans="1:10" ht="16.5" customHeight="1" thickBot="1">
      <c r="A33" s="360"/>
      <c r="B33" s="194"/>
      <c r="C33" s="194"/>
      <c r="D33" s="95"/>
      <c r="E33" s="95"/>
      <c r="F33" s="95"/>
      <c r="G33" s="95"/>
      <c r="H33" s="181" t="s">
        <v>498</v>
      </c>
      <c r="I33" s="96">
        <f>I31+I32</f>
        <v>179561.18883200001</v>
      </c>
      <c r="J33" s="99"/>
    </row>
    <row r="34" spans="1:10" ht="15.75">
      <c r="A34" s="173"/>
      <c r="F34" s="600" t="s">
        <v>44</v>
      </c>
      <c r="G34" s="601"/>
      <c r="H34" s="601"/>
      <c r="I34" s="602"/>
      <c r="J34" s="99"/>
    </row>
    <row r="35" spans="1:10" ht="15.75">
      <c r="A35" s="173"/>
      <c r="F35" s="109" t="str">
        <f>A2</f>
        <v>Bloco 1</v>
      </c>
      <c r="G35" s="109" t="s">
        <v>45</v>
      </c>
      <c r="H35" s="109" t="s">
        <v>46</v>
      </c>
      <c r="I35" s="174" t="s">
        <v>47</v>
      </c>
      <c r="J35" s="99"/>
    </row>
    <row r="36" spans="1:10" ht="16.5" thickBot="1">
      <c r="A36" s="175"/>
      <c r="B36" s="176"/>
      <c r="C36" s="176"/>
      <c r="D36" s="176"/>
      <c r="E36" s="176"/>
      <c r="F36" s="177">
        <f>A3</f>
        <v>16</v>
      </c>
      <c r="G36" s="195">
        <v>3</v>
      </c>
      <c r="H36" s="178">
        <f>I33</f>
        <v>179561.18883200001</v>
      </c>
      <c r="I36" s="179">
        <f>G36*H36</f>
        <v>538683.56649600004</v>
      </c>
      <c r="J36" s="99"/>
    </row>
  </sheetData>
  <mergeCells count="8">
    <mergeCell ref="B3:D3"/>
    <mergeCell ref="F34:I34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EF2D1-25DB-4AC8-A007-C8C94EF73AE6}">
  <sheetPr>
    <tabColor theme="9" tint="0.39997558519241921"/>
    <pageSetUpPr fitToPage="1"/>
  </sheetPr>
  <dimension ref="A1:J33"/>
  <sheetViews>
    <sheetView showGridLines="0" zoomScale="80" zoomScaleNormal="80" workbookViewId="0">
      <selection activeCell="H33" sqref="H33:I33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24.1406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PRODUTOS!A20</f>
        <v>17</v>
      </c>
      <c r="B3" s="599" t="str">
        <f>PRODUTOS!B20</f>
        <v>AVALIAÇÃO DE POTENCIAL MALARÍGENO</v>
      </c>
      <c r="C3" s="599"/>
      <c r="D3" s="599"/>
      <c r="E3" s="119" t="str">
        <f>PRODUTOS!C20</f>
        <v>APM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SUM(I8:I10)</f>
        <v>17641.890444407913</v>
      </c>
      <c r="J7" s="99"/>
    </row>
    <row r="8" spans="1:10" ht="15.75">
      <c r="A8" s="106"/>
      <c r="B8" s="80" t="s">
        <v>167</v>
      </c>
      <c r="C8" s="125" t="str">
        <f>VLOOKUP(B8,'Preços de Referência'!$A$5:$C$103,2,FALSE)</f>
        <v>Auxiliar</v>
      </c>
      <c r="D8" s="134" t="s">
        <v>15</v>
      </c>
      <c r="E8" s="81">
        <v>2</v>
      </c>
      <c r="F8" s="159">
        <f>'Preços de Referência'!$O$28*((3*5)+10)</f>
        <v>183.32500000000002</v>
      </c>
      <c r="G8" s="88">
        <f>VLOOKUP(B8,'Preços de Referência'!$A$5:$C$103,3,FALSE)</f>
        <v>3986.88</v>
      </c>
      <c r="H8" s="88">
        <f>G8/'Preços de Referência'!$O$30</f>
        <v>21.847114910406049</v>
      </c>
      <c r="I8" s="91">
        <f>H8*F8*E8</f>
        <v>8010.2446819003781</v>
      </c>
      <c r="J8" s="99"/>
    </row>
    <row r="9" spans="1:10" ht="15.75">
      <c r="A9" s="106"/>
      <c r="B9" s="80" t="s">
        <v>162</v>
      </c>
      <c r="C9" s="125" t="str">
        <f>VLOOKUP(B9,'Preços de Referência'!$A$5:$C$103,2,FALSE)</f>
        <v>Assistente social júnior</v>
      </c>
      <c r="D9" s="134" t="s">
        <v>15</v>
      </c>
      <c r="E9" s="81">
        <v>1</v>
      </c>
      <c r="F9" s="159">
        <f>'Preços de Referência'!$O$28*10</f>
        <v>73.33</v>
      </c>
      <c r="G9" s="88">
        <f>VLOOKUP(B9,'Preços de Referência'!$A$5:$C$103,3,FALSE)</f>
        <v>6796.14</v>
      </c>
      <c r="H9" s="88">
        <f>G9/'Preços de Referência'!$O$30</f>
        <v>37.241163899391751</v>
      </c>
      <c r="I9" s="91">
        <f t="shared" ref="I9:I10" si="0">H9*F9*E9</f>
        <v>2730.8945487423971</v>
      </c>
      <c r="J9" s="99"/>
    </row>
    <row r="10" spans="1:10" ht="15.75">
      <c r="A10" s="106"/>
      <c r="B10" s="80" t="s">
        <v>174</v>
      </c>
      <c r="C10" s="125" t="str">
        <f>VLOOKUP(B10,'Preços de Referência'!$A$5:$C$103,2,FALSE)</f>
        <v>Biólogo júnior</v>
      </c>
      <c r="D10" s="134" t="s">
        <v>15</v>
      </c>
      <c r="E10" s="81">
        <v>1</v>
      </c>
      <c r="F10" s="159">
        <f>'Preços de Referência'!$O$28*((3*5)+10)</f>
        <v>183.32500000000002</v>
      </c>
      <c r="G10" s="88">
        <f>VLOOKUP(B10,'Preços de Referência'!$A$5:$C$103,3,FALSE)</f>
        <v>6869.32</v>
      </c>
      <c r="H10" s="88">
        <f>G10/'Preços de Referência'!$O$30</f>
        <v>37.642172173817741</v>
      </c>
      <c r="I10" s="91">
        <f t="shared" si="0"/>
        <v>6900.7512137651383</v>
      </c>
      <c r="J10" s="99"/>
    </row>
    <row r="11" spans="1:10" ht="15.75">
      <c r="A11" s="128" t="s">
        <v>21</v>
      </c>
      <c r="B11" s="107"/>
      <c r="C11" s="126" t="s">
        <v>22</v>
      </c>
      <c r="D11" s="107"/>
      <c r="E11" s="107"/>
      <c r="F11" s="107"/>
      <c r="G11" s="107"/>
      <c r="H11" s="123"/>
      <c r="I11" s="100">
        <f>I12</f>
        <v>1783.8109139999999</v>
      </c>
      <c r="J11" s="99"/>
    </row>
    <row r="12" spans="1:10" ht="28.5" customHeight="1">
      <c r="A12" s="106"/>
      <c r="B12" s="84" t="s">
        <v>121</v>
      </c>
      <c r="C12" s="125" t="str">
        <f>VLOOKUP(B12,'Preços de Referência'!$E$4:$P$5,2,FALSE)</f>
        <v>Veículo leve - 53 kW (sem motorista)</v>
      </c>
      <c r="D12" s="134" t="s">
        <v>15</v>
      </c>
      <c r="E12" s="81">
        <v>1</v>
      </c>
      <c r="F12" s="159">
        <f>'Preços de Referência'!$O$28*(3*5)</f>
        <v>109.995</v>
      </c>
      <c r="G12" s="88">
        <f>VLOOKUP(B12,'Preços de Referência'!$E$4:$P$5,10,FALSE)</f>
        <v>2959.4861999999998</v>
      </c>
      <c r="H12" s="88">
        <f>VLOOKUP(B12,'Preços de Referência'!$E$4:$P$5,12,FALSE)</f>
        <v>16.217199999999998</v>
      </c>
      <c r="I12" s="91">
        <f>H12*F12*E12</f>
        <v>1783.8109139999999</v>
      </c>
      <c r="J12" s="99"/>
    </row>
    <row r="13" spans="1:10" ht="30" hidden="1">
      <c r="A13" s="128" t="s">
        <v>24</v>
      </c>
      <c r="B13" s="107"/>
      <c r="C13" s="126" t="s">
        <v>25</v>
      </c>
      <c r="D13" s="107"/>
      <c r="E13" s="107"/>
      <c r="F13" s="107"/>
      <c r="G13" s="107"/>
      <c r="H13" s="123"/>
      <c r="I13" s="100">
        <v>0</v>
      </c>
      <c r="J13" s="99"/>
    </row>
    <row r="14" spans="1:10" ht="15.75" hidden="1">
      <c r="A14" s="106"/>
      <c r="B14" s="80" t="s">
        <v>26</v>
      </c>
      <c r="C14" s="125" t="s">
        <v>27</v>
      </c>
      <c r="D14" s="134" t="s">
        <v>15</v>
      </c>
      <c r="E14" s="81">
        <v>6</v>
      </c>
      <c r="F14" s="81">
        <f>'Preços de Referência'!$O$28*5</f>
        <v>36.664999999999999</v>
      </c>
      <c r="G14" s="81">
        <v>223.422507</v>
      </c>
      <c r="H14" s="88">
        <v>1.2242999999999999</v>
      </c>
      <c r="I14" s="91">
        <f>H14*F14*E14</f>
        <v>269.33375699999999</v>
      </c>
      <c r="J14" s="99"/>
    </row>
    <row r="15" spans="1:10" ht="28.5" hidden="1">
      <c r="A15" s="106"/>
      <c r="B15" s="80" t="s">
        <v>28</v>
      </c>
      <c r="C15" s="125" t="s">
        <v>29</v>
      </c>
      <c r="D15" s="134" t="s">
        <v>15</v>
      </c>
      <c r="E15" s="81">
        <v>1</v>
      </c>
      <c r="F15" s="81">
        <f>'Preços de Referência'!$O$28*5</f>
        <v>36.664999999999999</v>
      </c>
      <c r="G15" s="81">
        <f>E15*F15</f>
        <v>36.664999999999999</v>
      </c>
      <c r="H15" s="88">
        <v>5.16</v>
      </c>
      <c r="I15" s="91">
        <f>H15*F15*E15</f>
        <v>189.19139999999999</v>
      </c>
      <c r="J15" s="99"/>
    </row>
    <row r="16" spans="1:10" ht="15.75" hidden="1">
      <c r="A16" s="128" t="s">
        <v>30</v>
      </c>
      <c r="B16" s="107"/>
      <c r="C16" s="126" t="s">
        <v>31</v>
      </c>
      <c r="D16" s="107"/>
      <c r="E16" s="107"/>
      <c r="F16" s="107"/>
      <c r="G16" s="107"/>
      <c r="H16" s="123"/>
      <c r="I16" s="100">
        <v>0</v>
      </c>
      <c r="J16" s="99"/>
    </row>
    <row r="17" spans="1:10" ht="15.75" hidden="1">
      <c r="A17" s="129" t="s">
        <v>32</v>
      </c>
      <c r="B17" s="108"/>
      <c r="C17" s="127" t="s">
        <v>33</v>
      </c>
      <c r="D17" s="108"/>
      <c r="E17" s="108"/>
      <c r="F17" s="108"/>
      <c r="G17" s="108"/>
      <c r="H17" s="124"/>
      <c r="I17" s="101"/>
      <c r="J17" s="99"/>
    </row>
    <row r="18" spans="1:10" ht="28.5" hidden="1">
      <c r="A18" s="106"/>
      <c r="B18" s="80" t="s">
        <v>34</v>
      </c>
      <c r="C18" s="125" t="str">
        <f>VLOOKUP(B18,'Preços de Referência'!$F$74:$J$83,2,FALSE)</f>
        <v>Comercial (2,60% do CMCC - SINAPI)</v>
      </c>
      <c r="D18" s="80" t="str">
        <f>VLOOKUP(B18,'Preços de Referência'!$F$74:$J$83,4,FALSE)</f>
        <v>m² x mês</v>
      </c>
      <c r="E18" s="81">
        <f>12.41*6</f>
        <v>74.460000000000008</v>
      </c>
      <c r="F18" s="81">
        <f>'Preços de Referência'!$O$28*5</f>
        <v>36.664999999999999</v>
      </c>
      <c r="G18" s="89">
        <f>VLOOKUP(B18,'Preços de Referência'!$F$74:$J$83,5,FALSE)</f>
        <v>47.75</v>
      </c>
      <c r="H18" s="88">
        <f>G18/'Preços de Referência'!$O$30</f>
        <v>0.26165817305057809</v>
      </c>
      <c r="I18" s="91">
        <v>0</v>
      </c>
      <c r="J18" s="99"/>
    </row>
    <row r="19" spans="1:10" ht="15.75" hidden="1">
      <c r="A19" s="129" t="s">
        <v>35</v>
      </c>
      <c r="B19" s="108"/>
      <c r="C19" s="127" t="s">
        <v>36</v>
      </c>
      <c r="D19" s="108"/>
      <c r="E19" s="108"/>
      <c r="F19" s="108"/>
      <c r="G19" s="108"/>
      <c r="H19" s="124"/>
      <c r="I19" s="101"/>
      <c r="J19" s="99"/>
    </row>
    <row r="20" spans="1:10" ht="15.75" hidden="1">
      <c r="A20" s="106"/>
      <c r="B20" s="80" t="s">
        <v>37</v>
      </c>
      <c r="C20" s="125" t="str">
        <f>VLOOKUP(B20,'Preços de Referência'!$F$74:$J$83,2,FALSE)</f>
        <v>Escritório</v>
      </c>
      <c r="D20" s="80" t="str">
        <f>VLOOKUP(B20,'Preços de Referência'!$F$74:$J$83,4,FALSE)</f>
        <v>ocupante x mês</v>
      </c>
      <c r="E20" s="81">
        <v>6</v>
      </c>
      <c r="F20" s="81">
        <f>'Preços de Referência'!$O$28*5</f>
        <v>36.664999999999999</v>
      </c>
      <c r="G20" s="89">
        <f>VLOOKUP(B20,'Preços de Referência'!$F$74:$J$83,5,FALSE)</f>
        <v>490.4</v>
      </c>
      <c r="H20" s="88">
        <f>G20/'Preços de Referência'!$O$30</f>
        <v>2.6872705353718009</v>
      </c>
      <c r="I20" s="91">
        <f>H20*F20*E20</f>
        <v>591.17264507644245</v>
      </c>
      <c r="J20" s="99"/>
    </row>
    <row r="21" spans="1:10" ht="15.75" hidden="1">
      <c r="A21" s="129" t="s">
        <v>38</v>
      </c>
      <c r="B21" s="108"/>
      <c r="C21" s="127" t="s">
        <v>39</v>
      </c>
      <c r="D21" s="108"/>
      <c r="E21" s="108"/>
      <c r="F21" s="108"/>
      <c r="G21" s="108"/>
      <c r="H21" s="124"/>
      <c r="I21" s="101"/>
      <c r="J21" s="99"/>
    </row>
    <row r="22" spans="1:10" ht="15.75" hidden="1">
      <c r="A22" s="106"/>
      <c r="B22" s="80" t="s">
        <v>40</v>
      </c>
      <c r="C22" s="125" t="str">
        <f>VLOOKUP(B22,'Preços de Referência'!$F$74:$J$83,2,FALSE)</f>
        <v>Escritório</v>
      </c>
      <c r="D22" s="80" t="str">
        <f>VLOOKUP(B22,'Preços de Referência'!$F$74:$J$83,4,FALSE)</f>
        <v>ocupante x mês</v>
      </c>
      <c r="E22" s="81">
        <v>6</v>
      </c>
      <c r="F22" s="81">
        <f>'Preços de Referência'!$O$28*5</f>
        <v>36.664999999999999</v>
      </c>
      <c r="G22" s="89">
        <f>VLOOKUP(B22,'Preços de Referência'!$F$74:$J$83,5,FALSE)</f>
        <v>135.22</v>
      </c>
      <c r="H22" s="88">
        <f>G22/'Preços de Referência'!$O$30</f>
        <v>0.74097210806071556</v>
      </c>
      <c r="I22" s="91">
        <f>H22*F22*E22</f>
        <v>163.00645405227681</v>
      </c>
      <c r="J22" s="99"/>
    </row>
    <row r="23" spans="1:10" ht="15.75">
      <c r="A23" s="160" t="s">
        <v>24</v>
      </c>
      <c r="B23" s="161"/>
      <c r="C23" s="162" t="s">
        <v>360</v>
      </c>
      <c r="D23" s="161"/>
      <c r="E23" s="161"/>
      <c r="F23" s="161"/>
      <c r="G23" s="161"/>
      <c r="H23" s="161"/>
      <c r="I23" s="163">
        <f>SUM(I24:I25)</f>
        <v>15807.3076</v>
      </c>
    </row>
    <row r="24" spans="1:10" ht="28.5">
      <c r="A24" s="164"/>
      <c r="B24" s="169" t="s">
        <v>198</v>
      </c>
      <c r="C24" s="165" t="str">
        <f>VLOOKUP(B24,'Preços de Referência'!$P$69:$W$70,2,FALSE)</f>
        <v>DIÁRIA (CONF. DECRETO 11.117 PR - CUSTO MEDIANO</v>
      </c>
      <c r="D24" s="134" t="s">
        <v>122</v>
      </c>
      <c r="E24" s="135">
        <v>2.2999999999999998</v>
      </c>
      <c r="F24" s="135">
        <f>3*5</f>
        <v>15</v>
      </c>
      <c r="G24" s="330">
        <f>VLOOKUP(B24,'Preços de Referência'!$P$69:$W$70,6,FALSE)</f>
        <v>380</v>
      </c>
      <c r="H24" s="167"/>
      <c r="I24" s="168">
        <f>E24*F24*G24</f>
        <v>13110</v>
      </c>
    </row>
    <row r="25" spans="1:10" ht="28.5">
      <c r="A25" s="164"/>
      <c r="B25" s="169" t="s">
        <v>194</v>
      </c>
      <c r="C25" s="165" t="str">
        <f>VLOOKUP(B25,'Preços de Referência'!$P$69:$W$70,2,FALSE)</f>
        <v>PASSAGEM AÉREA - DESTINO NACIONAL (Cotação JUL/24)*</v>
      </c>
      <c r="D25" s="134" t="s">
        <v>122</v>
      </c>
      <c r="E25" s="135">
        <v>2</v>
      </c>
      <c r="F25" s="135">
        <v>1</v>
      </c>
      <c r="G25" s="330">
        <f>VLOOKUP(B25,'Preços de Referência'!$P$69:$W$70,6,FALSE)</f>
        <v>1348.6538</v>
      </c>
      <c r="H25" s="167"/>
      <c r="I25" s="168">
        <f>E25*F25*G25</f>
        <v>2697.3076000000001</v>
      </c>
    </row>
    <row r="26" spans="1:10" ht="15.75">
      <c r="A26" s="359"/>
      <c r="B26" s="193"/>
      <c r="C26" s="82"/>
      <c r="D26" s="82"/>
      <c r="E26" s="82"/>
      <c r="F26" s="82"/>
      <c r="G26" s="82"/>
      <c r="H26" s="248" t="s">
        <v>41</v>
      </c>
      <c r="I26" s="92">
        <f>I7+I13+I16+I11+I23</f>
        <v>35233.008958407911</v>
      </c>
      <c r="J26" s="99"/>
    </row>
    <row r="27" spans="1:10" ht="15.75">
      <c r="A27" s="93"/>
      <c r="B27" s="83"/>
      <c r="C27" s="83"/>
      <c r="D27" s="83"/>
      <c r="E27" s="83"/>
      <c r="F27" s="83"/>
      <c r="G27" s="474" t="s">
        <v>42</v>
      </c>
      <c r="H27" s="252">
        <f>BDI!$D$17</f>
        <v>0.44579999999999997</v>
      </c>
      <c r="I27" s="94">
        <f>I26*H27</f>
        <v>15706.875393658245</v>
      </c>
      <c r="J27" s="99"/>
    </row>
    <row r="28" spans="1:10" ht="16.5" customHeight="1" thickBot="1">
      <c r="A28" s="360"/>
      <c r="B28" s="194"/>
      <c r="C28" s="194"/>
      <c r="D28" s="95"/>
      <c r="E28" s="95"/>
      <c r="F28" s="95"/>
      <c r="G28" s="95"/>
      <c r="H28" s="181" t="s">
        <v>497</v>
      </c>
      <c r="I28" s="96">
        <f>I26+I27</f>
        <v>50939.884352066154</v>
      </c>
      <c r="J28" s="99"/>
    </row>
    <row r="29" spans="1:10" ht="15.75" thickBot="1">
      <c r="A29" s="476"/>
      <c r="B29" s="477"/>
      <c r="C29" s="477"/>
      <c r="D29" s="477"/>
      <c r="E29" s="477"/>
      <c r="F29" s="477"/>
      <c r="G29" s="478"/>
      <c r="H29" s="479" t="s">
        <v>524</v>
      </c>
      <c r="I29" s="480">
        <f>1.07765625</f>
        <v>1.07765625</v>
      </c>
    </row>
    <row r="30" spans="1:10" ht="16.5" customHeight="1" thickBot="1">
      <c r="A30" s="597"/>
      <c r="B30" s="598"/>
      <c r="C30" s="598"/>
      <c r="D30" s="95"/>
      <c r="E30" s="95"/>
      <c r="F30" s="95"/>
      <c r="G30" s="95"/>
      <c r="H30" s="181" t="s">
        <v>43</v>
      </c>
      <c r="I30" s="96">
        <f>(I28/6)*I29</f>
        <v>9149.2807910468819</v>
      </c>
      <c r="J30" s="99"/>
    </row>
    <row r="31" spans="1:10" ht="15.75">
      <c r="A31" s="173"/>
      <c r="F31" s="585" t="s">
        <v>44</v>
      </c>
      <c r="G31" s="586"/>
      <c r="H31" s="586"/>
      <c r="I31" s="594"/>
      <c r="J31" s="99"/>
    </row>
    <row r="32" spans="1:10" ht="15.75">
      <c r="A32" s="173"/>
      <c r="F32" s="109" t="str">
        <f>A2</f>
        <v>Bloco 1</v>
      </c>
      <c r="G32" s="109" t="s">
        <v>45</v>
      </c>
      <c r="H32" s="109" t="s">
        <v>46</v>
      </c>
      <c r="I32" s="174" t="s">
        <v>47</v>
      </c>
      <c r="J32" s="99"/>
    </row>
    <row r="33" spans="1:10" ht="19.5" thickBot="1">
      <c r="A33" s="175"/>
      <c r="B33" s="176"/>
      <c r="C33" s="176"/>
      <c r="D33" s="176"/>
      <c r="E33" s="176"/>
      <c r="F33" s="189">
        <f>A3</f>
        <v>17</v>
      </c>
      <c r="G33" s="189">
        <f>6*3</f>
        <v>18</v>
      </c>
      <c r="H33" s="190">
        <f>I30</f>
        <v>9149.2807910468819</v>
      </c>
      <c r="I33" s="191">
        <f>G33*H33</f>
        <v>164687.05423884388</v>
      </c>
      <c r="J33" s="99"/>
    </row>
  </sheetData>
  <mergeCells count="9">
    <mergeCell ref="B3:D3"/>
    <mergeCell ref="A30:C30"/>
    <mergeCell ref="F31:I31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10371-FDB7-4B8D-88F1-729FF06737C5}">
  <sheetPr>
    <tabColor theme="9" tint="0.39997558519241921"/>
    <pageSetUpPr fitToPage="1"/>
  </sheetPr>
  <dimension ref="A1:J30"/>
  <sheetViews>
    <sheetView showGridLines="0" zoomScale="90" zoomScaleNormal="90" workbookViewId="0">
      <selection activeCell="H30" sqref="H30:I30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7109375" style="3" bestFit="1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9.7109375" style="3" customWidth="1"/>
    <col min="9" max="9" width="21.85546875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PRODUTOS!A21</f>
        <v>18</v>
      </c>
      <c r="B3" s="599" t="str">
        <f>PRODUTOS!B21</f>
        <v xml:space="preserve">PLANO DE AÇÃO DE CONTROLE DE MALÁRIA </v>
      </c>
      <c r="C3" s="599"/>
      <c r="D3" s="599"/>
      <c r="E3" s="119" t="str">
        <f>PRODUTOS!C21</f>
        <v>PACM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SUM(I8:I9)</f>
        <v>49714.154999999992</v>
      </c>
      <c r="J7" s="99"/>
    </row>
    <row r="8" spans="1:10" ht="15.75">
      <c r="A8" s="106"/>
      <c r="B8" s="80" t="s">
        <v>14</v>
      </c>
      <c r="C8" s="125" t="str">
        <f>VLOOKUP(B8,'Preços de Referência'!$A$5:$C$103,2,FALSE)</f>
        <v>Biólogo pleno</v>
      </c>
      <c r="D8" s="134" t="s">
        <v>15</v>
      </c>
      <c r="E8" s="81">
        <v>3</v>
      </c>
      <c r="F8" s="159">
        <f>'Preços de Referência'!$O$30*1.5</f>
        <v>273.73500000000001</v>
      </c>
      <c r="G8" s="88">
        <f>VLOOKUP(B8,'Preços de Referência'!$A$5:$C$103,3,FALSE)</f>
        <v>8782.2099999999991</v>
      </c>
      <c r="H8" s="88">
        <f>G8/'Preços de Referência'!$O$30</f>
        <v>48.124335580031776</v>
      </c>
      <c r="I8" s="91">
        <f t="shared" ref="I8:I9" si="0">H8*F8*E8</f>
        <v>39519.944999999992</v>
      </c>
      <c r="J8" s="99"/>
    </row>
    <row r="9" spans="1:10" ht="15.75">
      <c r="A9" s="106"/>
      <c r="B9" s="80" t="s">
        <v>162</v>
      </c>
      <c r="C9" s="125" t="str">
        <f>VLOOKUP(B9,'Preços de Referência'!$A$5:$C$103,2,FALSE)</f>
        <v>Assistente social júnior</v>
      </c>
      <c r="D9" s="134" t="s">
        <v>15</v>
      </c>
      <c r="E9" s="81">
        <v>1</v>
      </c>
      <c r="F9" s="159">
        <f>'Preços de Referência'!$O$30*1.5</f>
        <v>273.73500000000001</v>
      </c>
      <c r="G9" s="88">
        <f>VLOOKUP(B9,'Preços de Referência'!$A$5:$C$103,3,FALSE)</f>
        <v>6796.14</v>
      </c>
      <c r="H9" s="88">
        <f>G9/'Preços de Referência'!$O$30</f>
        <v>37.241163899391751</v>
      </c>
      <c r="I9" s="91">
        <f t="shared" si="0"/>
        <v>10194.210000000001</v>
      </c>
      <c r="J9" s="99"/>
    </row>
    <row r="10" spans="1:10" ht="15.75" hidden="1">
      <c r="A10" s="128" t="s">
        <v>21</v>
      </c>
      <c r="B10" s="107"/>
      <c r="C10" s="126" t="s">
        <v>22</v>
      </c>
      <c r="D10" s="107"/>
      <c r="E10" s="107"/>
      <c r="F10" s="107"/>
      <c r="G10" s="107"/>
      <c r="H10" s="123"/>
      <c r="I10" s="100">
        <v>0</v>
      </c>
      <c r="J10" s="99"/>
    </row>
    <row r="11" spans="1:10" ht="28.5" hidden="1" customHeight="1">
      <c r="A11" s="106"/>
      <c r="B11" s="84" t="s">
        <v>121</v>
      </c>
      <c r="C11" s="125" t="str">
        <f>VLOOKUP(B11,'Preços de Referência'!$E$4:$P$5,2,FALSE)</f>
        <v>Veículo leve - 53 kW (sem motorista)</v>
      </c>
      <c r="D11" s="134" t="s">
        <v>15</v>
      </c>
      <c r="E11" s="81">
        <v>2</v>
      </c>
      <c r="F11" s="159">
        <f>'Preços de Referência'!$O$28*10</f>
        <v>73.33</v>
      </c>
      <c r="G11" s="88">
        <f>VLOOKUP(B11,'Preços de Referência'!$E$4:$P$5,10,FALSE)</f>
        <v>2959.4861999999998</v>
      </c>
      <c r="H11" s="88">
        <f>VLOOKUP(B11,'Preços de Referência'!$E$4:$P$5,12,FALSE)</f>
        <v>16.217199999999998</v>
      </c>
      <c r="I11" s="91">
        <f>H11*F11*E11</f>
        <v>2378.4145519999997</v>
      </c>
      <c r="J11" s="99"/>
    </row>
    <row r="12" spans="1:10" ht="30" hidden="1">
      <c r="A12" s="128" t="s">
        <v>24</v>
      </c>
      <c r="B12" s="107"/>
      <c r="C12" s="126" t="s">
        <v>25</v>
      </c>
      <c r="D12" s="107"/>
      <c r="E12" s="107"/>
      <c r="F12" s="107"/>
      <c r="G12" s="107"/>
      <c r="H12" s="123"/>
      <c r="I12" s="100">
        <v>0</v>
      </c>
      <c r="J12" s="99"/>
    </row>
    <row r="13" spans="1:10" ht="15.75" hidden="1">
      <c r="A13" s="106"/>
      <c r="B13" s="80" t="s">
        <v>26</v>
      </c>
      <c r="C13" s="125" t="s">
        <v>27</v>
      </c>
      <c r="D13" s="134" t="s">
        <v>15</v>
      </c>
      <c r="E13" s="81">
        <v>6</v>
      </c>
      <c r="F13" s="81">
        <f>'Preços de Referência'!$O$28*5</f>
        <v>36.664999999999999</v>
      </c>
      <c r="G13" s="81">
        <v>223.422507</v>
      </c>
      <c r="H13" s="88">
        <v>1.2242999999999999</v>
      </c>
      <c r="I13" s="91">
        <f>H13*F13*E13</f>
        <v>269.33375699999999</v>
      </c>
      <c r="J13" s="99"/>
    </row>
    <row r="14" spans="1:10" ht="15.75" hidden="1">
      <c r="A14" s="106"/>
      <c r="B14" s="80" t="s">
        <v>28</v>
      </c>
      <c r="C14" s="125" t="s">
        <v>29</v>
      </c>
      <c r="D14" s="134" t="s">
        <v>15</v>
      </c>
      <c r="E14" s="81">
        <v>1</v>
      </c>
      <c r="F14" s="81">
        <f>'Preços de Referência'!$O$28*5</f>
        <v>36.664999999999999</v>
      </c>
      <c r="G14" s="81">
        <f>E14*F14</f>
        <v>36.664999999999999</v>
      </c>
      <c r="H14" s="88">
        <v>5.16</v>
      </c>
      <c r="I14" s="91">
        <f>H14*F14*E14</f>
        <v>189.19139999999999</v>
      </c>
      <c r="J14" s="99"/>
    </row>
    <row r="15" spans="1:10" ht="15.75" hidden="1">
      <c r="A15" s="128" t="s">
        <v>30</v>
      </c>
      <c r="B15" s="107"/>
      <c r="C15" s="126" t="s">
        <v>31</v>
      </c>
      <c r="D15" s="107"/>
      <c r="E15" s="107"/>
      <c r="F15" s="107"/>
      <c r="G15" s="107"/>
      <c r="H15" s="123"/>
      <c r="I15" s="100">
        <v>0</v>
      </c>
      <c r="J15" s="99"/>
    </row>
    <row r="16" spans="1:10" ht="15.75" hidden="1">
      <c r="A16" s="129" t="s">
        <v>32</v>
      </c>
      <c r="B16" s="108"/>
      <c r="C16" s="127" t="s">
        <v>33</v>
      </c>
      <c r="D16" s="108"/>
      <c r="E16" s="108"/>
      <c r="F16" s="108"/>
      <c r="G16" s="108"/>
      <c r="H16" s="124"/>
      <c r="I16" s="101"/>
      <c r="J16" s="99"/>
    </row>
    <row r="17" spans="1:10" ht="28.5" hidden="1">
      <c r="A17" s="106"/>
      <c r="B17" s="80" t="s">
        <v>34</v>
      </c>
      <c r="C17" s="125" t="str">
        <f>VLOOKUP(B17,'Preços de Referência'!$F$74:$J$83,2,FALSE)</f>
        <v>Comercial (2,60% do CMCC - SINAPI)</v>
      </c>
      <c r="D17" s="80" t="str">
        <f>VLOOKUP(B17,'Preços de Referência'!$F$74:$J$83,4,FALSE)</f>
        <v>m² x mês</v>
      </c>
      <c r="E17" s="81">
        <f>12.41*6</f>
        <v>74.460000000000008</v>
      </c>
      <c r="F17" s="81">
        <f>'Preços de Referência'!$O$28*5</f>
        <v>36.664999999999999</v>
      </c>
      <c r="G17" s="89">
        <f>VLOOKUP(B17,'Preços de Referência'!$F$74:$J$83,5,FALSE)</f>
        <v>47.75</v>
      </c>
      <c r="H17" s="88">
        <f>G17/'Preços de Referência'!$O$30</f>
        <v>0.26165817305057809</v>
      </c>
      <c r="I17" s="91">
        <v>0</v>
      </c>
      <c r="J17" s="99"/>
    </row>
    <row r="18" spans="1:10" ht="15.75" hidden="1">
      <c r="A18" s="129" t="s">
        <v>35</v>
      </c>
      <c r="B18" s="108"/>
      <c r="C18" s="127" t="s">
        <v>36</v>
      </c>
      <c r="D18" s="108"/>
      <c r="E18" s="108"/>
      <c r="F18" s="108"/>
      <c r="G18" s="108"/>
      <c r="H18" s="124"/>
      <c r="I18" s="101"/>
      <c r="J18" s="99"/>
    </row>
    <row r="19" spans="1:10" ht="15.75" hidden="1">
      <c r="A19" s="106"/>
      <c r="B19" s="80" t="s">
        <v>37</v>
      </c>
      <c r="C19" s="125" t="str">
        <f>VLOOKUP(B19,'Preços de Referência'!$F$74:$J$83,2,FALSE)</f>
        <v>Escritório</v>
      </c>
      <c r="D19" s="80" t="str">
        <f>VLOOKUP(B19,'Preços de Referência'!$F$74:$J$83,4,FALSE)</f>
        <v>ocupante x mês</v>
      </c>
      <c r="E19" s="81">
        <v>6</v>
      </c>
      <c r="F19" s="81">
        <f>'Preços de Referência'!$O$28*5</f>
        <v>36.664999999999999</v>
      </c>
      <c r="G19" s="89">
        <f>VLOOKUP(B19,'Preços de Referência'!$F$74:$J$83,5,FALSE)</f>
        <v>490.4</v>
      </c>
      <c r="H19" s="88">
        <f>G19/'Preços de Referência'!$O$30</f>
        <v>2.6872705353718009</v>
      </c>
      <c r="I19" s="91">
        <f>H19*F19*E19</f>
        <v>591.17264507644245</v>
      </c>
      <c r="J19" s="99"/>
    </row>
    <row r="20" spans="1:10" ht="15.75" hidden="1">
      <c r="A20" s="129" t="s">
        <v>38</v>
      </c>
      <c r="B20" s="108"/>
      <c r="C20" s="127" t="s">
        <v>39</v>
      </c>
      <c r="D20" s="108"/>
      <c r="E20" s="108"/>
      <c r="F20" s="108"/>
      <c r="G20" s="108"/>
      <c r="H20" s="124"/>
      <c r="I20" s="101"/>
      <c r="J20" s="99"/>
    </row>
    <row r="21" spans="1:10" ht="15.75" hidden="1">
      <c r="A21" s="106"/>
      <c r="B21" s="80" t="s">
        <v>40</v>
      </c>
      <c r="C21" s="125" t="str">
        <f>VLOOKUP(B21,'Preços de Referência'!$F$74:$J$83,2,FALSE)</f>
        <v>Escritório</v>
      </c>
      <c r="D21" s="80" t="str">
        <f>VLOOKUP(B21,'Preços de Referência'!$F$74:$J$83,4,FALSE)</f>
        <v>ocupante x mês</v>
      </c>
      <c r="E21" s="81">
        <v>6</v>
      </c>
      <c r="F21" s="81">
        <f>'Preços de Referência'!$O$28*5</f>
        <v>36.664999999999999</v>
      </c>
      <c r="G21" s="89">
        <f>VLOOKUP(B21,'Preços de Referência'!$F$74:$J$83,5,FALSE)</f>
        <v>135.22</v>
      </c>
      <c r="H21" s="88">
        <f>G21/'Preços de Referência'!$O$30</f>
        <v>0.74097210806071556</v>
      </c>
      <c r="I21" s="91">
        <f>H21*F21*E21</f>
        <v>163.00645405227681</v>
      </c>
      <c r="J21" s="99"/>
    </row>
    <row r="22" spans="1:10" ht="15.75" hidden="1">
      <c r="A22" s="160" t="s">
        <v>361</v>
      </c>
      <c r="B22" s="161"/>
      <c r="C22" s="162" t="s">
        <v>360</v>
      </c>
      <c r="D22" s="161"/>
      <c r="E22" s="161"/>
      <c r="F22" s="161"/>
      <c r="G22" s="161"/>
      <c r="H22" s="161"/>
      <c r="I22" s="163">
        <v>0</v>
      </c>
    </row>
    <row r="23" spans="1:10" ht="42.75" hidden="1">
      <c r="A23" s="164"/>
      <c r="B23" s="169" t="s">
        <v>198</v>
      </c>
      <c r="C23" s="165" t="s">
        <v>199</v>
      </c>
      <c r="D23" s="134" t="s">
        <v>122</v>
      </c>
      <c r="E23" s="135">
        <v>6</v>
      </c>
      <c r="F23" s="135">
        <v>30</v>
      </c>
      <c r="G23" s="166">
        <v>341.02</v>
      </c>
      <c r="H23" s="167"/>
      <c r="I23" s="168">
        <f>E23*F23*G23</f>
        <v>61383.6</v>
      </c>
    </row>
    <row r="24" spans="1:10" ht="28.5" hidden="1">
      <c r="A24" s="164"/>
      <c r="B24" s="169" t="s">
        <v>194</v>
      </c>
      <c r="C24" s="165" t="s">
        <v>195</v>
      </c>
      <c r="D24" s="134" t="s">
        <v>122</v>
      </c>
      <c r="E24" s="135">
        <v>3</v>
      </c>
      <c r="F24" s="135">
        <v>2</v>
      </c>
      <c r="G24" s="166">
        <v>1189.4070999999999</v>
      </c>
      <c r="H24" s="167"/>
      <c r="I24" s="168">
        <f>E24*F24*G24</f>
        <v>7136.4425999999994</v>
      </c>
    </row>
    <row r="25" spans="1:10" ht="15.75">
      <c r="A25" s="359"/>
      <c r="B25" s="193"/>
      <c r="C25" s="82"/>
      <c r="D25" s="82"/>
      <c r="E25" s="82"/>
      <c r="F25" s="82"/>
      <c r="G25" s="82"/>
      <c r="H25" s="475" t="s">
        <v>41</v>
      </c>
      <c r="I25" s="92">
        <f>I7+I12+I15+I10+I22</f>
        <v>49714.154999999992</v>
      </c>
      <c r="J25" s="99"/>
    </row>
    <row r="26" spans="1:10" ht="15.75">
      <c r="A26" s="93"/>
      <c r="B26" s="83"/>
      <c r="C26" s="83"/>
      <c r="D26" s="83"/>
      <c r="E26" s="83"/>
      <c r="F26" s="83"/>
      <c r="G26" s="474" t="s">
        <v>42</v>
      </c>
      <c r="H26" s="252">
        <f>BDI!$D$17</f>
        <v>0.44579999999999997</v>
      </c>
      <c r="I26" s="94">
        <f>I25*H26</f>
        <v>22162.570298999995</v>
      </c>
      <c r="J26" s="99"/>
    </row>
    <row r="27" spans="1:10" ht="16.5" customHeight="1" thickBot="1">
      <c r="A27" s="360"/>
      <c r="B27" s="194"/>
      <c r="C27" s="194"/>
      <c r="D27" s="95"/>
      <c r="E27" s="95"/>
      <c r="F27" s="95"/>
      <c r="G27" s="95"/>
      <c r="H27" s="181" t="s">
        <v>43</v>
      </c>
      <c r="I27" s="96">
        <f>I25+I26</f>
        <v>71876.725298999983</v>
      </c>
      <c r="J27" s="99"/>
    </row>
    <row r="28" spans="1:10" ht="15.75">
      <c r="A28" s="173"/>
      <c r="F28" s="585" t="s">
        <v>44</v>
      </c>
      <c r="G28" s="586"/>
      <c r="H28" s="586"/>
      <c r="I28" s="594"/>
      <c r="J28" s="99"/>
    </row>
    <row r="29" spans="1:10" ht="15.75">
      <c r="A29" s="173"/>
      <c r="F29" s="109" t="str">
        <f>A2</f>
        <v>Bloco 1</v>
      </c>
      <c r="G29" s="109" t="s">
        <v>45</v>
      </c>
      <c r="H29" s="109" t="s">
        <v>46</v>
      </c>
      <c r="I29" s="174" t="s">
        <v>47</v>
      </c>
      <c r="J29" s="99"/>
    </row>
    <row r="30" spans="1:10" ht="19.5" thickBot="1">
      <c r="A30" s="175"/>
      <c r="B30" s="176"/>
      <c r="C30" s="176"/>
      <c r="D30" s="176"/>
      <c r="E30" s="176"/>
      <c r="F30" s="189">
        <f>A3</f>
        <v>18</v>
      </c>
      <c r="G30" s="189">
        <v>3</v>
      </c>
      <c r="H30" s="190">
        <f>I27</f>
        <v>71876.725298999983</v>
      </c>
      <c r="I30" s="191">
        <f>G30*H30</f>
        <v>215630.17589699995</v>
      </c>
      <c r="J30" s="99"/>
    </row>
  </sheetData>
  <mergeCells count="8">
    <mergeCell ref="B3:D3"/>
    <mergeCell ref="F28:I28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FB560-0FF6-4A77-ADC7-466C9F78427D}">
  <sheetPr>
    <tabColor theme="9" tint="0.39997558519241921"/>
    <pageSetUpPr fitToPage="1"/>
  </sheetPr>
  <dimension ref="A1:J35"/>
  <sheetViews>
    <sheetView showGridLines="0" zoomScale="90" zoomScaleNormal="90" workbookViewId="0">
      <selection activeCell="H35" sqref="H35:I35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customHeight="1" thickBot="1">
      <c r="A3" s="117">
        <f>PRODUTOS!A22</f>
        <v>19</v>
      </c>
      <c r="B3" s="599" t="str">
        <f>PRODUTOS!B22</f>
        <v>CADERNO SOCIOAMBIENTAL DO EVTEA – EMPREENDIMENTOS PONTUAIS</v>
      </c>
      <c r="C3" s="599"/>
      <c r="D3" s="599"/>
      <c r="E3" s="119" t="str">
        <f>PRODUTOS!C22</f>
        <v>EVTEA_SOCIO_PONTUAL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SUM(I8:I12)</f>
        <v>85845.833724806842</v>
      </c>
      <c r="J7" s="99"/>
    </row>
    <row r="8" spans="1:10" ht="15.75">
      <c r="A8" s="106"/>
      <c r="B8" s="80" t="s">
        <v>174</v>
      </c>
      <c r="C8" s="125" t="str">
        <f>VLOOKUP(B8,'Preços de Referência'!$A$5:$C$103,2,FALSE)</f>
        <v>Biólogo júnior</v>
      </c>
      <c r="D8" s="134" t="s">
        <v>15</v>
      </c>
      <c r="E8" s="81">
        <v>1</v>
      </c>
      <c r="F8" s="159">
        <f>'Preços de Referência'!$O$28*(7+20)</f>
        <v>197.99100000000001</v>
      </c>
      <c r="G8" s="88">
        <f>VLOOKUP(B8,'Preços de Referência'!$A$5:$C$103,3,FALSE)</f>
        <v>6869.32</v>
      </c>
      <c r="H8" s="88">
        <f>G8/'Preços de Referência'!$O$30</f>
        <v>37.642172173817741</v>
      </c>
      <c r="I8" s="91">
        <f t="shared" ref="I8:I12" si="0">H8*F8*E8</f>
        <v>7452.8113108663492</v>
      </c>
      <c r="J8" s="99"/>
    </row>
    <row r="9" spans="1:10" ht="15.75">
      <c r="A9" s="106"/>
      <c r="B9" s="80" t="s">
        <v>232</v>
      </c>
      <c r="C9" s="125" t="str">
        <f>VLOOKUP(B9,'Preços de Referência'!$A$5:$C$103,2,FALSE)</f>
        <v>Engenheiro florestal júnior</v>
      </c>
      <c r="D9" s="134" t="s">
        <v>15</v>
      </c>
      <c r="E9" s="81">
        <v>1</v>
      </c>
      <c r="F9" s="159">
        <f>'Preços de Referência'!$O$28*(7+20)</f>
        <v>197.99100000000001</v>
      </c>
      <c r="G9" s="88">
        <f>VLOOKUP(B9,'Preços de Referência'!$A$5:$C$103,3,FALSE)</f>
        <v>22670.05</v>
      </c>
      <c r="H9" s="88">
        <f>G9/'Preços de Referência'!$O$30</f>
        <v>124.2262589730944</v>
      </c>
      <c r="I9" s="91">
        <f t="shared" si="0"/>
        <v>24595.681240341935</v>
      </c>
      <c r="J9" s="99"/>
    </row>
    <row r="10" spans="1:10" ht="15.75">
      <c r="A10" s="106"/>
      <c r="B10" s="80" t="s">
        <v>240</v>
      </c>
      <c r="C10" s="125" t="str">
        <f>VLOOKUP(B10,'Preços de Referência'!$A$5:$C$103,2,FALSE)</f>
        <v>Geólogo júnior</v>
      </c>
      <c r="D10" s="134" t="s">
        <v>15</v>
      </c>
      <c r="E10" s="81">
        <v>1</v>
      </c>
      <c r="F10" s="159">
        <f>'Preços de Referência'!$O$28*(7+20)</f>
        <v>197.99100000000001</v>
      </c>
      <c r="G10" s="88">
        <f>VLOOKUP(B10,'Preços de Referência'!$A$5:$C$103,3,FALSE)</f>
        <v>19052.8</v>
      </c>
      <c r="H10" s="88">
        <f>G10/'Preços de Referência'!$O$30</f>
        <v>104.40462491095401</v>
      </c>
      <c r="I10" s="91">
        <f t="shared" si="0"/>
        <v>20671.176090744699</v>
      </c>
      <c r="J10" s="99"/>
    </row>
    <row r="11" spans="1:10" ht="15.75">
      <c r="A11" s="106"/>
      <c r="B11" s="80" t="s">
        <v>236</v>
      </c>
      <c r="C11" s="125" t="str">
        <f>VLOOKUP(B11,'Preços de Referência'!$A$5:$C$103,2,FALSE)</f>
        <v>Geógrafo júnior</v>
      </c>
      <c r="D11" s="134" t="s">
        <v>15</v>
      </c>
      <c r="E11" s="81">
        <v>1</v>
      </c>
      <c r="F11" s="159">
        <f>'Preços de Referência'!$O$28*(7+20)</f>
        <v>197.99100000000001</v>
      </c>
      <c r="G11" s="88">
        <f>VLOOKUP(B11,'Preços de Referência'!$A$5:$C$103,3,FALSE)</f>
        <v>7935.42</v>
      </c>
      <c r="H11" s="88">
        <f>G11/'Preços de Referência'!$O$30</f>
        <v>43.484136117047505</v>
      </c>
      <c r="I11" s="91">
        <f t="shared" si="0"/>
        <v>8609.4675939503541</v>
      </c>
      <c r="J11" s="99"/>
    </row>
    <row r="12" spans="1:10" ht="15.75">
      <c r="A12" s="106"/>
      <c r="B12" s="80" t="s">
        <v>210</v>
      </c>
      <c r="C12" s="125" t="str">
        <f>VLOOKUP(B12,'Preços de Referência'!$A$5:$C$103,2,FALSE)</f>
        <v>Engenheiro ambiental júnior</v>
      </c>
      <c r="D12" s="134" t="s">
        <v>15</v>
      </c>
      <c r="E12" s="81">
        <v>1</v>
      </c>
      <c r="F12" s="159">
        <f>'Preços de Referência'!$O$28*(7+20)</f>
        <v>197.99100000000001</v>
      </c>
      <c r="G12" s="88">
        <f>VLOOKUP(B12,'Preços de Referência'!$A$5:$C$103,3,FALSE)</f>
        <v>22597.25</v>
      </c>
      <c r="H12" s="88">
        <f>G12/'Preços de Referência'!$O$30</f>
        <v>123.82733300454819</v>
      </c>
      <c r="I12" s="91">
        <f t="shared" si="0"/>
        <v>24516.697488903505</v>
      </c>
      <c r="J12" s="99"/>
    </row>
    <row r="13" spans="1:10" ht="15.75">
      <c r="A13" s="128" t="s">
        <v>21</v>
      </c>
      <c r="B13" s="107"/>
      <c r="C13" s="126" t="s">
        <v>22</v>
      </c>
      <c r="D13" s="107"/>
      <c r="E13" s="107"/>
      <c r="F13" s="107"/>
      <c r="G13" s="107"/>
      <c r="H13" s="123"/>
      <c r="I13" s="100">
        <f>I14</f>
        <v>2327.5836626</v>
      </c>
      <c r="J13" s="99"/>
    </row>
    <row r="14" spans="1:10" ht="28.5" customHeight="1">
      <c r="A14" s="106"/>
      <c r="B14" s="84" t="s">
        <v>23</v>
      </c>
      <c r="C14" s="125" t="str">
        <f>VLOOKUP(B14,'Preços de Referência'!$E$4:$P$5,2,FALSE)</f>
        <v>Veículo leve picape 4 x 4 com capacidade de 1,10 t - 147 kW (sem motorista)</v>
      </c>
      <c r="D14" s="134" t="s">
        <v>15</v>
      </c>
      <c r="E14" s="81">
        <v>1</v>
      </c>
      <c r="F14" s="159">
        <f>'Preços de Referência'!$O$28*7</f>
        <v>51.331000000000003</v>
      </c>
      <c r="G14" s="88">
        <f>VLOOKUP(B14,'Preços de Referência'!$E$4:$P$5,10,FALSE)</f>
        <v>8274.9513000000006</v>
      </c>
      <c r="H14" s="88">
        <f>VLOOKUP(B14,'Preços de Referência'!$E$4:$P$5,12,FALSE)</f>
        <v>45.3446</v>
      </c>
      <c r="I14" s="91">
        <f>H14*F14*E14</f>
        <v>2327.5836626</v>
      </c>
      <c r="J14" s="99"/>
    </row>
    <row r="15" spans="1:10" ht="30" hidden="1">
      <c r="A15" s="128" t="s">
        <v>24</v>
      </c>
      <c r="B15" s="107"/>
      <c r="C15" s="126" t="s">
        <v>25</v>
      </c>
      <c r="D15" s="107"/>
      <c r="E15" s="107"/>
      <c r="F15" s="107"/>
      <c r="G15" s="107"/>
      <c r="H15" s="123"/>
      <c r="I15" s="100">
        <v>0</v>
      </c>
      <c r="J15" s="99"/>
    </row>
    <row r="16" spans="1:10" ht="15.75" hidden="1">
      <c r="A16" s="106"/>
      <c r="B16" s="80" t="s">
        <v>26</v>
      </c>
      <c r="C16" s="125" t="s">
        <v>27</v>
      </c>
      <c r="D16" s="134" t="s">
        <v>15</v>
      </c>
      <c r="E16" s="81">
        <v>6</v>
      </c>
      <c r="F16" s="81">
        <f>'Preços de Referência'!$O$28*5</f>
        <v>36.664999999999999</v>
      </c>
      <c r="G16" s="81">
        <v>223.422507</v>
      </c>
      <c r="H16" s="88">
        <v>1.2242999999999999</v>
      </c>
      <c r="I16" s="91">
        <f>H16*F16*E16</f>
        <v>269.33375699999999</v>
      </c>
      <c r="J16" s="99"/>
    </row>
    <row r="17" spans="1:10" ht="15.75" hidden="1">
      <c r="A17" s="106"/>
      <c r="B17" s="80" t="s">
        <v>28</v>
      </c>
      <c r="C17" s="125" t="s">
        <v>29</v>
      </c>
      <c r="D17" s="134" t="s">
        <v>15</v>
      </c>
      <c r="E17" s="81">
        <v>1</v>
      </c>
      <c r="F17" s="81">
        <f>'Preços de Referência'!$O$28*5</f>
        <v>36.664999999999999</v>
      </c>
      <c r="G17" s="81">
        <f>E17*F17</f>
        <v>36.664999999999999</v>
      </c>
      <c r="H17" s="88">
        <v>5.16</v>
      </c>
      <c r="I17" s="91">
        <f>H17*F17*E17</f>
        <v>189.19139999999999</v>
      </c>
      <c r="J17" s="99"/>
    </row>
    <row r="18" spans="1:10" ht="15.75" hidden="1">
      <c r="A18" s="128" t="s">
        <v>30</v>
      </c>
      <c r="B18" s="107"/>
      <c r="C18" s="126" t="s">
        <v>31</v>
      </c>
      <c r="D18" s="107"/>
      <c r="E18" s="107"/>
      <c r="F18" s="107"/>
      <c r="G18" s="107"/>
      <c r="H18" s="123"/>
      <c r="I18" s="100">
        <v>0</v>
      </c>
      <c r="J18" s="99"/>
    </row>
    <row r="19" spans="1:10" ht="15.75" hidden="1">
      <c r="A19" s="129" t="s">
        <v>32</v>
      </c>
      <c r="B19" s="108"/>
      <c r="C19" s="127" t="s">
        <v>33</v>
      </c>
      <c r="D19" s="108"/>
      <c r="E19" s="108"/>
      <c r="F19" s="108"/>
      <c r="G19" s="108"/>
      <c r="H19" s="124"/>
      <c r="I19" s="101"/>
      <c r="J19" s="99"/>
    </row>
    <row r="20" spans="1:10" ht="28.5" hidden="1">
      <c r="A20" s="106"/>
      <c r="B20" s="80" t="s">
        <v>34</v>
      </c>
      <c r="C20" s="125" t="str">
        <f>VLOOKUP(B20,'Preços de Referência'!$F$74:$J$83,2,FALSE)</f>
        <v>Comercial (2,60% do CMCC - SINAPI)</v>
      </c>
      <c r="D20" s="80" t="str">
        <f>VLOOKUP(B20,'Preços de Referência'!$F$74:$J$83,4,FALSE)</f>
        <v>m² x mês</v>
      </c>
      <c r="E20" s="81">
        <f>12.41*6</f>
        <v>74.460000000000008</v>
      </c>
      <c r="F20" s="81">
        <f>'Preços de Referência'!$O$28*5</f>
        <v>36.664999999999999</v>
      </c>
      <c r="G20" s="89">
        <f>VLOOKUP(B20,'Preços de Referência'!$F$74:$J$83,5,FALSE)</f>
        <v>47.75</v>
      </c>
      <c r="H20" s="88">
        <f>G20/'Preços de Referência'!$O$30</f>
        <v>0.26165817305057809</v>
      </c>
      <c r="I20" s="91">
        <v>0</v>
      </c>
      <c r="J20" s="99"/>
    </row>
    <row r="21" spans="1:10" ht="15.75" hidden="1">
      <c r="A21" s="129" t="s">
        <v>35</v>
      </c>
      <c r="B21" s="108"/>
      <c r="C21" s="127" t="s">
        <v>36</v>
      </c>
      <c r="D21" s="108"/>
      <c r="E21" s="108"/>
      <c r="F21" s="108"/>
      <c r="G21" s="108"/>
      <c r="H21" s="124"/>
      <c r="I21" s="101"/>
      <c r="J21" s="99"/>
    </row>
    <row r="22" spans="1:10" ht="15.75" hidden="1">
      <c r="A22" s="106"/>
      <c r="B22" s="80" t="s">
        <v>37</v>
      </c>
      <c r="C22" s="125" t="str">
        <f>VLOOKUP(B22,'Preços de Referência'!$F$74:$J$83,2,FALSE)</f>
        <v>Escritório</v>
      </c>
      <c r="D22" s="80" t="str">
        <f>VLOOKUP(B22,'Preços de Referência'!$F$74:$J$83,4,FALSE)</f>
        <v>ocupante x mês</v>
      </c>
      <c r="E22" s="81">
        <v>6</v>
      </c>
      <c r="F22" s="81">
        <f>'Preços de Referência'!$O$28*5</f>
        <v>36.664999999999999</v>
      </c>
      <c r="G22" s="89">
        <f>VLOOKUP(B22,'Preços de Referência'!$F$74:$J$83,5,FALSE)</f>
        <v>490.4</v>
      </c>
      <c r="H22" s="88">
        <f>G22/'Preços de Referência'!$O$30</f>
        <v>2.6872705353718009</v>
      </c>
      <c r="I22" s="91">
        <f>H22*F22*E22</f>
        <v>591.17264507644245</v>
      </c>
      <c r="J22" s="99"/>
    </row>
    <row r="23" spans="1:10" ht="15.75" hidden="1">
      <c r="A23" s="129" t="s">
        <v>38</v>
      </c>
      <c r="B23" s="108"/>
      <c r="C23" s="127" t="s">
        <v>39</v>
      </c>
      <c r="D23" s="108"/>
      <c r="E23" s="108"/>
      <c r="F23" s="108"/>
      <c r="G23" s="108"/>
      <c r="H23" s="124"/>
      <c r="I23" s="101"/>
      <c r="J23" s="99"/>
    </row>
    <row r="24" spans="1:10" ht="15.75" hidden="1">
      <c r="A24" s="106"/>
      <c r="B24" s="80" t="s">
        <v>40</v>
      </c>
      <c r="C24" s="125" t="str">
        <f>VLOOKUP(B24,'Preços de Referência'!$F$74:$J$83,2,FALSE)</f>
        <v>Escritório</v>
      </c>
      <c r="D24" s="80" t="str">
        <f>VLOOKUP(B24,'Preços de Referência'!$F$74:$J$83,4,FALSE)</f>
        <v>ocupante x mês</v>
      </c>
      <c r="E24" s="81">
        <v>6</v>
      </c>
      <c r="F24" s="81">
        <f>'Preços de Referência'!$O$28*5</f>
        <v>36.664999999999999</v>
      </c>
      <c r="G24" s="89">
        <f>VLOOKUP(B24,'Preços de Referência'!$F$74:$J$83,5,FALSE)</f>
        <v>135.22</v>
      </c>
      <c r="H24" s="88">
        <f>G24/'Preços de Referência'!$O$30</f>
        <v>0.74097210806071556</v>
      </c>
      <c r="I24" s="91">
        <f>H24*F24*E24</f>
        <v>163.00645405227681</v>
      </c>
      <c r="J24" s="99"/>
    </row>
    <row r="25" spans="1:10" ht="15.75">
      <c r="A25" s="160" t="s">
        <v>24</v>
      </c>
      <c r="B25" s="161"/>
      <c r="C25" s="162" t="s">
        <v>360</v>
      </c>
      <c r="D25" s="161"/>
      <c r="E25" s="161"/>
      <c r="F25" s="161"/>
      <c r="G25" s="161"/>
      <c r="H25" s="161"/>
      <c r="I25" s="163">
        <f>SUM(I26:I27)</f>
        <v>20043.269</v>
      </c>
    </row>
    <row r="26" spans="1:10" ht="28.5">
      <c r="A26" s="164"/>
      <c r="B26" s="169" t="s">
        <v>198</v>
      </c>
      <c r="C26" s="165" t="str">
        <f>VLOOKUP(B26,'Preços de Referência'!$P$69:$W$70,2,FALSE)</f>
        <v>DIÁRIA (CONF. DECRETO 11.117 PR - CUSTO MEDIANO</v>
      </c>
      <c r="D26" s="134" t="s">
        <v>122</v>
      </c>
      <c r="E26" s="135">
        <v>5</v>
      </c>
      <c r="F26" s="135">
        <v>7</v>
      </c>
      <c r="G26" s="330">
        <f>VLOOKUP(B26,'Preços de Referência'!$P$69:$W$70,6,FALSE)</f>
        <v>380</v>
      </c>
      <c r="H26" s="167"/>
      <c r="I26" s="168">
        <f>E26*F26*G26</f>
        <v>13300</v>
      </c>
    </row>
    <row r="27" spans="1:10" ht="28.5">
      <c r="A27" s="164"/>
      <c r="B27" s="169" t="s">
        <v>194</v>
      </c>
      <c r="C27" s="165" t="str">
        <f>VLOOKUP(B27,'Preços de Referência'!$P$69:$W$70,2,FALSE)</f>
        <v>PASSAGEM AÉREA - DESTINO NACIONAL (Cotação JUL/24)*</v>
      </c>
      <c r="D27" s="134" t="s">
        <v>122</v>
      </c>
      <c r="E27" s="135">
        <v>5</v>
      </c>
      <c r="F27" s="135">
        <v>1</v>
      </c>
      <c r="G27" s="330">
        <f>VLOOKUP(B27,'Preços de Referência'!$P$69:$W$70,6,FALSE)</f>
        <v>1348.6538</v>
      </c>
      <c r="H27" s="167"/>
      <c r="I27" s="168">
        <f>E27*F27*G27</f>
        <v>6743.2690000000002</v>
      </c>
    </row>
    <row r="28" spans="1:10" ht="15.75">
      <c r="A28" s="359"/>
      <c r="B28" s="193"/>
      <c r="C28" s="82"/>
      <c r="D28" s="82"/>
      <c r="E28" s="82"/>
      <c r="F28" s="82"/>
      <c r="G28" s="82"/>
      <c r="H28" s="475" t="s">
        <v>41</v>
      </c>
      <c r="I28" s="92">
        <f>I7+I15+I18+I13+I25</f>
        <v>108216.68638740684</v>
      </c>
      <c r="J28" s="99"/>
    </row>
    <row r="29" spans="1:10" ht="16.5" thickBot="1">
      <c r="A29" s="93"/>
      <c r="B29" s="83"/>
      <c r="C29" s="83"/>
      <c r="D29" s="83"/>
      <c r="E29" s="83"/>
      <c r="F29" s="83"/>
      <c r="G29" s="474" t="s">
        <v>42</v>
      </c>
      <c r="H29" s="252">
        <f>BDI!$D$17</f>
        <v>0.44579999999999997</v>
      </c>
      <c r="I29" s="94">
        <f>I28*H29</f>
        <v>48242.998791505968</v>
      </c>
      <c r="J29" s="99"/>
    </row>
    <row r="30" spans="1:10" ht="26.25" thickBot="1">
      <c r="A30" s="476"/>
      <c r="B30" s="477"/>
      <c r="C30" s="477"/>
      <c r="D30" s="477"/>
      <c r="E30" s="477"/>
      <c r="F30" s="477"/>
      <c r="G30" s="478"/>
      <c r="H30" s="479" t="s">
        <v>524</v>
      </c>
      <c r="I30" s="480">
        <f>1.07765625</f>
        <v>1.07765625</v>
      </c>
    </row>
    <row r="31" spans="1:10" ht="16.5" customHeight="1" thickBot="1">
      <c r="A31" s="360"/>
      <c r="B31" s="194"/>
      <c r="C31" s="194"/>
      <c r="D31" s="95"/>
      <c r="E31" s="95"/>
      <c r="F31" s="95"/>
      <c r="G31" s="95"/>
      <c r="H31" s="181" t="s">
        <v>43</v>
      </c>
      <c r="I31" s="96">
        <f>(I28+I29)*I30</f>
        <v>168609.75760608775</v>
      </c>
      <c r="J31" s="99"/>
    </row>
    <row r="32" spans="1:10" ht="15.75">
      <c r="A32" s="170"/>
      <c r="B32" s="171"/>
      <c r="C32" s="171"/>
      <c r="D32" s="171"/>
      <c r="E32" s="171"/>
      <c r="F32" s="171"/>
      <c r="G32" s="171"/>
      <c r="H32" s="171"/>
      <c r="I32" s="172"/>
      <c r="J32" s="99"/>
    </row>
    <row r="33" spans="1:10" ht="15.75">
      <c r="A33" s="173"/>
      <c r="F33" s="585" t="s">
        <v>44</v>
      </c>
      <c r="G33" s="586"/>
      <c r="H33" s="586"/>
      <c r="I33" s="594"/>
      <c r="J33" s="99"/>
    </row>
    <row r="34" spans="1:10" ht="15.75">
      <c r="A34" s="173"/>
      <c r="F34" s="109" t="str">
        <f>A2</f>
        <v>Bloco 1</v>
      </c>
      <c r="G34" s="109" t="s">
        <v>45</v>
      </c>
      <c r="H34" s="109" t="s">
        <v>46</v>
      </c>
      <c r="I34" s="174" t="s">
        <v>47</v>
      </c>
      <c r="J34" s="99"/>
    </row>
    <row r="35" spans="1:10" ht="16.5" thickBot="1">
      <c r="A35" s="175"/>
      <c r="B35" s="176"/>
      <c r="C35" s="176"/>
      <c r="D35" s="176"/>
      <c r="E35" s="176"/>
      <c r="F35" s="177">
        <f>A3</f>
        <v>19</v>
      </c>
      <c r="G35" s="177">
        <v>3</v>
      </c>
      <c r="H35" s="178">
        <f>I31</f>
        <v>168609.75760608775</v>
      </c>
      <c r="I35" s="179">
        <f>G35*H35</f>
        <v>505829.27281826327</v>
      </c>
      <c r="J35" s="99"/>
    </row>
  </sheetData>
  <mergeCells count="8">
    <mergeCell ref="B3:D3"/>
    <mergeCell ref="F33:I33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46356-83A1-4FF9-8651-2AEEC65E61DB}">
  <sheetPr>
    <tabColor theme="9" tint="0.39997558519241921"/>
    <pageSetUpPr fitToPage="1"/>
  </sheetPr>
  <dimension ref="A1:J37"/>
  <sheetViews>
    <sheetView showGridLines="0" zoomScale="90" zoomScaleNormal="90" workbookViewId="0">
      <selection activeCell="H35" sqref="H35:I35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PRODUTOS!A23</f>
        <v>20</v>
      </c>
      <c r="B3" s="599" t="str">
        <f>PRODUTOS!B23</f>
        <v>CADERNO SOCIOAMBIENTAL DO EVTEA – EMPREENDIMENTOS LINEARES</v>
      </c>
      <c r="C3" s="599"/>
      <c r="D3" s="599"/>
      <c r="E3" s="119" t="str">
        <f>PRODUTOS!C23</f>
        <v>EVTEA_SOCIO_LIN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SUM(I8:I12)</f>
        <v>95384.259694229811</v>
      </c>
      <c r="J7" s="99"/>
    </row>
    <row r="8" spans="1:10" ht="15.75">
      <c r="A8" s="106"/>
      <c r="B8" s="80" t="s">
        <v>174</v>
      </c>
      <c r="C8" s="125" t="str">
        <f>VLOOKUP(B8,'Preços de Referência'!$A$5:$C$103,2,FALSE)</f>
        <v>Biólogo júnior</v>
      </c>
      <c r="D8" s="134" t="s">
        <v>15</v>
      </c>
      <c r="E8" s="81">
        <v>1</v>
      </c>
      <c r="F8" s="159">
        <f>'Preços de Referência'!$O$28*(10+20)</f>
        <v>219.99</v>
      </c>
      <c r="G8" s="88">
        <f>VLOOKUP(B8,'Preços de Referência'!$A$5:$C$103,3,FALSE)</f>
        <v>6869.32</v>
      </c>
      <c r="H8" s="88">
        <f>G8/'Preços de Referência'!$O$30</f>
        <v>37.642172173817741</v>
      </c>
      <c r="I8" s="91">
        <f t="shared" ref="I8:I12" si="0">H8*F8*E8</f>
        <v>8280.901456518166</v>
      </c>
      <c r="J8" s="99"/>
    </row>
    <row r="9" spans="1:10" ht="15.75">
      <c r="A9" s="106"/>
      <c r="B9" s="80" t="s">
        <v>232</v>
      </c>
      <c r="C9" s="125" t="str">
        <f>VLOOKUP(B9,'Preços de Referência'!$A$5:$C$103,2,FALSE)</f>
        <v>Engenheiro florestal júnior</v>
      </c>
      <c r="D9" s="134" t="s">
        <v>15</v>
      </c>
      <c r="E9" s="81">
        <v>1</v>
      </c>
      <c r="F9" s="159">
        <f>'Preços de Referência'!$O$28*(10+20)</f>
        <v>219.99</v>
      </c>
      <c r="G9" s="88">
        <f>VLOOKUP(B9,'Preços de Referência'!$A$5:$C$103,3,FALSE)</f>
        <v>22670.05</v>
      </c>
      <c r="H9" s="88">
        <f>G9/'Preços de Referência'!$O$30</f>
        <v>124.2262589730944</v>
      </c>
      <c r="I9" s="91">
        <f t="shared" si="0"/>
        <v>27328.53471149104</v>
      </c>
      <c r="J9" s="99"/>
    </row>
    <row r="10" spans="1:10" ht="15.75">
      <c r="A10" s="106"/>
      <c r="B10" s="80" t="s">
        <v>240</v>
      </c>
      <c r="C10" s="125" t="str">
        <f>VLOOKUP(B10,'Preços de Referência'!$A$5:$C$103,2,FALSE)</f>
        <v>Geólogo júnior</v>
      </c>
      <c r="D10" s="134" t="s">
        <v>15</v>
      </c>
      <c r="E10" s="81">
        <v>1</v>
      </c>
      <c r="F10" s="159">
        <f>'Preços de Referência'!$O$28*(10+20)</f>
        <v>219.99</v>
      </c>
      <c r="G10" s="88">
        <f>VLOOKUP(B10,'Preços de Referência'!$A$5:$C$103,3,FALSE)</f>
        <v>19052.8</v>
      </c>
      <c r="H10" s="88">
        <f>G10/'Preços de Referência'!$O$30</f>
        <v>104.40462491095401</v>
      </c>
      <c r="I10" s="91">
        <f t="shared" si="0"/>
        <v>22967.973434160773</v>
      </c>
      <c r="J10" s="99"/>
    </row>
    <row r="11" spans="1:10" ht="15.75">
      <c r="A11" s="106"/>
      <c r="B11" s="80" t="s">
        <v>236</v>
      </c>
      <c r="C11" s="125" t="str">
        <f>VLOOKUP(B11,'Preços de Referência'!$A$5:$C$103,2,FALSE)</f>
        <v>Geógrafo júnior</v>
      </c>
      <c r="D11" s="134" t="s">
        <v>15</v>
      </c>
      <c r="E11" s="81">
        <v>1</v>
      </c>
      <c r="F11" s="159">
        <f>'Preços de Referência'!$O$28*(10+20)</f>
        <v>219.99</v>
      </c>
      <c r="G11" s="88">
        <f>VLOOKUP(B11,'Preços de Referência'!$A$5:$C$103,3,FALSE)</f>
        <v>7935.42</v>
      </c>
      <c r="H11" s="88">
        <f>G11/'Preços de Referência'!$O$30</f>
        <v>43.484136117047505</v>
      </c>
      <c r="I11" s="91">
        <f t="shared" si="0"/>
        <v>9566.0751043892815</v>
      </c>
      <c r="J11" s="99"/>
    </row>
    <row r="12" spans="1:10" ht="15.75">
      <c r="A12" s="106"/>
      <c r="B12" s="80" t="s">
        <v>210</v>
      </c>
      <c r="C12" s="125" t="str">
        <f>VLOOKUP(B12,'Preços de Referência'!$A$5:$C$103,2,FALSE)</f>
        <v>Engenheiro ambiental júnior</v>
      </c>
      <c r="D12" s="134" t="s">
        <v>15</v>
      </c>
      <c r="E12" s="81">
        <v>1</v>
      </c>
      <c r="F12" s="159">
        <f>'Preços de Referência'!$O$28*(10+20)</f>
        <v>219.99</v>
      </c>
      <c r="G12" s="88">
        <f>VLOOKUP(B12,'Preços de Referência'!$A$5:$C$103,3,FALSE)</f>
        <v>22597.25</v>
      </c>
      <c r="H12" s="88">
        <f>G12/'Preços de Referência'!$O$30</f>
        <v>123.82733300454819</v>
      </c>
      <c r="I12" s="91">
        <f t="shared" si="0"/>
        <v>27240.774987670557</v>
      </c>
      <c r="J12" s="99"/>
    </row>
    <row r="13" spans="1:10" ht="15.75">
      <c r="A13" s="128" t="s">
        <v>21</v>
      </c>
      <c r="B13" s="107"/>
      <c r="C13" s="126" t="s">
        <v>22</v>
      </c>
      <c r="D13" s="107"/>
      <c r="E13" s="107"/>
      <c r="F13" s="107"/>
      <c r="G13" s="107"/>
      <c r="H13" s="123"/>
      <c r="I13" s="100">
        <f>I14</f>
        <v>3325.119518</v>
      </c>
      <c r="J13" s="99"/>
    </row>
    <row r="14" spans="1:10" ht="28.5" customHeight="1">
      <c r="A14" s="106"/>
      <c r="B14" s="84" t="s">
        <v>23</v>
      </c>
      <c r="C14" s="125" t="str">
        <f>VLOOKUP(B14,'Preços de Referência'!$E$4:$P$5,2,FALSE)</f>
        <v>Veículo leve picape 4 x 4 com capacidade de 1,10 t - 147 kW (sem motorista)</v>
      </c>
      <c r="D14" s="134" t="s">
        <v>15</v>
      </c>
      <c r="E14" s="81">
        <v>1</v>
      </c>
      <c r="F14" s="159">
        <f>'Preços de Referência'!$O$28*10</f>
        <v>73.33</v>
      </c>
      <c r="G14" s="88">
        <f>VLOOKUP(B14,'Preços de Referência'!$E$4:$P$5,10,FALSE)</f>
        <v>8274.9513000000006</v>
      </c>
      <c r="H14" s="88">
        <f>VLOOKUP(B14,'Preços de Referência'!$E$4:$P$5,12,FALSE)</f>
        <v>45.3446</v>
      </c>
      <c r="I14" s="91">
        <f>H14*F14*E14</f>
        <v>3325.119518</v>
      </c>
      <c r="J14" s="99"/>
    </row>
    <row r="15" spans="1:10" ht="30" hidden="1">
      <c r="A15" s="128" t="s">
        <v>24</v>
      </c>
      <c r="B15" s="107"/>
      <c r="C15" s="126" t="s">
        <v>25</v>
      </c>
      <c r="D15" s="107"/>
      <c r="E15" s="107"/>
      <c r="F15" s="107"/>
      <c r="G15" s="107"/>
      <c r="H15" s="123"/>
      <c r="I15" s="100">
        <v>0</v>
      </c>
      <c r="J15" s="99"/>
    </row>
    <row r="16" spans="1:10" ht="15.75" hidden="1">
      <c r="A16" s="106"/>
      <c r="B16" s="80" t="s">
        <v>26</v>
      </c>
      <c r="C16" s="125" t="s">
        <v>27</v>
      </c>
      <c r="D16" s="134" t="s">
        <v>15</v>
      </c>
      <c r="E16" s="81">
        <v>6</v>
      </c>
      <c r="F16" s="81">
        <f>'Preços de Referência'!$O$28*5</f>
        <v>36.664999999999999</v>
      </c>
      <c r="G16" s="81">
        <v>223.422507</v>
      </c>
      <c r="H16" s="88">
        <v>1.2242999999999999</v>
      </c>
      <c r="I16" s="91">
        <f>H16*F16*E16</f>
        <v>269.33375699999999</v>
      </c>
      <c r="J16" s="99"/>
    </row>
    <row r="17" spans="1:10" ht="15.75" hidden="1">
      <c r="A17" s="106"/>
      <c r="B17" s="80" t="s">
        <v>28</v>
      </c>
      <c r="C17" s="125" t="s">
        <v>29</v>
      </c>
      <c r="D17" s="134" t="s">
        <v>15</v>
      </c>
      <c r="E17" s="81">
        <v>1</v>
      </c>
      <c r="F17" s="81">
        <f>'Preços de Referência'!$O$28*5</f>
        <v>36.664999999999999</v>
      </c>
      <c r="G17" s="81">
        <f>E17*F17</f>
        <v>36.664999999999999</v>
      </c>
      <c r="H17" s="88">
        <v>5.16</v>
      </c>
      <c r="I17" s="91">
        <f>H17*F17*E17</f>
        <v>189.19139999999999</v>
      </c>
      <c r="J17" s="99"/>
    </row>
    <row r="18" spans="1:10" ht="15.75" hidden="1">
      <c r="A18" s="128" t="s">
        <v>30</v>
      </c>
      <c r="B18" s="107"/>
      <c r="C18" s="126" t="s">
        <v>31</v>
      </c>
      <c r="D18" s="107"/>
      <c r="E18" s="107"/>
      <c r="F18" s="107"/>
      <c r="G18" s="107"/>
      <c r="H18" s="123"/>
      <c r="I18" s="100">
        <v>0</v>
      </c>
      <c r="J18" s="99"/>
    </row>
    <row r="19" spans="1:10" ht="15.75" hidden="1">
      <c r="A19" s="129" t="s">
        <v>32</v>
      </c>
      <c r="B19" s="108"/>
      <c r="C19" s="127" t="s">
        <v>33</v>
      </c>
      <c r="D19" s="108"/>
      <c r="E19" s="108"/>
      <c r="F19" s="108"/>
      <c r="G19" s="108"/>
      <c r="H19" s="124"/>
      <c r="I19" s="101"/>
      <c r="J19" s="99"/>
    </row>
    <row r="20" spans="1:10" ht="28.5" hidden="1">
      <c r="A20" s="106"/>
      <c r="B20" s="80" t="s">
        <v>34</v>
      </c>
      <c r="C20" s="125" t="str">
        <f>VLOOKUP(B20,'Preços de Referência'!$F$74:$J$83,2,FALSE)</f>
        <v>Comercial (2,60% do CMCC - SINAPI)</v>
      </c>
      <c r="D20" s="80" t="str">
        <f>VLOOKUP(B20,'Preços de Referência'!$F$74:$J$83,4,FALSE)</f>
        <v>m² x mês</v>
      </c>
      <c r="E20" s="81">
        <f>12.41*6</f>
        <v>74.460000000000008</v>
      </c>
      <c r="F20" s="81">
        <f>'Preços de Referência'!$O$28*5</f>
        <v>36.664999999999999</v>
      </c>
      <c r="G20" s="89">
        <f>VLOOKUP(B20,'Preços de Referência'!$F$74:$J$83,5,FALSE)</f>
        <v>47.75</v>
      </c>
      <c r="H20" s="88">
        <f>G20/'Preços de Referência'!$O$30</f>
        <v>0.26165817305057809</v>
      </c>
      <c r="I20" s="91">
        <v>0</v>
      </c>
      <c r="J20" s="99"/>
    </row>
    <row r="21" spans="1:10" ht="15.75" hidden="1">
      <c r="A21" s="129" t="s">
        <v>35</v>
      </c>
      <c r="B21" s="108"/>
      <c r="C21" s="127" t="s">
        <v>36</v>
      </c>
      <c r="D21" s="108"/>
      <c r="E21" s="108"/>
      <c r="F21" s="108"/>
      <c r="G21" s="108"/>
      <c r="H21" s="124"/>
      <c r="I21" s="101"/>
      <c r="J21" s="99"/>
    </row>
    <row r="22" spans="1:10" ht="15.75" hidden="1">
      <c r="A22" s="106"/>
      <c r="B22" s="80" t="s">
        <v>37</v>
      </c>
      <c r="C22" s="125" t="str">
        <f>VLOOKUP(B22,'Preços de Referência'!$F$74:$J$83,2,FALSE)</f>
        <v>Escritório</v>
      </c>
      <c r="D22" s="80" t="str">
        <f>VLOOKUP(B22,'Preços de Referência'!$F$74:$J$83,4,FALSE)</f>
        <v>ocupante x mês</v>
      </c>
      <c r="E22" s="81">
        <v>6</v>
      </c>
      <c r="F22" s="81">
        <f>'Preços de Referência'!$O$28*5</f>
        <v>36.664999999999999</v>
      </c>
      <c r="G22" s="89">
        <f>VLOOKUP(B22,'Preços de Referência'!$F$74:$J$83,5,FALSE)</f>
        <v>490.4</v>
      </c>
      <c r="H22" s="88">
        <f>G22/'Preços de Referência'!$O$30</f>
        <v>2.6872705353718009</v>
      </c>
      <c r="I22" s="91">
        <f>H22*F22*E22</f>
        <v>591.17264507644245</v>
      </c>
      <c r="J22" s="99"/>
    </row>
    <row r="23" spans="1:10" ht="15.75" hidden="1">
      <c r="A23" s="129" t="s">
        <v>38</v>
      </c>
      <c r="B23" s="108"/>
      <c r="C23" s="127" t="s">
        <v>39</v>
      </c>
      <c r="D23" s="108"/>
      <c r="E23" s="108"/>
      <c r="F23" s="108"/>
      <c r="G23" s="108"/>
      <c r="H23" s="124"/>
      <c r="I23" s="101"/>
      <c r="J23" s="99"/>
    </row>
    <row r="24" spans="1:10" ht="15.75" hidden="1">
      <c r="A24" s="106"/>
      <c r="B24" s="80" t="s">
        <v>40</v>
      </c>
      <c r="C24" s="125" t="str">
        <f>VLOOKUP(B24,'Preços de Referência'!$F$74:$J$83,2,FALSE)</f>
        <v>Escritório</v>
      </c>
      <c r="D24" s="80" t="str">
        <f>VLOOKUP(B24,'Preços de Referência'!$F$74:$J$83,4,FALSE)</f>
        <v>ocupante x mês</v>
      </c>
      <c r="E24" s="81">
        <v>6</v>
      </c>
      <c r="F24" s="81">
        <f>'Preços de Referência'!$O$28*5</f>
        <v>36.664999999999999</v>
      </c>
      <c r="G24" s="89">
        <f>VLOOKUP(B24,'Preços de Referência'!$F$74:$J$83,5,FALSE)</f>
        <v>135.22</v>
      </c>
      <c r="H24" s="88">
        <f>G24/'Preços de Referência'!$O$30</f>
        <v>0.74097210806071556</v>
      </c>
      <c r="I24" s="91">
        <f>H24*F24*E24</f>
        <v>163.00645405227681</v>
      </c>
      <c r="J24" s="99"/>
    </row>
    <row r="25" spans="1:10" ht="15.75">
      <c r="A25" s="160" t="s">
        <v>24</v>
      </c>
      <c r="B25" s="161"/>
      <c r="C25" s="162" t="s">
        <v>360</v>
      </c>
      <c r="D25" s="161"/>
      <c r="E25" s="161"/>
      <c r="F25" s="161"/>
      <c r="G25" s="161"/>
      <c r="H25" s="161"/>
      <c r="I25" s="163">
        <f>SUM(I26:I27)</f>
        <v>25743.269</v>
      </c>
    </row>
    <row r="26" spans="1:10" ht="28.5">
      <c r="A26" s="164"/>
      <c r="B26" s="169" t="s">
        <v>198</v>
      </c>
      <c r="C26" s="165" t="str">
        <f>VLOOKUP(B26,'Preços de Referência'!$P$69:$W$70,2,FALSE)</f>
        <v>DIÁRIA (CONF. DECRETO 11.117 PR - CUSTO MEDIANO</v>
      </c>
      <c r="D26" s="134" t="s">
        <v>122</v>
      </c>
      <c r="E26" s="135">
        <v>5</v>
      </c>
      <c r="F26" s="135">
        <v>10</v>
      </c>
      <c r="G26" s="330">
        <f>VLOOKUP(B26,'Preços de Referência'!$P$69:$W$70,6,FALSE)</f>
        <v>380</v>
      </c>
      <c r="H26" s="167"/>
      <c r="I26" s="168">
        <f>E26*F26*G26</f>
        <v>19000</v>
      </c>
    </row>
    <row r="27" spans="1:10" ht="28.5">
      <c r="A27" s="164"/>
      <c r="B27" s="169" t="s">
        <v>194</v>
      </c>
      <c r="C27" s="165" t="str">
        <f>VLOOKUP(B27,'Preços de Referência'!$P$69:$W$70,2,FALSE)</f>
        <v>PASSAGEM AÉREA - DESTINO NACIONAL (Cotação JUL/24)*</v>
      </c>
      <c r="D27" s="134" t="s">
        <v>122</v>
      </c>
      <c r="E27" s="135">
        <v>5</v>
      </c>
      <c r="F27" s="135">
        <v>1</v>
      </c>
      <c r="G27" s="330">
        <f>VLOOKUP(B27,'Preços de Referência'!$P$69:$W$70,6,FALSE)</f>
        <v>1348.6538</v>
      </c>
      <c r="H27" s="167"/>
      <c r="I27" s="168">
        <f>E27*F27*G27</f>
        <v>6743.2690000000002</v>
      </c>
    </row>
    <row r="28" spans="1:10" ht="15.75">
      <c r="A28" s="359"/>
      <c r="B28" s="193"/>
      <c r="C28" s="82"/>
      <c r="D28" s="82"/>
      <c r="E28" s="82"/>
      <c r="F28" s="82"/>
      <c r="G28" s="82"/>
      <c r="H28" s="473" t="s">
        <v>41</v>
      </c>
      <c r="I28" s="92">
        <f>I7+I15+I18+I13+I25</f>
        <v>124452.64821222982</v>
      </c>
      <c r="J28" s="99"/>
    </row>
    <row r="29" spans="1:10" ht="16.5" thickBot="1">
      <c r="A29" s="93"/>
      <c r="B29" s="83"/>
      <c r="C29" s="83"/>
      <c r="D29" s="83"/>
      <c r="E29" s="83"/>
      <c r="F29" s="83"/>
      <c r="G29" s="474" t="s">
        <v>42</v>
      </c>
      <c r="H29" s="252">
        <f>BDI!$D$17</f>
        <v>0.44579999999999997</v>
      </c>
      <c r="I29" s="94">
        <f>I28*H29</f>
        <v>55480.990573012052</v>
      </c>
      <c r="J29" s="99"/>
    </row>
    <row r="30" spans="1:10" ht="26.25" thickBot="1">
      <c r="A30" s="476"/>
      <c r="B30" s="477"/>
      <c r="C30" s="477"/>
      <c r="D30" s="477"/>
      <c r="E30" s="477"/>
      <c r="F30" s="477"/>
      <c r="G30" s="478"/>
      <c r="H30" s="479" t="s">
        <v>524</v>
      </c>
      <c r="I30" s="480">
        <f>1.07765625</f>
        <v>1.07765625</v>
      </c>
    </row>
    <row r="31" spans="1:10" ht="16.5" customHeight="1" thickBot="1">
      <c r="A31" s="360"/>
      <c r="B31" s="194"/>
      <c r="C31" s="194"/>
      <c r="D31" s="95"/>
      <c r="E31" s="95"/>
      <c r="F31" s="95"/>
      <c r="G31" s="95"/>
      <c r="H31" s="181" t="s">
        <v>496</v>
      </c>
      <c r="I31" s="96">
        <f>(I28+I29)*I30</f>
        <v>193906.61042215829</v>
      </c>
      <c r="J31" s="99"/>
    </row>
    <row r="32" spans="1:10" ht="16.5" thickBot="1">
      <c r="A32" s="597"/>
      <c r="B32" s="598"/>
      <c r="C32" s="598"/>
      <c r="D32" s="95"/>
      <c r="E32" s="95"/>
      <c r="F32" s="95"/>
      <c r="G32" s="95"/>
      <c r="H32" s="181" t="s">
        <v>367</v>
      </c>
      <c r="I32" s="96">
        <f>(I31/200)</f>
        <v>969.53305211079146</v>
      </c>
      <c r="J32" s="99"/>
    </row>
    <row r="33" spans="1:10" ht="15.75">
      <c r="A33" s="173"/>
      <c r="F33" s="585" t="s">
        <v>44</v>
      </c>
      <c r="G33" s="586"/>
      <c r="H33" s="586"/>
      <c r="I33" s="594"/>
      <c r="J33" s="99"/>
    </row>
    <row r="34" spans="1:10" ht="15.75">
      <c r="A34" s="173"/>
      <c r="F34" s="109" t="str">
        <f>A2</f>
        <v>Bloco 1</v>
      </c>
      <c r="G34" s="109" t="s">
        <v>45</v>
      </c>
      <c r="H34" s="109" t="s">
        <v>46</v>
      </c>
      <c r="I34" s="174" t="s">
        <v>47</v>
      </c>
      <c r="J34" s="99"/>
    </row>
    <row r="35" spans="1:10" ht="16.5" thickBot="1">
      <c r="A35" s="175"/>
      <c r="B35" s="176"/>
      <c r="C35" s="176"/>
      <c r="D35" s="176"/>
      <c r="E35" s="176"/>
      <c r="F35" s="177">
        <f>A3</f>
        <v>20</v>
      </c>
      <c r="G35" s="177">
        <v>820</v>
      </c>
      <c r="H35" s="178">
        <f>I32</f>
        <v>969.53305211079146</v>
      </c>
      <c r="I35" s="179">
        <f>G35*H35</f>
        <v>795017.10273084894</v>
      </c>
      <c r="J35" s="99"/>
    </row>
    <row r="37" spans="1:10">
      <c r="B37" s="186"/>
    </row>
  </sheetData>
  <mergeCells count="9">
    <mergeCell ref="B3:D3"/>
    <mergeCell ref="F33:I33"/>
    <mergeCell ref="A32:C32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F8C09-46D3-47B4-A150-BF3EBD5736CA}">
  <sheetPr>
    <tabColor theme="9" tint="0.39997558519241921"/>
    <pageSetUpPr fitToPage="1"/>
  </sheetPr>
  <dimension ref="A1:J36"/>
  <sheetViews>
    <sheetView showGridLines="0" topLeftCell="A3" zoomScale="90" zoomScaleNormal="90" workbookViewId="0">
      <selection activeCell="H36" sqref="H36:I36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30.75" customHeight="1" thickBot="1">
      <c r="A3" s="117">
        <f>PRODUTOS!A24</f>
        <v>21</v>
      </c>
      <c r="B3" s="599" t="str">
        <f>PRODUTOS!B24</f>
        <v>ESTUDOS DE PLANEJAMENTO E VIABILIDADE AMBIENTAL EM LOGÍSTICA DE TRANSPORTES</v>
      </c>
      <c r="C3" s="599"/>
      <c r="D3" s="599"/>
      <c r="E3" s="119" t="str">
        <f>PRODUTOS!C24</f>
        <v>EPVALT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611" t="s">
        <v>499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SUM(I8:I13)</f>
        <v>185168.54489067895</v>
      </c>
      <c r="J7" s="99"/>
    </row>
    <row r="8" spans="1:10" ht="15.75">
      <c r="A8" s="106"/>
      <c r="B8" s="80" t="s">
        <v>174</v>
      </c>
      <c r="C8" s="125" t="str">
        <f>VLOOKUP(B8,'Preços de Referência'!$A$5:$C$103,2,FALSE)</f>
        <v>Biólogo júnior</v>
      </c>
      <c r="D8" s="134" t="s">
        <v>15</v>
      </c>
      <c r="E8" s="81">
        <v>1</v>
      </c>
      <c r="F8" s="159">
        <f>'Preços de Referência'!$O$28*(15+30)</f>
        <v>329.98500000000001</v>
      </c>
      <c r="G8" s="88">
        <f>VLOOKUP(B8,'Preços de Referência'!$A$5:$C$103,3,FALSE)</f>
        <v>6869.32</v>
      </c>
      <c r="H8" s="88">
        <f>G8/'Preços de Referência'!$O$30</f>
        <v>37.642172173817741</v>
      </c>
      <c r="I8" s="91">
        <f t="shared" ref="I8:I13" si="0">H8*F8*E8</f>
        <v>12421.352184777248</v>
      </c>
      <c r="J8" s="99"/>
    </row>
    <row r="9" spans="1:10" ht="15.75">
      <c r="A9" s="106"/>
      <c r="B9" s="80" t="s">
        <v>232</v>
      </c>
      <c r="C9" s="125" t="str">
        <f>VLOOKUP(B9,'Preços de Referência'!$A$5:$C$103,2,FALSE)</f>
        <v>Engenheiro florestal júnior</v>
      </c>
      <c r="D9" s="134" t="s">
        <v>15</v>
      </c>
      <c r="E9" s="81">
        <v>1</v>
      </c>
      <c r="F9" s="159">
        <f>'Preços de Referência'!$O$28*(15+30)</f>
        <v>329.98500000000001</v>
      </c>
      <c r="G9" s="88">
        <f>VLOOKUP(B9,'Preços de Referência'!$A$5:$C$103,3,FALSE)</f>
        <v>22670.05</v>
      </c>
      <c r="H9" s="88">
        <f>G9/'Preços de Referência'!$O$30</f>
        <v>124.2262589730944</v>
      </c>
      <c r="I9" s="91">
        <f t="shared" si="0"/>
        <v>40992.80206723656</v>
      </c>
      <c r="J9" s="99"/>
    </row>
    <row r="10" spans="1:10" ht="15.75">
      <c r="A10" s="106"/>
      <c r="B10" s="80" t="s">
        <v>229</v>
      </c>
      <c r="C10" s="125" t="str">
        <f>VLOOKUP(B10,'Preços de Referência'!$A$5:$C$103,2,FALSE)</f>
        <v>Engenheiro de projetos pleno</v>
      </c>
      <c r="D10" s="134" t="s">
        <v>15</v>
      </c>
      <c r="E10" s="81">
        <v>1</v>
      </c>
      <c r="F10" s="159">
        <f>'Preços de Referência'!$O$28*(15+30)</f>
        <v>329.98500000000001</v>
      </c>
      <c r="G10" s="88">
        <f>VLOOKUP(B10,'Preços de Referência'!$A$5:$C$103,3,FALSE)</f>
        <v>23278.02</v>
      </c>
      <c r="H10" s="88">
        <f>G10/'Preços de Referência'!$O$30</f>
        <v>127.55778398816373</v>
      </c>
      <c r="I10" s="91">
        <f t="shared" ref="I10" si="1">H10*F10*E10</f>
        <v>42092.155349334214</v>
      </c>
      <c r="J10" s="99"/>
    </row>
    <row r="11" spans="1:10" ht="15.75">
      <c r="A11" s="106"/>
      <c r="B11" s="80" t="s">
        <v>240</v>
      </c>
      <c r="C11" s="125" t="str">
        <f>VLOOKUP(B11,'Preços de Referência'!$A$5:$C$103,2,FALSE)</f>
        <v>Geólogo júnior</v>
      </c>
      <c r="D11" s="134" t="s">
        <v>15</v>
      </c>
      <c r="E11" s="81">
        <v>1</v>
      </c>
      <c r="F11" s="159">
        <f>'Preços de Referência'!$O$28*(15+30)</f>
        <v>329.98500000000001</v>
      </c>
      <c r="G11" s="88">
        <f>VLOOKUP(B11,'Preços de Referência'!$A$5:$C$103,3,FALSE)</f>
        <v>19052.8</v>
      </c>
      <c r="H11" s="88">
        <f>G11/'Preços de Referência'!$O$30</f>
        <v>104.40462491095401</v>
      </c>
      <c r="I11" s="91">
        <f t="shared" si="0"/>
        <v>34451.960151241161</v>
      </c>
      <c r="J11" s="99"/>
    </row>
    <row r="12" spans="1:10" ht="15.75">
      <c r="A12" s="106"/>
      <c r="B12" s="80" t="s">
        <v>236</v>
      </c>
      <c r="C12" s="125" t="str">
        <f>VLOOKUP(B12,'Preços de Referência'!$A$5:$C$103,2,FALSE)</f>
        <v>Geógrafo júnior</v>
      </c>
      <c r="D12" s="134" t="s">
        <v>15</v>
      </c>
      <c r="E12" s="81">
        <v>1</v>
      </c>
      <c r="F12" s="159">
        <f>'Preços de Referência'!$O$28*(15+30)</f>
        <v>329.98500000000001</v>
      </c>
      <c r="G12" s="88">
        <f>VLOOKUP(B12,'Preços de Referência'!$A$5:$C$103,3,FALSE)</f>
        <v>7935.42</v>
      </c>
      <c r="H12" s="88">
        <f>G12/'Preços de Referência'!$O$30</f>
        <v>43.484136117047505</v>
      </c>
      <c r="I12" s="91">
        <f t="shared" si="0"/>
        <v>14349.112656583922</v>
      </c>
      <c r="J12" s="99"/>
    </row>
    <row r="13" spans="1:10" ht="15.75">
      <c r="A13" s="106"/>
      <c r="B13" s="80" t="s">
        <v>210</v>
      </c>
      <c r="C13" s="125" t="str">
        <f>VLOOKUP(B13,'Preços de Referência'!$A$5:$C$103,2,FALSE)</f>
        <v>Engenheiro ambiental júnior</v>
      </c>
      <c r="D13" s="134" t="s">
        <v>15</v>
      </c>
      <c r="E13" s="81">
        <v>1</v>
      </c>
      <c r="F13" s="159">
        <f>'Preços de Referência'!$O$28*(15+30)</f>
        <v>329.98500000000001</v>
      </c>
      <c r="G13" s="88">
        <f>VLOOKUP(B13,'Preços de Referência'!$A$5:$C$103,3,FALSE)</f>
        <v>22597.25</v>
      </c>
      <c r="H13" s="88">
        <f>G13/'Preços de Referência'!$O$30</f>
        <v>123.82733300454819</v>
      </c>
      <c r="I13" s="91">
        <f t="shared" si="0"/>
        <v>40861.162481505839</v>
      </c>
      <c r="J13" s="99"/>
    </row>
    <row r="14" spans="1:10" ht="15.75">
      <c r="A14" s="128" t="s">
        <v>21</v>
      </c>
      <c r="B14" s="107"/>
      <c r="C14" s="126" t="s">
        <v>22</v>
      </c>
      <c r="D14" s="107"/>
      <c r="E14" s="107"/>
      <c r="F14" s="107"/>
      <c r="G14" s="107"/>
      <c r="H14" s="123"/>
      <c r="I14" s="100">
        <f>I15</f>
        <v>1360.338</v>
      </c>
      <c r="J14" s="99"/>
    </row>
    <row r="15" spans="1:10" ht="28.5" customHeight="1">
      <c r="A15" s="106"/>
      <c r="B15" s="84" t="s">
        <v>23</v>
      </c>
      <c r="C15" s="125" t="str">
        <f>VLOOKUP(B15,'Preços de Referência'!$E$4:$P$5,2,FALSE)</f>
        <v>Veículo leve picape 4 x 4 com capacidade de 1,10 t - 147 kW (sem motorista)</v>
      </c>
      <c r="D15" s="134" t="s">
        <v>15</v>
      </c>
      <c r="E15" s="81">
        <v>2</v>
      </c>
      <c r="F15" s="159">
        <v>15</v>
      </c>
      <c r="G15" s="88">
        <f>VLOOKUP(B15,'Preços de Referência'!$E$4:$P$5,10,FALSE)</f>
        <v>8274.9513000000006</v>
      </c>
      <c r="H15" s="88">
        <f>VLOOKUP(B15,'Preços de Referência'!$E$4:$P$5,12,FALSE)</f>
        <v>45.3446</v>
      </c>
      <c r="I15" s="91">
        <f>H15*F15*E15</f>
        <v>1360.338</v>
      </c>
      <c r="J15" s="99"/>
    </row>
    <row r="16" spans="1:10" ht="30" hidden="1">
      <c r="A16" s="128" t="s">
        <v>24</v>
      </c>
      <c r="B16" s="107"/>
      <c r="C16" s="126" t="s">
        <v>25</v>
      </c>
      <c r="D16" s="107"/>
      <c r="E16" s="107"/>
      <c r="F16" s="107"/>
      <c r="G16" s="107"/>
      <c r="H16" s="123"/>
      <c r="I16" s="100">
        <v>0</v>
      </c>
      <c r="J16" s="99"/>
    </row>
    <row r="17" spans="1:10" ht="15.75" hidden="1">
      <c r="A17" s="106"/>
      <c r="B17" s="80" t="s">
        <v>26</v>
      </c>
      <c r="C17" s="125" t="s">
        <v>27</v>
      </c>
      <c r="D17" s="134" t="s">
        <v>15</v>
      </c>
      <c r="E17" s="81">
        <v>6</v>
      </c>
      <c r="F17" s="81">
        <f>'Preços de Referência'!$O$28*5</f>
        <v>36.664999999999999</v>
      </c>
      <c r="G17" s="81">
        <v>223.422507</v>
      </c>
      <c r="H17" s="88">
        <v>1.2242999999999999</v>
      </c>
      <c r="I17" s="91">
        <f>H17*F17*E17</f>
        <v>269.33375699999999</v>
      </c>
      <c r="J17" s="99"/>
    </row>
    <row r="18" spans="1:10" ht="15.75" hidden="1">
      <c r="A18" s="106"/>
      <c r="B18" s="80" t="s">
        <v>28</v>
      </c>
      <c r="C18" s="125" t="s">
        <v>29</v>
      </c>
      <c r="D18" s="134" t="s">
        <v>15</v>
      </c>
      <c r="E18" s="81">
        <v>1</v>
      </c>
      <c r="F18" s="81">
        <f>'Preços de Referência'!$O$28*5</f>
        <v>36.664999999999999</v>
      </c>
      <c r="G18" s="81">
        <f>E18*F18</f>
        <v>36.664999999999999</v>
      </c>
      <c r="H18" s="88">
        <v>5.16</v>
      </c>
      <c r="I18" s="91">
        <f>H18*F18*E18</f>
        <v>189.19139999999999</v>
      </c>
      <c r="J18" s="99"/>
    </row>
    <row r="19" spans="1:10" ht="15.75" hidden="1">
      <c r="A19" s="128" t="s">
        <v>30</v>
      </c>
      <c r="B19" s="107"/>
      <c r="C19" s="126" t="s">
        <v>31</v>
      </c>
      <c r="D19" s="107"/>
      <c r="E19" s="107"/>
      <c r="F19" s="107"/>
      <c r="G19" s="107"/>
      <c r="H19" s="123"/>
      <c r="I19" s="100">
        <v>0</v>
      </c>
      <c r="J19" s="99"/>
    </row>
    <row r="20" spans="1:10" ht="15.75" hidden="1">
      <c r="A20" s="129" t="s">
        <v>32</v>
      </c>
      <c r="B20" s="108"/>
      <c r="C20" s="127" t="s">
        <v>33</v>
      </c>
      <c r="D20" s="108"/>
      <c r="E20" s="108"/>
      <c r="F20" s="108"/>
      <c r="G20" s="108"/>
      <c r="H20" s="124"/>
      <c r="I20" s="101"/>
      <c r="J20" s="99"/>
    </row>
    <row r="21" spans="1:10" ht="28.5" hidden="1">
      <c r="A21" s="106"/>
      <c r="B21" s="80" t="s">
        <v>34</v>
      </c>
      <c r="C21" s="125" t="str">
        <f>VLOOKUP(B21,'Preços de Referência'!$F$74:$J$83,2,FALSE)</f>
        <v>Comercial (2,60% do CMCC - SINAPI)</v>
      </c>
      <c r="D21" s="80" t="str">
        <f>VLOOKUP(B21,'Preços de Referência'!$F$74:$J$83,4,FALSE)</f>
        <v>m² x mês</v>
      </c>
      <c r="E21" s="81">
        <f>12.41*6</f>
        <v>74.460000000000008</v>
      </c>
      <c r="F21" s="81">
        <f>'Preços de Referência'!$O$28*5</f>
        <v>36.664999999999999</v>
      </c>
      <c r="G21" s="89">
        <f>VLOOKUP(B21,'Preços de Referência'!$F$74:$J$83,5,FALSE)</f>
        <v>47.75</v>
      </c>
      <c r="H21" s="88">
        <f>G21/'Preços de Referência'!$O$30</f>
        <v>0.26165817305057809</v>
      </c>
      <c r="I21" s="91">
        <v>0</v>
      </c>
      <c r="J21" s="99"/>
    </row>
    <row r="22" spans="1:10" ht="15.75" hidden="1">
      <c r="A22" s="129" t="s">
        <v>35</v>
      </c>
      <c r="B22" s="108"/>
      <c r="C22" s="127" t="s">
        <v>36</v>
      </c>
      <c r="D22" s="108"/>
      <c r="E22" s="108"/>
      <c r="F22" s="108"/>
      <c r="G22" s="108"/>
      <c r="H22" s="124"/>
      <c r="I22" s="101"/>
      <c r="J22" s="99"/>
    </row>
    <row r="23" spans="1:10" ht="15.75" hidden="1">
      <c r="A23" s="106"/>
      <c r="B23" s="80" t="s">
        <v>37</v>
      </c>
      <c r="C23" s="125" t="str">
        <f>VLOOKUP(B23,'Preços de Referência'!$F$74:$J$83,2,FALSE)</f>
        <v>Escritório</v>
      </c>
      <c r="D23" s="80" t="str">
        <f>VLOOKUP(B23,'Preços de Referência'!$F$74:$J$83,4,FALSE)</f>
        <v>ocupante x mês</v>
      </c>
      <c r="E23" s="81">
        <v>6</v>
      </c>
      <c r="F23" s="81">
        <f>'Preços de Referência'!$O$28*5</f>
        <v>36.664999999999999</v>
      </c>
      <c r="G23" s="89">
        <f>VLOOKUP(B23,'Preços de Referência'!$F$74:$J$83,5,FALSE)</f>
        <v>490.4</v>
      </c>
      <c r="H23" s="88">
        <f>G23/'Preços de Referência'!$O$30</f>
        <v>2.6872705353718009</v>
      </c>
      <c r="I23" s="91">
        <f>H23*F23*E23</f>
        <v>591.17264507644245</v>
      </c>
      <c r="J23" s="99"/>
    </row>
    <row r="24" spans="1:10" ht="15.75" hidden="1">
      <c r="A24" s="129" t="s">
        <v>38</v>
      </c>
      <c r="B24" s="108"/>
      <c r="C24" s="127" t="s">
        <v>39</v>
      </c>
      <c r="D24" s="108"/>
      <c r="E24" s="108"/>
      <c r="F24" s="108"/>
      <c r="G24" s="108"/>
      <c r="H24" s="124"/>
      <c r="I24" s="101"/>
      <c r="J24" s="99"/>
    </row>
    <row r="25" spans="1:10" ht="15.75" hidden="1">
      <c r="A25" s="106"/>
      <c r="B25" s="80" t="s">
        <v>40</v>
      </c>
      <c r="C25" s="125" t="str">
        <f>VLOOKUP(B25,'Preços de Referência'!$F$74:$J$83,2,FALSE)</f>
        <v>Escritório</v>
      </c>
      <c r="D25" s="80" t="str">
        <f>VLOOKUP(B25,'Preços de Referência'!$F$74:$J$83,4,FALSE)</f>
        <v>ocupante x mês</v>
      </c>
      <c r="E25" s="81">
        <v>6</v>
      </c>
      <c r="F25" s="81">
        <f>'Preços de Referência'!$O$28*5</f>
        <v>36.664999999999999</v>
      </c>
      <c r="G25" s="89">
        <f>VLOOKUP(B25,'Preços de Referência'!$F$74:$J$83,5,FALSE)</f>
        <v>135.22</v>
      </c>
      <c r="H25" s="88">
        <f>G25/'Preços de Referência'!$O$30</f>
        <v>0.74097210806071556</v>
      </c>
      <c r="I25" s="91">
        <f>H25*F25*E25</f>
        <v>163.00645405227681</v>
      </c>
      <c r="J25" s="99"/>
    </row>
    <row r="26" spans="1:10" ht="15.75">
      <c r="A26" s="160" t="s">
        <v>24</v>
      </c>
      <c r="B26" s="161"/>
      <c r="C26" s="162" t="s">
        <v>360</v>
      </c>
      <c r="D26" s="161"/>
      <c r="E26" s="161"/>
      <c r="F26" s="161"/>
      <c r="G26" s="161"/>
      <c r="H26" s="161"/>
      <c r="I26" s="163">
        <f>SUM(I27:I28)</f>
        <v>42291.9228</v>
      </c>
    </row>
    <row r="27" spans="1:10" ht="28.5">
      <c r="A27" s="164"/>
      <c r="B27" s="169" t="s">
        <v>198</v>
      </c>
      <c r="C27" s="165" t="str">
        <f>VLOOKUP(B27,'Preços de Referência'!$P$69:$W$70,2,FALSE)</f>
        <v>DIÁRIA (CONF. DECRETO 11.117 PR - CUSTO MEDIANO</v>
      </c>
      <c r="D27" s="134" t="s">
        <v>122</v>
      </c>
      <c r="E27" s="135">
        <v>6</v>
      </c>
      <c r="F27" s="135">
        <v>15</v>
      </c>
      <c r="G27" s="330">
        <f>VLOOKUP(B27,'Preços de Referência'!$P$69:$W$70,6,FALSE)</f>
        <v>380</v>
      </c>
      <c r="H27" s="167"/>
      <c r="I27" s="168">
        <f>E27*F27*G27</f>
        <v>34200</v>
      </c>
    </row>
    <row r="28" spans="1:10" ht="28.5">
      <c r="A28" s="164"/>
      <c r="B28" s="169" t="s">
        <v>194</v>
      </c>
      <c r="C28" s="165" t="str">
        <f>VLOOKUP(B28,'Preços de Referência'!$P$69:$W$70,2,FALSE)</f>
        <v>PASSAGEM AÉREA - DESTINO NACIONAL (Cotação JUL/24)*</v>
      </c>
      <c r="D28" s="134" t="s">
        <v>122</v>
      </c>
      <c r="E28" s="135">
        <v>6</v>
      </c>
      <c r="F28" s="135">
        <v>1</v>
      </c>
      <c r="G28" s="330">
        <f>VLOOKUP(B28,'Preços de Referência'!$P$69:$W$70,6,FALSE)</f>
        <v>1348.6538</v>
      </c>
      <c r="H28" s="167"/>
      <c r="I28" s="168">
        <f>E28*F28*G28</f>
        <v>8091.9228000000003</v>
      </c>
    </row>
    <row r="29" spans="1:10" ht="15.75">
      <c r="A29" s="359"/>
      <c r="B29" s="193"/>
      <c r="C29" s="82"/>
      <c r="D29" s="82"/>
      <c r="E29" s="82"/>
      <c r="F29" s="82"/>
      <c r="G29" s="82"/>
      <c r="H29" s="475" t="s">
        <v>41</v>
      </c>
      <c r="I29" s="92">
        <f>I7+I16+I19+I14+I26</f>
        <v>228820.80569067894</v>
      </c>
      <c r="J29" s="99"/>
    </row>
    <row r="30" spans="1:10" ht="16.5" thickBot="1">
      <c r="A30" s="93"/>
      <c r="B30" s="83"/>
      <c r="C30" s="83"/>
      <c r="D30" s="83"/>
      <c r="E30" s="83"/>
      <c r="F30" s="83"/>
      <c r="G30" s="474" t="s">
        <v>42</v>
      </c>
      <c r="H30" s="252">
        <f>BDI!$D$17</f>
        <v>0.44579999999999997</v>
      </c>
      <c r="I30" s="94">
        <f>I29*H30</f>
        <v>102008.31517690467</v>
      </c>
      <c r="J30" s="99"/>
    </row>
    <row r="31" spans="1:10" ht="26.25" thickBot="1">
      <c r="A31" s="476"/>
      <c r="B31" s="477"/>
      <c r="C31" s="477"/>
      <c r="D31" s="477"/>
      <c r="E31" s="477"/>
      <c r="F31" s="477"/>
      <c r="G31" s="478"/>
      <c r="H31" s="479" t="s">
        <v>524</v>
      </c>
      <c r="I31" s="480">
        <f>1.07765625</f>
        <v>1.07765625</v>
      </c>
    </row>
    <row r="32" spans="1:10" ht="16.5" customHeight="1" thickBot="1">
      <c r="A32" s="360"/>
      <c r="B32" s="194"/>
      <c r="C32" s="194"/>
      <c r="D32" s="95"/>
      <c r="E32" s="95"/>
      <c r="F32" s="95"/>
      <c r="G32" s="95"/>
      <c r="H32" s="181" t="s">
        <v>43</v>
      </c>
      <c r="I32" s="96">
        <f>(I29+I30)*I31</f>
        <v>356520.06978495687</v>
      </c>
      <c r="J32" s="99"/>
    </row>
    <row r="33" spans="1:10" ht="15.75">
      <c r="A33" s="170"/>
      <c r="B33" s="171"/>
      <c r="C33" s="171"/>
      <c r="D33" s="171"/>
      <c r="E33" s="171"/>
      <c r="F33" s="171"/>
      <c r="G33" s="171"/>
      <c r="H33" s="171"/>
      <c r="I33" s="172"/>
      <c r="J33" s="99"/>
    </row>
    <row r="34" spans="1:10" ht="15.75">
      <c r="A34" s="173"/>
      <c r="F34" s="585" t="s">
        <v>44</v>
      </c>
      <c r="G34" s="586"/>
      <c r="H34" s="586"/>
      <c r="I34" s="594"/>
      <c r="J34" s="99"/>
    </row>
    <row r="35" spans="1:10" ht="15.75">
      <c r="A35" s="173"/>
      <c r="F35" s="109" t="str">
        <f>A2</f>
        <v>Bloco 1</v>
      </c>
      <c r="G35" s="109" t="s">
        <v>45</v>
      </c>
      <c r="H35" s="109" t="s">
        <v>46</v>
      </c>
      <c r="I35" s="174" t="s">
        <v>47</v>
      </c>
      <c r="J35" s="99"/>
    </row>
    <row r="36" spans="1:10" ht="16.5" thickBot="1">
      <c r="A36" s="175"/>
      <c r="B36" s="176"/>
      <c r="C36" s="176"/>
      <c r="D36" s="176"/>
      <c r="E36" s="176"/>
      <c r="F36" s="177">
        <f>A3</f>
        <v>21</v>
      </c>
      <c r="G36" s="177">
        <v>3</v>
      </c>
      <c r="H36" s="178">
        <f>I32</f>
        <v>356520.06978495687</v>
      </c>
      <c r="I36" s="179">
        <f>G36*H36</f>
        <v>1069560.2093548705</v>
      </c>
      <c r="J36" s="99"/>
    </row>
  </sheetData>
  <mergeCells count="8">
    <mergeCell ref="B3:D3"/>
    <mergeCell ref="F34:I34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37292-FF8E-4386-9CDB-7ECAF411EB27}">
  <sheetPr>
    <tabColor theme="9" tint="0.39997558519241921"/>
    <pageSetUpPr fitToPage="1"/>
  </sheetPr>
  <dimension ref="A1:J36"/>
  <sheetViews>
    <sheetView showGridLines="0" zoomScale="80" zoomScaleNormal="80" workbookViewId="0">
      <selection activeCell="H36" sqref="H36:I36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11.42578125" style="3" customWidth="1"/>
    <col min="6" max="6" width="13.7109375" style="3" customWidth="1"/>
    <col min="7" max="7" width="17.42578125" style="3" customWidth="1"/>
    <col min="8" max="8" width="17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PRODUTOS!A25</f>
        <v>22</v>
      </c>
      <c r="B3" s="599" t="str">
        <f>PRODUTOS!B25</f>
        <v>PLANO DE RECUPERAÇÃO DE ÁREAS DEGRADADAS</v>
      </c>
      <c r="C3" s="599"/>
      <c r="D3" s="599"/>
      <c r="E3" s="119" t="str">
        <f>PRODUTOS!C25</f>
        <v>PRAD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SUM(I8:I13)</f>
        <v>101647.21791879006</v>
      </c>
      <c r="J7" s="99"/>
    </row>
    <row r="8" spans="1:10" ht="15.75">
      <c r="A8" s="106"/>
      <c r="B8" s="80" t="s">
        <v>229</v>
      </c>
      <c r="C8" s="125" t="s">
        <v>374</v>
      </c>
      <c r="D8" s="134" t="s">
        <v>15</v>
      </c>
      <c r="E8" s="81">
        <v>1</v>
      </c>
      <c r="F8" s="159">
        <f>'Preços de Referência'!$O$28*(10+20)</f>
        <v>219.99</v>
      </c>
      <c r="G8" s="88">
        <f>VLOOKUP(B8,'Preços de Referência'!$A$5:$C$103,3,FALSE)</f>
        <v>23278.02</v>
      </c>
      <c r="H8" s="88">
        <f>G8/'Preços de Referência'!$O$30</f>
        <v>127.55778398816373</v>
      </c>
      <c r="I8" s="91">
        <f t="shared" ref="I8" si="0">H8*F8*E8</f>
        <v>28061.436899556142</v>
      </c>
      <c r="J8" s="99"/>
    </row>
    <row r="9" spans="1:10" ht="15.75">
      <c r="A9" s="106"/>
      <c r="B9" s="80" t="s">
        <v>14</v>
      </c>
      <c r="C9" s="125" t="str">
        <f>VLOOKUP(B9,'Preços de Referência'!$A$5:$C$103,2,FALSE)</f>
        <v>Biólogo pleno</v>
      </c>
      <c r="D9" s="134" t="s">
        <v>15</v>
      </c>
      <c r="E9" s="81">
        <v>1</v>
      </c>
      <c r="F9" s="159">
        <f>'Preços de Referência'!$O$28*(10+20)</f>
        <v>219.99</v>
      </c>
      <c r="G9" s="88">
        <f>VLOOKUP(B9,'Preços de Referência'!$A$5:$C$103,3,FALSE)</f>
        <v>8782.2099999999991</v>
      </c>
      <c r="H9" s="88">
        <f>G9/'Preços de Referência'!$O$30</f>
        <v>48.124335580031776</v>
      </c>
      <c r="I9" s="91">
        <f t="shared" ref="I9:I13" si="1">H9*F9*E9</f>
        <v>10586.87258425119</v>
      </c>
      <c r="J9" s="99"/>
    </row>
    <row r="10" spans="1:10" ht="15.75">
      <c r="A10" s="106"/>
      <c r="B10" s="80" t="s">
        <v>240</v>
      </c>
      <c r="C10" s="125" t="str">
        <f>VLOOKUP(B10,'Preços de Referência'!$A$5:$C$103,2,FALSE)</f>
        <v>Geólogo júnior</v>
      </c>
      <c r="D10" s="134" t="s">
        <v>15</v>
      </c>
      <c r="E10" s="81">
        <v>1</v>
      </c>
      <c r="F10" s="159">
        <f>'Preços de Referência'!$O$28*(10+20)</f>
        <v>219.99</v>
      </c>
      <c r="G10" s="88">
        <f>VLOOKUP(B10,'Preços de Referência'!$A$5:$C$103,3,FALSE)</f>
        <v>19052.8</v>
      </c>
      <c r="H10" s="88">
        <f>G10/'Preços de Referência'!$O$30</f>
        <v>104.40462491095401</v>
      </c>
      <c r="I10" s="91">
        <f t="shared" si="1"/>
        <v>22967.973434160773</v>
      </c>
      <c r="J10" s="99"/>
    </row>
    <row r="11" spans="1:10" ht="15.75">
      <c r="A11" s="106"/>
      <c r="B11" s="80" t="s">
        <v>313</v>
      </c>
      <c r="C11" s="125" t="str">
        <f>VLOOKUP(B11,'Preços de Referência'!$A$5:$C$103,2,FALSE)</f>
        <v>Topógrafo</v>
      </c>
      <c r="D11" s="134" t="s">
        <v>15</v>
      </c>
      <c r="E11" s="81">
        <v>1</v>
      </c>
      <c r="F11" s="159">
        <f>'Preços de Referência'!$O$28*(10+20)</f>
        <v>219.99</v>
      </c>
      <c r="G11" s="88">
        <f>VLOOKUP(B11,'Preços de Referência'!$A$5:$C$103,3,FALSE)</f>
        <v>5429.4</v>
      </c>
      <c r="H11" s="88">
        <f>G11/'Preços de Referência'!$O$30</f>
        <v>29.751767220121646</v>
      </c>
      <c r="I11" s="91">
        <f t="shared" ref="I11" si="2">H11*F11*E11</f>
        <v>6545.0912707545613</v>
      </c>
      <c r="J11" s="99"/>
    </row>
    <row r="12" spans="1:10" ht="15.75">
      <c r="A12" s="106"/>
      <c r="B12" s="80" t="s">
        <v>167</v>
      </c>
      <c r="C12" s="125" t="str">
        <f>VLOOKUP(B12,'Preços de Referência'!$A$5:$C$103,2,FALSE)</f>
        <v>Auxiliar</v>
      </c>
      <c r="D12" s="134" t="s">
        <v>15</v>
      </c>
      <c r="E12" s="81">
        <v>3</v>
      </c>
      <c r="F12" s="159">
        <f>'Preços de Referência'!$O$28*10</f>
        <v>73.33</v>
      </c>
      <c r="G12" s="88">
        <f>VLOOKUP(B12,'Preços de Referência'!$A$5:$C$103,3,FALSE)</f>
        <v>3986.88</v>
      </c>
      <c r="H12" s="88">
        <f>G12/'Preços de Referência'!$O$30</f>
        <v>21.847114910406049</v>
      </c>
      <c r="I12" s="91">
        <f t="shared" si="1"/>
        <v>4806.1468091402267</v>
      </c>
      <c r="J12" s="99"/>
    </row>
    <row r="13" spans="1:10" ht="15.75">
      <c r="A13" s="106"/>
      <c r="B13" s="80" t="s">
        <v>16</v>
      </c>
      <c r="C13" s="125" t="str">
        <f>VLOOKUP(B13,'Preços de Referência'!$A$5:$C$103,2,FALSE)</f>
        <v>Engenheiro florestal pleno</v>
      </c>
      <c r="D13" s="134" t="s">
        <v>15</v>
      </c>
      <c r="E13" s="81">
        <v>1</v>
      </c>
      <c r="F13" s="159">
        <f>'Preços de Referência'!$O$28*(10+20)</f>
        <v>219.99</v>
      </c>
      <c r="G13" s="88">
        <f>VLOOKUP(B13,'Preços de Referência'!$A$5:$C$103,3,FALSE)</f>
        <v>23790.89</v>
      </c>
      <c r="H13" s="88">
        <f>G13/'Preços de Referência'!$O$30</f>
        <v>130.36818455805798</v>
      </c>
      <c r="I13" s="91">
        <f t="shared" si="1"/>
        <v>28679.696920927174</v>
      </c>
      <c r="J13" s="99"/>
    </row>
    <row r="14" spans="1:10" ht="15.75">
      <c r="A14" s="128" t="s">
        <v>21</v>
      </c>
      <c r="B14" s="107"/>
      <c r="C14" s="126" t="s">
        <v>22</v>
      </c>
      <c r="D14" s="107"/>
      <c r="E14" s="107"/>
      <c r="F14" s="107"/>
      <c r="G14" s="107"/>
      <c r="H14" s="123"/>
      <c r="I14" s="100">
        <f>I15</f>
        <v>906.89200000000005</v>
      </c>
      <c r="J14" s="99"/>
    </row>
    <row r="15" spans="1:10" ht="28.5" customHeight="1">
      <c r="A15" s="106"/>
      <c r="B15" s="84" t="s">
        <v>23</v>
      </c>
      <c r="C15" s="125" t="str">
        <f>VLOOKUP(B15,'Preços de Referência'!$E$4:$P$5,2,FALSE)</f>
        <v>Veículo leve picape 4 x 4 com capacidade de 1,10 t - 147 kW (sem motorista)</v>
      </c>
      <c r="D15" s="134" t="s">
        <v>15</v>
      </c>
      <c r="E15" s="81">
        <v>2</v>
      </c>
      <c r="F15" s="159">
        <v>10</v>
      </c>
      <c r="G15" s="88">
        <f>VLOOKUP(B15,'Preços de Referência'!$E$4:$P$5,10,FALSE)</f>
        <v>8274.9513000000006</v>
      </c>
      <c r="H15" s="88">
        <f>VLOOKUP(B15,'Preços de Referência'!$E$4:$P$5,12,FALSE)</f>
        <v>45.3446</v>
      </c>
      <c r="I15" s="91">
        <f>H15*F15*E15</f>
        <v>906.89200000000005</v>
      </c>
      <c r="J15" s="99"/>
    </row>
    <row r="16" spans="1:10" ht="30" hidden="1">
      <c r="A16" s="128" t="s">
        <v>24</v>
      </c>
      <c r="B16" s="107"/>
      <c r="C16" s="126" t="s">
        <v>25</v>
      </c>
      <c r="D16" s="107"/>
      <c r="E16" s="107"/>
      <c r="F16" s="107"/>
      <c r="G16" s="107"/>
      <c r="H16" s="123"/>
      <c r="I16" s="100">
        <v>0</v>
      </c>
      <c r="J16" s="99"/>
    </row>
    <row r="17" spans="1:10" ht="15.75" hidden="1">
      <c r="A17" s="106"/>
      <c r="B17" s="80" t="s">
        <v>26</v>
      </c>
      <c r="C17" s="125" t="s">
        <v>27</v>
      </c>
      <c r="D17" s="134" t="s">
        <v>15</v>
      </c>
      <c r="E17" s="81">
        <v>6</v>
      </c>
      <c r="F17" s="81">
        <f>'Preços de Referência'!$O$28*5</f>
        <v>36.664999999999999</v>
      </c>
      <c r="G17" s="81">
        <v>223.422507</v>
      </c>
      <c r="H17" s="88">
        <v>1.2242999999999999</v>
      </c>
      <c r="I17" s="91">
        <f>H17*F17*E17</f>
        <v>269.33375699999999</v>
      </c>
      <c r="J17" s="99"/>
    </row>
    <row r="18" spans="1:10" ht="28.5" hidden="1">
      <c r="A18" s="106"/>
      <c r="B18" s="80" t="s">
        <v>28</v>
      </c>
      <c r="C18" s="125" t="s">
        <v>29</v>
      </c>
      <c r="D18" s="134" t="s">
        <v>15</v>
      </c>
      <c r="E18" s="81">
        <v>1</v>
      </c>
      <c r="F18" s="81">
        <f>'Preços de Referência'!$O$28*5</f>
        <v>36.664999999999999</v>
      </c>
      <c r="G18" s="81">
        <f>E18*F18</f>
        <v>36.664999999999999</v>
      </c>
      <c r="H18" s="88">
        <v>5.16</v>
      </c>
      <c r="I18" s="91">
        <f>H18*F18*E18</f>
        <v>189.19139999999999</v>
      </c>
      <c r="J18" s="99"/>
    </row>
    <row r="19" spans="1:10" ht="15.75" hidden="1">
      <c r="A19" s="128" t="s">
        <v>30</v>
      </c>
      <c r="B19" s="107"/>
      <c r="C19" s="126" t="s">
        <v>31</v>
      </c>
      <c r="D19" s="107"/>
      <c r="E19" s="107"/>
      <c r="F19" s="107"/>
      <c r="G19" s="107"/>
      <c r="H19" s="123"/>
      <c r="I19" s="100">
        <v>0</v>
      </c>
      <c r="J19" s="99"/>
    </row>
    <row r="20" spans="1:10" ht="15.75" hidden="1">
      <c r="A20" s="129" t="s">
        <v>32</v>
      </c>
      <c r="B20" s="108"/>
      <c r="C20" s="127" t="s">
        <v>33</v>
      </c>
      <c r="D20" s="108"/>
      <c r="E20" s="108"/>
      <c r="F20" s="108"/>
      <c r="G20" s="108"/>
      <c r="H20" s="124"/>
      <c r="I20" s="101"/>
      <c r="J20" s="99"/>
    </row>
    <row r="21" spans="1:10" ht="28.5" hidden="1">
      <c r="A21" s="106"/>
      <c r="B21" s="80" t="s">
        <v>34</v>
      </c>
      <c r="C21" s="125" t="str">
        <f>VLOOKUP(B21,'Preços de Referência'!$F$74:$J$83,2,FALSE)</f>
        <v>Comercial (2,60% do CMCC - SINAPI)</v>
      </c>
      <c r="D21" s="80" t="str">
        <f>VLOOKUP(B21,'Preços de Referência'!$F$74:$J$83,4,FALSE)</f>
        <v>m² x mês</v>
      </c>
      <c r="E21" s="81">
        <f>12.41*6</f>
        <v>74.460000000000008</v>
      </c>
      <c r="F21" s="81">
        <f>'Preços de Referência'!$O$28*5</f>
        <v>36.664999999999999</v>
      </c>
      <c r="G21" s="89">
        <f>VLOOKUP(B21,'Preços de Referência'!$F$74:$J$83,5,FALSE)</f>
        <v>47.75</v>
      </c>
      <c r="H21" s="88">
        <f>G21/'Preços de Referência'!$O$30</f>
        <v>0.26165817305057809</v>
      </c>
      <c r="I21" s="91">
        <v>0</v>
      </c>
      <c r="J21" s="99"/>
    </row>
    <row r="22" spans="1:10" ht="15.75" hidden="1">
      <c r="A22" s="129" t="s">
        <v>35</v>
      </c>
      <c r="B22" s="108"/>
      <c r="C22" s="127" t="s">
        <v>36</v>
      </c>
      <c r="D22" s="108"/>
      <c r="E22" s="108"/>
      <c r="F22" s="108"/>
      <c r="G22" s="108"/>
      <c r="H22" s="124"/>
      <c r="I22" s="101"/>
      <c r="J22" s="99"/>
    </row>
    <row r="23" spans="1:10" ht="15.75" hidden="1">
      <c r="A23" s="106"/>
      <c r="B23" s="80" t="s">
        <v>37</v>
      </c>
      <c r="C23" s="125" t="str">
        <f>VLOOKUP(B23,'Preços de Referência'!$F$74:$J$83,2,FALSE)</f>
        <v>Escritório</v>
      </c>
      <c r="D23" s="80" t="str">
        <f>VLOOKUP(B23,'Preços de Referência'!$F$74:$J$83,4,FALSE)</f>
        <v>ocupante x mês</v>
      </c>
      <c r="E23" s="81">
        <v>6</v>
      </c>
      <c r="F23" s="81">
        <f>'Preços de Referência'!$O$28*5</f>
        <v>36.664999999999999</v>
      </c>
      <c r="G23" s="89">
        <f>VLOOKUP(B23,'Preços de Referência'!$F$74:$J$83,5,FALSE)</f>
        <v>490.4</v>
      </c>
      <c r="H23" s="88">
        <f>G23/'Preços de Referência'!$O$30</f>
        <v>2.6872705353718009</v>
      </c>
      <c r="I23" s="91">
        <f>H23*F23*E23</f>
        <v>591.17264507644245</v>
      </c>
      <c r="J23" s="99"/>
    </row>
    <row r="24" spans="1:10" ht="15.75" hidden="1">
      <c r="A24" s="129" t="s">
        <v>38</v>
      </c>
      <c r="B24" s="108"/>
      <c r="C24" s="127" t="s">
        <v>39</v>
      </c>
      <c r="D24" s="108"/>
      <c r="E24" s="108"/>
      <c r="F24" s="108"/>
      <c r="G24" s="108"/>
      <c r="H24" s="124"/>
      <c r="I24" s="101"/>
      <c r="J24" s="99"/>
    </row>
    <row r="25" spans="1:10" ht="15.75" hidden="1">
      <c r="A25" s="106"/>
      <c r="B25" s="80" t="s">
        <v>40</v>
      </c>
      <c r="C25" s="125" t="str">
        <f>VLOOKUP(B25,'Preços de Referência'!$F$74:$J$83,2,FALSE)</f>
        <v>Escritório</v>
      </c>
      <c r="D25" s="80" t="str">
        <f>VLOOKUP(B25,'Preços de Referência'!$F$74:$J$83,4,FALSE)</f>
        <v>ocupante x mês</v>
      </c>
      <c r="E25" s="81">
        <v>6</v>
      </c>
      <c r="F25" s="81">
        <f>'Preços de Referência'!$O$28*5</f>
        <v>36.664999999999999</v>
      </c>
      <c r="G25" s="89">
        <f>VLOOKUP(B25,'Preços de Referência'!$F$74:$J$83,5,FALSE)</f>
        <v>135.22</v>
      </c>
      <c r="H25" s="88">
        <f>G25/'Preços de Referência'!$O$30</f>
        <v>0.74097210806071556</v>
      </c>
      <c r="I25" s="91">
        <f>H25*F25*E25</f>
        <v>163.00645405227681</v>
      </c>
      <c r="J25" s="99"/>
    </row>
    <row r="26" spans="1:10" ht="15.75">
      <c r="A26" s="160" t="s">
        <v>24</v>
      </c>
      <c r="B26" s="161"/>
      <c r="C26" s="162" t="s">
        <v>360</v>
      </c>
      <c r="D26" s="161"/>
      <c r="E26" s="161"/>
      <c r="F26" s="161"/>
      <c r="G26" s="161"/>
      <c r="H26" s="161"/>
      <c r="I26" s="163">
        <f>SUM(I27:I28)</f>
        <v>30891.9228</v>
      </c>
    </row>
    <row r="27" spans="1:10" ht="42.75">
      <c r="A27" s="164"/>
      <c r="B27" s="169" t="s">
        <v>198</v>
      </c>
      <c r="C27" s="165" t="str">
        <f>VLOOKUP(B27,'Preços de Referência'!$P$69:$W$70,2,FALSE)</f>
        <v>DIÁRIA (CONF. DECRETO 11.117 PR - CUSTO MEDIANO</v>
      </c>
      <c r="D27" s="134" t="s">
        <v>122</v>
      </c>
      <c r="E27" s="135">
        <v>6</v>
      </c>
      <c r="F27" s="192">
        <v>10</v>
      </c>
      <c r="G27" s="330">
        <f>VLOOKUP(B27,'Preços de Referência'!$P$69:$W$70,6,FALSE)</f>
        <v>380</v>
      </c>
      <c r="H27" s="167"/>
      <c r="I27" s="168">
        <f>E27*F27*G27</f>
        <v>22800</v>
      </c>
    </row>
    <row r="28" spans="1:10" ht="42.75">
      <c r="A28" s="164"/>
      <c r="B28" s="169" t="s">
        <v>194</v>
      </c>
      <c r="C28" s="165" t="str">
        <f>VLOOKUP(B28,'Preços de Referência'!$P$69:$W$70,2,FALSE)</f>
        <v>PASSAGEM AÉREA - DESTINO NACIONAL (Cotação JUL/24)*</v>
      </c>
      <c r="D28" s="134" t="s">
        <v>122</v>
      </c>
      <c r="E28" s="135">
        <v>6</v>
      </c>
      <c r="F28" s="192">
        <v>1</v>
      </c>
      <c r="G28" s="330">
        <f>VLOOKUP(B28,'Preços de Referência'!$P$69:$W$70,6,FALSE)</f>
        <v>1348.6538</v>
      </c>
      <c r="H28" s="167"/>
      <c r="I28" s="168">
        <f>E28*F28*G28</f>
        <v>8091.9228000000003</v>
      </c>
    </row>
    <row r="29" spans="1:10" ht="15.75">
      <c r="A29" s="359"/>
      <c r="B29" s="193"/>
      <c r="C29" s="82"/>
      <c r="D29" s="82"/>
      <c r="E29" s="82"/>
      <c r="F29" s="82"/>
      <c r="G29" s="82"/>
      <c r="H29" s="475" t="s">
        <v>41</v>
      </c>
      <c r="I29" s="92">
        <f>I7+I16+I19+I14+I26</f>
        <v>133446.03271879005</v>
      </c>
      <c r="J29" s="99"/>
    </row>
    <row r="30" spans="1:10" ht="16.5" thickBot="1">
      <c r="A30" s="93"/>
      <c r="B30" s="83"/>
      <c r="C30" s="83"/>
      <c r="D30" s="83"/>
      <c r="E30" s="83"/>
      <c r="F30" s="83"/>
      <c r="G30" s="474" t="s">
        <v>42</v>
      </c>
      <c r="H30" s="252">
        <f>BDI!$D$17</f>
        <v>0.44579999999999997</v>
      </c>
      <c r="I30" s="94">
        <f>I29*H30</f>
        <v>59490.2413860366</v>
      </c>
      <c r="J30" s="99"/>
    </row>
    <row r="31" spans="1:10" ht="26.25" thickBot="1">
      <c r="A31" s="476"/>
      <c r="B31" s="477"/>
      <c r="C31" s="477"/>
      <c r="D31" s="477"/>
      <c r="E31" s="477"/>
      <c r="F31" s="477"/>
      <c r="G31" s="478"/>
      <c r="H31" s="479" t="s">
        <v>524</v>
      </c>
      <c r="I31" s="480">
        <f>1.07765625</f>
        <v>1.07765625</v>
      </c>
    </row>
    <row r="32" spans="1:10" ht="16.5" thickBot="1">
      <c r="A32" s="360"/>
      <c r="B32" s="194"/>
      <c r="C32" s="194"/>
      <c r="D32" s="95"/>
      <c r="E32" s="95"/>
      <c r="F32" s="95"/>
      <c r="G32" s="95"/>
      <c r="H32" s="181" t="s">
        <v>500</v>
      </c>
      <c r="I32" s="96">
        <f>(I29+I30)*I31</f>
        <v>207918.98164077959</v>
      </c>
      <c r="J32" s="99"/>
    </row>
    <row r="33" spans="1:10" ht="16.5" thickBot="1">
      <c r="A33" s="597"/>
      <c r="B33" s="598"/>
      <c r="C33" s="598"/>
      <c r="D33" s="95"/>
      <c r="E33" s="95"/>
      <c r="F33" s="95"/>
      <c r="G33" s="95"/>
      <c r="H33" s="181" t="s">
        <v>391</v>
      </c>
      <c r="I33" s="96">
        <f>(I32/50)</f>
        <v>4158.3796328155913</v>
      </c>
      <c r="J33" s="99"/>
    </row>
    <row r="34" spans="1:10" ht="15.75">
      <c r="A34" s="173"/>
      <c r="F34" s="585" t="s">
        <v>44</v>
      </c>
      <c r="G34" s="586"/>
      <c r="H34" s="586"/>
      <c r="I34" s="594"/>
      <c r="J34" s="99"/>
    </row>
    <row r="35" spans="1:10" ht="15.75">
      <c r="A35" s="173"/>
      <c r="F35" s="109" t="str">
        <f>A2</f>
        <v>Bloco 1</v>
      </c>
      <c r="G35" s="109" t="s">
        <v>45</v>
      </c>
      <c r="H35" s="109" t="s">
        <v>46</v>
      </c>
      <c r="I35" s="174" t="s">
        <v>47</v>
      </c>
      <c r="J35" s="99"/>
    </row>
    <row r="36" spans="1:10" ht="19.5" thickBot="1">
      <c r="A36" s="175"/>
      <c r="B36" s="176"/>
      <c r="C36" s="176"/>
      <c r="D36" s="176"/>
      <c r="E36" s="176"/>
      <c r="F36" s="189">
        <f>A3</f>
        <v>22</v>
      </c>
      <c r="G36" s="189">
        <v>55</v>
      </c>
      <c r="H36" s="190">
        <f>I33</f>
        <v>4158.3796328155913</v>
      </c>
      <c r="I36" s="191">
        <f>G36*H36</f>
        <v>228710.87980485751</v>
      </c>
      <c r="J36" s="99"/>
    </row>
  </sheetData>
  <mergeCells count="9">
    <mergeCell ref="B3:D3"/>
    <mergeCell ref="F34:I34"/>
    <mergeCell ref="A33:C33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76197-87FC-47F0-8D5D-D76068CBEE89}">
  <sheetPr>
    <tabColor theme="9" tint="0.39997558519241921"/>
    <pageSetUpPr fitToPage="1"/>
  </sheetPr>
  <dimension ref="A1:J35"/>
  <sheetViews>
    <sheetView showGridLines="0" zoomScale="80" zoomScaleNormal="80" workbookViewId="0">
      <selection activeCell="H35" sqref="H35:I35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9.28515625" style="3"/>
    <col min="6" max="6" width="12.28515625" style="3" customWidth="1"/>
    <col min="7" max="7" width="17.42578125" style="3" customWidth="1"/>
    <col min="8" max="8" width="17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PRODUTOS!A26</f>
        <v>23</v>
      </c>
      <c r="B3" s="599" t="str">
        <f>PRODUTOS!B26</f>
        <v>PROJETO DE BARREIRA ACÚSTICA</v>
      </c>
      <c r="C3" s="599"/>
      <c r="D3" s="599"/>
      <c r="E3" s="119" t="str">
        <f>PRODUTOS!C26</f>
        <v>PROJ.BAR.AC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SUM(I8:I12)</f>
        <v>133907.9970023015</v>
      </c>
      <c r="J7" s="99"/>
    </row>
    <row r="8" spans="1:10" ht="15.75">
      <c r="A8" s="106"/>
      <c r="B8" s="80" t="s">
        <v>14</v>
      </c>
      <c r="C8" s="80" t="s">
        <v>377</v>
      </c>
      <c r="D8" s="134" t="s">
        <v>15</v>
      </c>
      <c r="E8" s="182">
        <v>1</v>
      </c>
      <c r="F8" s="159">
        <f>'Preços de Referência'!$O$28*(7)+'Preços de Referência'!$O$30*2</f>
        <v>416.31100000000004</v>
      </c>
      <c r="G8" s="88">
        <f>VLOOKUP(B8,'Preços de Referência'!$A$5:$C$103,3,FALSE)</f>
        <v>8782.2099999999991</v>
      </c>
      <c r="H8" s="88">
        <f>G8/'Preços de Referência'!$O$30</f>
        <v>48.124335580031776</v>
      </c>
      <c r="I8" s="91">
        <f t="shared" ref="I8:I12" si="0">H8*F8*E8</f>
        <v>20034.690269658611</v>
      </c>
      <c r="J8" s="99"/>
    </row>
    <row r="9" spans="1:10" ht="15.75">
      <c r="A9" s="106"/>
      <c r="B9" s="80" t="s">
        <v>313</v>
      </c>
      <c r="C9" s="80" t="str">
        <f>VLOOKUP(B9,'Preços de Referência'!$A$5:$C$103,2,FALSE)</f>
        <v>Topógrafo</v>
      </c>
      <c r="D9" s="134" t="s">
        <v>15</v>
      </c>
      <c r="E9" s="182">
        <v>1</v>
      </c>
      <c r="F9" s="159">
        <f>'Preços de Referência'!$O$28*7</f>
        <v>51.331000000000003</v>
      </c>
      <c r="G9" s="88">
        <f>VLOOKUP(B9,'Preços de Referência'!$A$5:$C$103,3,FALSE)</f>
        <v>5429.4</v>
      </c>
      <c r="H9" s="88">
        <f>G9/'Preços de Referência'!$O$30</f>
        <v>29.751767220121646</v>
      </c>
      <c r="I9" s="91">
        <f t="shared" si="0"/>
        <v>1527.1879631760644</v>
      </c>
      <c r="J9" s="99"/>
    </row>
    <row r="10" spans="1:10" ht="15.75">
      <c r="A10" s="106"/>
      <c r="B10" s="80" t="s">
        <v>167</v>
      </c>
      <c r="C10" s="80" t="str">
        <f>VLOOKUP(B10,'Preços de Referência'!$A$5:$C$103,2,FALSE)</f>
        <v>Auxiliar</v>
      </c>
      <c r="D10" s="134" t="s">
        <v>15</v>
      </c>
      <c r="E10" s="182">
        <v>1</v>
      </c>
      <c r="F10" s="159">
        <f>'Preços de Referência'!$O$28*7</f>
        <v>51.331000000000003</v>
      </c>
      <c r="G10" s="88">
        <f>VLOOKUP(B10,'Preços de Referência'!$A$5:$C$103,3,FALSE)</f>
        <v>3986.88</v>
      </c>
      <c r="H10" s="88">
        <f>G10/'Preços de Referência'!$O$30</f>
        <v>21.847114910406049</v>
      </c>
      <c r="I10" s="91">
        <f t="shared" si="0"/>
        <v>1121.4342554660529</v>
      </c>
      <c r="J10" s="99"/>
    </row>
    <row r="11" spans="1:10" ht="15.75">
      <c r="A11" s="106"/>
      <c r="B11" s="80" t="s">
        <v>18</v>
      </c>
      <c r="C11" s="80" t="str">
        <f>VLOOKUP(B11,'Preços de Referência'!$A$5:$C$103,2,FALSE)</f>
        <v>Engenheiro ambiental pleno</v>
      </c>
      <c r="D11" s="134" t="s">
        <v>15</v>
      </c>
      <c r="E11" s="182">
        <v>1</v>
      </c>
      <c r="F11" s="159">
        <f>'Preços de Referência'!$O$28*(7)+'Preços de Referência'!$O$30*2</f>
        <v>416.31100000000004</v>
      </c>
      <c r="G11" s="88">
        <f>VLOOKUP(B11,'Preços de Referência'!$A$5:$C$103,3,FALSE)</f>
        <v>24964.47</v>
      </c>
      <c r="H11" s="88">
        <f>G11/'Preços de Referência'!$O$30</f>
        <v>136.79911228012494</v>
      </c>
      <c r="I11" s="91">
        <f t="shared" ref="I11" si="1">H11*F11*E11</f>
        <v>56950.975232451099</v>
      </c>
      <c r="J11" s="99"/>
    </row>
    <row r="12" spans="1:10" ht="15.75">
      <c r="A12" s="106"/>
      <c r="B12" s="80" t="s">
        <v>16</v>
      </c>
      <c r="C12" s="80" t="str">
        <f>VLOOKUP(B12,'Preços de Referência'!$A$5:$C$103,2,FALSE)</f>
        <v>Engenheiro florestal pleno</v>
      </c>
      <c r="D12" s="134" t="s">
        <v>15</v>
      </c>
      <c r="E12" s="182">
        <v>1</v>
      </c>
      <c r="F12" s="159">
        <f>'Preços de Referência'!$O$28*(7)+'Preços de Referência'!$O$30*2</f>
        <v>416.31100000000004</v>
      </c>
      <c r="G12" s="88">
        <f>VLOOKUP(B12,'Preços de Referência'!$A$5:$C$103,3,FALSE)</f>
        <v>23790.89</v>
      </c>
      <c r="H12" s="88">
        <f>G12/'Preços de Referência'!$O$30</f>
        <v>130.36818455805798</v>
      </c>
      <c r="I12" s="91">
        <f t="shared" si="0"/>
        <v>54273.70928154968</v>
      </c>
      <c r="J12" s="99"/>
    </row>
    <row r="13" spans="1:10" ht="15.75">
      <c r="A13" s="128" t="s">
        <v>21</v>
      </c>
      <c r="B13" s="107"/>
      <c r="C13" s="126" t="s">
        <v>22</v>
      </c>
      <c r="D13" s="107"/>
      <c r="E13" s="196"/>
      <c r="F13" s="107"/>
      <c r="G13" s="107"/>
      <c r="H13" s="123"/>
      <c r="I13" s="100">
        <f>I14</f>
        <v>317.41219999999998</v>
      </c>
      <c r="J13" s="99"/>
    </row>
    <row r="14" spans="1:10" ht="28.5" customHeight="1">
      <c r="A14" s="106"/>
      <c r="B14" s="84" t="s">
        <v>23</v>
      </c>
      <c r="C14" s="125" t="str">
        <f>VLOOKUP(B14,'Preços de Referência'!$E$4:$P$5,2,FALSE)</f>
        <v>Veículo leve picape 4 x 4 com capacidade de 1,10 t - 147 kW (sem motorista)</v>
      </c>
      <c r="D14" s="134" t="s">
        <v>15</v>
      </c>
      <c r="E14" s="182">
        <v>1</v>
      </c>
      <c r="F14" s="159">
        <v>7</v>
      </c>
      <c r="G14" s="88">
        <f>VLOOKUP(B14,'Preços de Referência'!$E$4:$P$5,10,FALSE)</f>
        <v>8274.9513000000006</v>
      </c>
      <c r="H14" s="88">
        <f>VLOOKUP(B14,'Preços de Referência'!$E$4:$P$5,12,FALSE)</f>
        <v>45.3446</v>
      </c>
      <c r="I14" s="91">
        <f>H14*F14*E14</f>
        <v>317.41219999999998</v>
      </c>
      <c r="J14" s="99"/>
    </row>
    <row r="15" spans="1:10" ht="30" hidden="1">
      <c r="A15" s="128" t="s">
        <v>24</v>
      </c>
      <c r="B15" s="107"/>
      <c r="C15" s="126" t="s">
        <v>25</v>
      </c>
      <c r="D15" s="107"/>
      <c r="E15" s="196"/>
      <c r="F15" s="107"/>
      <c r="G15" s="107"/>
      <c r="H15" s="123"/>
      <c r="I15" s="100">
        <v>0</v>
      </c>
      <c r="J15" s="99"/>
    </row>
    <row r="16" spans="1:10" ht="15.75" hidden="1">
      <c r="A16" s="106"/>
      <c r="B16" s="80" t="s">
        <v>26</v>
      </c>
      <c r="C16" s="125" t="s">
        <v>27</v>
      </c>
      <c r="D16" s="134" t="s">
        <v>15</v>
      </c>
      <c r="E16" s="182">
        <v>6</v>
      </c>
      <c r="F16" s="81">
        <f>'Preços de Referência'!$O$28*5</f>
        <v>36.664999999999999</v>
      </c>
      <c r="G16" s="81">
        <v>223.422507</v>
      </c>
      <c r="H16" s="88">
        <v>1.2242999999999999</v>
      </c>
      <c r="I16" s="91">
        <f>H16*F16*E16</f>
        <v>269.33375699999999</v>
      </c>
      <c r="J16" s="99"/>
    </row>
    <row r="17" spans="1:10" ht="28.5" hidden="1">
      <c r="A17" s="106"/>
      <c r="B17" s="80" t="s">
        <v>28</v>
      </c>
      <c r="C17" s="125" t="s">
        <v>29</v>
      </c>
      <c r="D17" s="134" t="s">
        <v>15</v>
      </c>
      <c r="E17" s="182">
        <v>1</v>
      </c>
      <c r="F17" s="81">
        <f>'Preços de Referência'!$O$28*5</f>
        <v>36.664999999999999</v>
      </c>
      <c r="G17" s="81">
        <f>E17*F17</f>
        <v>36.664999999999999</v>
      </c>
      <c r="H17" s="88">
        <v>5.16</v>
      </c>
      <c r="I17" s="91">
        <f>H17*F17*E17</f>
        <v>189.19139999999999</v>
      </c>
      <c r="J17" s="99"/>
    </row>
    <row r="18" spans="1:10" ht="15.75" hidden="1">
      <c r="A18" s="128" t="s">
        <v>30</v>
      </c>
      <c r="B18" s="107"/>
      <c r="C18" s="126" t="s">
        <v>31</v>
      </c>
      <c r="D18" s="107"/>
      <c r="E18" s="196"/>
      <c r="F18" s="107"/>
      <c r="G18" s="107"/>
      <c r="H18" s="123"/>
      <c r="I18" s="100">
        <v>0</v>
      </c>
      <c r="J18" s="99"/>
    </row>
    <row r="19" spans="1:10" ht="15.75" hidden="1">
      <c r="A19" s="129" t="s">
        <v>32</v>
      </c>
      <c r="B19" s="108"/>
      <c r="C19" s="127" t="s">
        <v>33</v>
      </c>
      <c r="D19" s="108"/>
      <c r="E19" s="197"/>
      <c r="F19" s="108"/>
      <c r="G19" s="108"/>
      <c r="H19" s="124"/>
      <c r="I19" s="101"/>
      <c r="J19" s="99"/>
    </row>
    <row r="20" spans="1:10" ht="28.5" hidden="1">
      <c r="A20" s="106"/>
      <c r="B20" s="80" t="s">
        <v>34</v>
      </c>
      <c r="C20" s="125" t="str">
        <f>VLOOKUP(B20,'Preços de Referência'!$F$74:$J$83,2,FALSE)</f>
        <v>Comercial (2,60% do CMCC - SINAPI)</v>
      </c>
      <c r="D20" s="80" t="str">
        <f>VLOOKUP(B20,'Preços de Referência'!$F$74:$J$83,4,FALSE)</f>
        <v>m² x mês</v>
      </c>
      <c r="E20" s="182">
        <f>12.41*6</f>
        <v>74.460000000000008</v>
      </c>
      <c r="F20" s="81">
        <f>'Preços de Referência'!$O$28*5</f>
        <v>36.664999999999999</v>
      </c>
      <c r="G20" s="89">
        <f>VLOOKUP(B20,'Preços de Referência'!$F$74:$J$83,5,FALSE)</f>
        <v>47.75</v>
      </c>
      <c r="H20" s="88">
        <f>G20/'Preços de Referência'!$O$30</f>
        <v>0.26165817305057809</v>
      </c>
      <c r="I20" s="91">
        <v>0</v>
      </c>
      <c r="J20" s="99"/>
    </row>
    <row r="21" spans="1:10" ht="15.75" hidden="1">
      <c r="A21" s="129" t="s">
        <v>35</v>
      </c>
      <c r="B21" s="108"/>
      <c r="C21" s="127" t="s">
        <v>36</v>
      </c>
      <c r="D21" s="108"/>
      <c r="E21" s="197"/>
      <c r="F21" s="108"/>
      <c r="G21" s="108"/>
      <c r="H21" s="124"/>
      <c r="I21" s="101"/>
      <c r="J21" s="99"/>
    </row>
    <row r="22" spans="1:10" ht="15.75" hidden="1">
      <c r="A22" s="106"/>
      <c r="B22" s="80" t="s">
        <v>37</v>
      </c>
      <c r="C22" s="125" t="str">
        <f>VLOOKUP(B22,'Preços de Referência'!$F$74:$J$83,2,FALSE)</f>
        <v>Escritório</v>
      </c>
      <c r="D22" s="80" t="str">
        <f>VLOOKUP(B22,'Preços de Referência'!$F$74:$J$83,4,FALSE)</f>
        <v>ocupante x mês</v>
      </c>
      <c r="E22" s="182">
        <v>6</v>
      </c>
      <c r="F22" s="81">
        <f>'Preços de Referência'!$O$28*5</f>
        <v>36.664999999999999</v>
      </c>
      <c r="G22" s="89">
        <f>VLOOKUP(B22,'Preços de Referência'!$F$74:$J$83,5,FALSE)</f>
        <v>490.4</v>
      </c>
      <c r="H22" s="88">
        <f>G22/'Preços de Referência'!$O$30</f>
        <v>2.6872705353718009</v>
      </c>
      <c r="I22" s="91">
        <f>H22*F22*E22</f>
        <v>591.17264507644245</v>
      </c>
      <c r="J22" s="99"/>
    </row>
    <row r="23" spans="1:10" ht="15.75" hidden="1">
      <c r="A23" s="129" t="s">
        <v>38</v>
      </c>
      <c r="B23" s="108"/>
      <c r="C23" s="127" t="s">
        <v>39</v>
      </c>
      <c r="D23" s="108"/>
      <c r="E23" s="197"/>
      <c r="F23" s="108"/>
      <c r="G23" s="108"/>
      <c r="H23" s="124"/>
      <c r="I23" s="101"/>
      <c r="J23" s="99"/>
    </row>
    <row r="24" spans="1:10" ht="15.75" hidden="1">
      <c r="A24" s="106"/>
      <c r="B24" s="80" t="s">
        <v>40</v>
      </c>
      <c r="C24" s="125" t="str">
        <f>VLOOKUP(B24,'Preços de Referência'!$F$74:$J$83,2,FALSE)</f>
        <v>Escritório</v>
      </c>
      <c r="D24" s="80" t="str">
        <f>VLOOKUP(B24,'Preços de Referência'!$F$74:$J$83,4,FALSE)</f>
        <v>ocupante x mês</v>
      </c>
      <c r="E24" s="182">
        <v>6</v>
      </c>
      <c r="F24" s="81">
        <f>'Preços de Referência'!$O$28*5</f>
        <v>36.664999999999999</v>
      </c>
      <c r="G24" s="89">
        <f>VLOOKUP(B24,'Preços de Referência'!$F$74:$J$83,5,FALSE)</f>
        <v>135.22</v>
      </c>
      <c r="H24" s="88">
        <f>G24/'Preços de Referência'!$O$30</f>
        <v>0.74097210806071556</v>
      </c>
      <c r="I24" s="91">
        <f>H24*F24*E24</f>
        <v>163.00645405227681</v>
      </c>
      <c r="J24" s="99"/>
    </row>
    <row r="25" spans="1:10" ht="15.75">
      <c r="A25" s="160" t="s">
        <v>24</v>
      </c>
      <c r="B25" s="161"/>
      <c r="C25" s="162" t="s">
        <v>360</v>
      </c>
      <c r="D25" s="161"/>
      <c r="E25" s="198"/>
      <c r="F25" s="161"/>
      <c r="G25" s="161"/>
      <c r="H25" s="161"/>
      <c r="I25" s="163">
        <f>SUM(I26:I27)</f>
        <v>17345.9614</v>
      </c>
    </row>
    <row r="26" spans="1:10" ht="42.75">
      <c r="A26" s="164"/>
      <c r="B26" s="169" t="s">
        <v>198</v>
      </c>
      <c r="C26" s="165" t="str">
        <f>VLOOKUP(B26,'Preços de Referência'!$P$69:$W$70,2,FALSE)</f>
        <v>DIÁRIA (CONF. DECRETO 11.117 PR - CUSTO MEDIANO</v>
      </c>
      <c r="D26" s="134" t="s">
        <v>122</v>
      </c>
      <c r="E26" s="199">
        <v>5</v>
      </c>
      <c r="F26" s="192">
        <v>7</v>
      </c>
      <c r="G26" s="330">
        <f>VLOOKUP(B26,'Preços de Referência'!$P$69:$W$70,6,FALSE)</f>
        <v>380</v>
      </c>
      <c r="H26" s="167"/>
      <c r="I26" s="168">
        <f>E26*F26*G26</f>
        <v>13300</v>
      </c>
    </row>
    <row r="27" spans="1:10" ht="42.75">
      <c r="A27" s="164"/>
      <c r="B27" s="169" t="s">
        <v>194</v>
      </c>
      <c r="C27" s="165" t="str">
        <f>VLOOKUP(B27,'Preços de Referência'!$P$69:$W$70,2,FALSE)</f>
        <v>PASSAGEM AÉREA - DESTINO NACIONAL (Cotação JUL/24)*</v>
      </c>
      <c r="D27" s="134" t="s">
        <v>122</v>
      </c>
      <c r="E27" s="199">
        <v>3</v>
      </c>
      <c r="F27" s="192">
        <v>1</v>
      </c>
      <c r="G27" s="330">
        <f>VLOOKUP(B27,'Preços de Referência'!$P$69:$W$70,6,FALSE)</f>
        <v>1348.6538</v>
      </c>
      <c r="H27" s="167"/>
      <c r="I27" s="168">
        <f>E27*F27*G27</f>
        <v>4045.9614000000001</v>
      </c>
    </row>
    <row r="28" spans="1:10" ht="15.75">
      <c r="A28" s="359"/>
      <c r="B28" s="193"/>
      <c r="C28" s="82"/>
      <c r="D28" s="82"/>
      <c r="E28" s="82"/>
      <c r="F28" s="82"/>
      <c r="G28" s="82"/>
      <c r="H28" s="475" t="s">
        <v>41</v>
      </c>
      <c r="I28" s="92">
        <f>I7+I15+I18+I13+I25</f>
        <v>151571.3706023015</v>
      </c>
      <c r="J28" s="99"/>
    </row>
    <row r="29" spans="1:10" ht="16.5" thickBot="1">
      <c r="A29" s="93"/>
      <c r="B29" s="83"/>
      <c r="C29" s="83"/>
      <c r="D29" s="83"/>
      <c r="E29" s="83"/>
      <c r="F29" s="83"/>
      <c r="G29" s="474" t="s">
        <v>42</v>
      </c>
      <c r="H29" s="252">
        <f>BDI!$D$17</f>
        <v>0.44579999999999997</v>
      </c>
      <c r="I29" s="94">
        <f>I28*H29</f>
        <v>67570.517014505996</v>
      </c>
      <c r="J29" s="99"/>
    </row>
    <row r="30" spans="1:10" ht="26.25" thickBot="1">
      <c r="A30" s="476"/>
      <c r="B30" s="477"/>
      <c r="C30" s="477"/>
      <c r="D30" s="477"/>
      <c r="E30" s="477"/>
      <c r="F30" s="477"/>
      <c r="G30" s="478"/>
      <c r="H30" s="479" t="s">
        <v>524</v>
      </c>
      <c r="I30" s="480">
        <f>1.07765625</f>
        <v>1.07765625</v>
      </c>
    </row>
    <row r="31" spans="1:10" ht="16.5" customHeight="1" thickBot="1">
      <c r="A31" s="360"/>
      <c r="B31" s="194"/>
      <c r="C31" s="194"/>
      <c r="D31" s="95"/>
      <c r="E31" s="95"/>
      <c r="F31" s="95"/>
      <c r="G31" s="95"/>
      <c r="H31" s="181" t="s">
        <v>501</v>
      </c>
      <c r="I31" s="96">
        <f>(I28+I29)*I30</f>
        <v>236159.62482705017</v>
      </c>
      <c r="J31" s="99"/>
    </row>
    <row r="32" spans="1:10" ht="16.5" thickBot="1">
      <c r="A32" s="597"/>
      <c r="B32" s="598"/>
      <c r="C32" s="598"/>
      <c r="D32" s="95"/>
      <c r="E32" s="95"/>
      <c r="F32" s="95"/>
      <c r="G32" s="95"/>
      <c r="H32" s="181" t="s">
        <v>502</v>
      </c>
      <c r="I32" s="96">
        <f>(I31/500)</f>
        <v>472.31924965410036</v>
      </c>
      <c r="J32" s="99"/>
    </row>
    <row r="33" spans="1:10" ht="15.75">
      <c r="A33" s="173"/>
      <c r="F33" s="585" t="s">
        <v>44</v>
      </c>
      <c r="G33" s="586"/>
      <c r="H33" s="586"/>
      <c r="I33" s="594"/>
      <c r="J33" s="99"/>
    </row>
    <row r="34" spans="1:10" ht="15.75">
      <c r="A34" s="173"/>
      <c r="F34" s="109" t="str">
        <f>A2</f>
        <v>Bloco 1</v>
      </c>
      <c r="G34" s="109" t="s">
        <v>45</v>
      </c>
      <c r="H34" s="109" t="s">
        <v>46</v>
      </c>
      <c r="I34" s="174" t="s">
        <v>47</v>
      </c>
      <c r="J34" s="99"/>
    </row>
    <row r="35" spans="1:10" ht="19.5" thickBot="1">
      <c r="A35" s="175"/>
      <c r="B35" s="176"/>
      <c r="C35" s="176"/>
      <c r="D35" s="176"/>
      <c r="E35" s="176"/>
      <c r="F35" s="189">
        <f>A3</f>
        <v>23</v>
      </c>
      <c r="G35" s="189">
        <v>820</v>
      </c>
      <c r="H35" s="190">
        <f>I32</f>
        <v>472.31924965410036</v>
      </c>
      <c r="I35" s="191">
        <f>G35*H35</f>
        <v>387301.78471636231</v>
      </c>
      <c r="J35" s="99"/>
    </row>
  </sheetData>
  <mergeCells count="9">
    <mergeCell ref="B3:D3"/>
    <mergeCell ref="A32:C32"/>
    <mergeCell ref="F33:I33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BD40-9004-46ED-842C-C8F6DF30DC20}">
  <sheetPr>
    <tabColor theme="9" tint="0.39997558519241921"/>
    <pageSetUpPr fitToPage="1"/>
  </sheetPr>
  <dimension ref="A1:J35"/>
  <sheetViews>
    <sheetView showGridLines="0" zoomScale="80" zoomScaleNormal="80" workbookViewId="0">
      <selection activeCell="H35" sqref="H35:I35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9.28515625" style="3"/>
    <col min="6" max="6" width="12.28515625" style="3" customWidth="1"/>
    <col min="7" max="7" width="17.42578125" style="3" customWidth="1"/>
    <col min="8" max="8" width="17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PRODUTOS!A27</f>
        <v>24</v>
      </c>
      <c r="B3" s="599" t="str">
        <f>PRODUTOS!B27</f>
        <v>ESTUDO DE ANÁLISE DE RISCO – FASE DE INSTALAÇÃO</v>
      </c>
      <c r="C3" s="599"/>
      <c r="D3" s="599"/>
      <c r="E3" s="119" t="str">
        <f>PRODUTOS!C27</f>
        <v>EAR.LI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SUM(I8:I12)</f>
        <v>122549.55092218753</v>
      </c>
      <c r="J7" s="99"/>
    </row>
    <row r="8" spans="1:10" ht="27.75" customHeight="1">
      <c r="A8" s="106"/>
      <c r="B8" s="80" t="s">
        <v>215</v>
      </c>
      <c r="C8" s="200" t="str">
        <f>VLOOKUP(B8,'Preços de Referência'!$A$5:$C$103,2,FALSE)</f>
        <v>Engenheiro consultor especial</v>
      </c>
      <c r="D8" s="134" t="s">
        <v>15</v>
      </c>
      <c r="E8" s="182">
        <v>1</v>
      </c>
      <c r="F8" s="159">
        <f>'Preços de Referência'!$O$28*(7)+'Preços de Referência'!$O$30*1.5</f>
        <v>325.06600000000003</v>
      </c>
      <c r="G8" s="88">
        <f>VLOOKUP(B8,'Preços de Referência'!$A$5:$C$103,3,FALSE)</f>
        <v>39556.800000000003</v>
      </c>
      <c r="H8" s="88">
        <f>G8/'Preços de Referência'!$O$30</f>
        <v>216.76146638171954</v>
      </c>
      <c r="I8" s="91">
        <f t="shared" ref="I8:I12" si="0">H8*F8*E8</f>
        <v>70461.782830840049</v>
      </c>
      <c r="J8" s="99"/>
    </row>
    <row r="9" spans="1:10" ht="15.75">
      <c r="A9" s="106"/>
      <c r="B9" s="80" t="s">
        <v>18</v>
      </c>
      <c r="C9" s="200" t="str">
        <f>VLOOKUP(B9,'Preços de Referência'!$A$5:$C$103,2,FALSE)</f>
        <v>Engenheiro ambiental pleno</v>
      </c>
      <c r="D9" s="134" t="s">
        <v>15</v>
      </c>
      <c r="E9" s="182">
        <v>1</v>
      </c>
      <c r="F9" s="159">
        <f>'Preços de Referência'!$O$28*(7+17)</f>
        <v>175.99200000000002</v>
      </c>
      <c r="G9" s="88">
        <f>VLOOKUP(B9,'Preços de Referência'!$A$5:$C$103,3,FALSE)</f>
        <v>24964.47</v>
      </c>
      <c r="H9" s="88">
        <f>G9/'Preços de Referência'!$O$30</f>
        <v>136.79911228012494</v>
      </c>
      <c r="I9" s="91">
        <f t="shared" si="0"/>
        <v>24075.54936840375</v>
      </c>
      <c r="J9" s="99"/>
    </row>
    <row r="10" spans="1:10" ht="15.75">
      <c r="A10" s="106"/>
      <c r="B10" s="80" t="s">
        <v>167</v>
      </c>
      <c r="C10" s="200" t="str">
        <f>VLOOKUP(B10,'Preços de Referência'!$A$5:$C$103,2,FALSE)</f>
        <v>Auxiliar</v>
      </c>
      <c r="D10" s="134" t="s">
        <v>15</v>
      </c>
      <c r="E10" s="182">
        <v>1</v>
      </c>
      <c r="F10" s="159">
        <f>'Preços de Referência'!$O$28*7</f>
        <v>51.331000000000003</v>
      </c>
      <c r="G10" s="88">
        <f>VLOOKUP(B10,'Preços de Referência'!$A$5:$C$103,3,FALSE)</f>
        <v>3986.88</v>
      </c>
      <c r="H10" s="88">
        <f>G10/'Preços de Referência'!$O$30</f>
        <v>21.847114910406049</v>
      </c>
      <c r="I10" s="91">
        <f t="shared" si="0"/>
        <v>1121.4342554660529</v>
      </c>
      <c r="J10" s="99"/>
    </row>
    <row r="11" spans="1:10" ht="15.75">
      <c r="A11" s="106"/>
      <c r="B11" s="80" t="s">
        <v>18</v>
      </c>
      <c r="C11" s="200" t="s">
        <v>381</v>
      </c>
      <c r="D11" s="134" t="s">
        <v>15</v>
      </c>
      <c r="E11" s="182">
        <v>1</v>
      </c>
      <c r="F11" s="159">
        <f>'Preços de Referência'!$O$28*17</f>
        <v>124.661</v>
      </c>
      <c r="G11" s="88">
        <f>VLOOKUP(B11,'Preços de Referência'!$A$5:$C$103,3,FALSE)</f>
        <v>24964.47</v>
      </c>
      <c r="H11" s="88">
        <f>G11/'Preços de Referência'!$O$30</f>
        <v>136.79911228012494</v>
      </c>
      <c r="I11" s="91">
        <f t="shared" si="0"/>
        <v>17053.514135952657</v>
      </c>
      <c r="J11" s="99"/>
    </row>
    <row r="12" spans="1:10" ht="28.5">
      <c r="A12" s="106"/>
      <c r="B12" s="80" t="s">
        <v>17</v>
      </c>
      <c r="C12" s="200" t="str">
        <f>VLOOKUP(B12,'Preços de Referência'!$A$5:$C$103,2,FALSE)</f>
        <v>Técnico em geoprocessamento</v>
      </c>
      <c r="D12" s="134" t="s">
        <v>15</v>
      </c>
      <c r="E12" s="182">
        <v>1</v>
      </c>
      <c r="F12" s="159">
        <f>'Preços de Referência'!$O$28*40</f>
        <v>293.32</v>
      </c>
      <c r="G12" s="88">
        <f>VLOOKUP(B12,'Preços de Referência'!$A$5:$C$103,3,FALSE)</f>
        <v>6120.29</v>
      </c>
      <c r="H12" s="88">
        <f>G12/'Preços de Referência'!$O$30</f>
        <v>33.537673297166968</v>
      </c>
      <c r="I12" s="91">
        <f t="shared" si="0"/>
        <v>9837.2703315250146</v>
      </c>
      <c r="J12" s="99"/>
    </row>
    <row r="13" spans="1:10" ht="15.75">
      <c r="A13" s="128" t="s">
        <v>21</v>
      </c>
      <c r="B13" s="107"/>
      <c r="C13" s="126" t="s">
        <v>22</v>
      </c>
      <c r="D13" s="107"/>
      <c r="E13" s="196"/>
      <c r="F13" s="107"/>
      <c r="G13" s="107"/>
      <c r="H13" s="123"/>
      <c r="I13" s="100">
        <f>I14</f>
        <v>317.41219999999998</v>
      </c>
      <c r="J13" s="99"/>
    </row>
    <row r="14" spans="1:10" ht="28.5" customHeight="1">
      <c r="A14" s="106"/>
      <c r="B14" s="84" t="s">
        <v>23</v>
      </c>
      <c r="C14" s="125" t="str">
        <f>VLOOKUP(B14,'Preços de Referência'!$E$4:$P$5,2,FALSE)</f>
        <v>Veículo leve picape 4 x 4 com capacidade de 1,10 t - 147 kW (sem motorista)</v>
      </c>
      <c r="D14" s="134" t="s">
        <v>15</v>
      </c>
      <c r="E14" s="182">
        <v>1</v>
      </c>
      <c r="F14" s="159">
        <v>7</v>
      </c>
      <c r="G14" s="88">
        <f>VLOOKUP(B14,'Preços de Referência'!$E$4:$P$5,10,FALSE)</f>
        <v>8274.9513000000006</v>
      </c>
      <c r="H14" s="88">
        <f>VLOOKUP(B14,'Preços de Referência'!$E$4:$P$5,12,FALSE)</f>
        <v>45.3446</v>
      </c>
      <c r="I14" s="91">
        <f>H14*F14*E14</f>
        <v>317.41219999999998</v>
      </c>
      <c r="J14" s="99"/>
    </row>
    <row r="15" spans="1:10" ht="30" hidden="1">
      <c r="A15" s="128" t="s">
        <v>24</v>
      </c>
      <c r="B15" s="107"/>
      <c r="C15" s="126" t="s">
        <v>25</v>
      </c>
      <c r="D15" s="107"/>
      <c r="E15" s="196"/>
      <c r="F15" s="107"/>
      <c r="G15" s="107"/>
      <c r="H15" s="123"/>
      <c r="I15" s="100">
        <v>0</v>
      </c>
      <c r="J15" s="99"/>
    </row>
    <row r="16" spans="1:10" ht="15.75" hidden="1">
      <c r="A16" s="106"/>
      <c r="B16" s="80" t="s">
        <v>26</v>
      </c>
      <c r="C16" s="125" t="s">
        <v>27</v>
      </c>
      <c r="D16" s="134" t="s">
        <v>15</v>
      </c>
      <c r="E16" s="182">
        <v>6</v>
      </c>
      <c r="F16" s="81">
        <f>'Preços de Referência'!$O$28*5</f>
        <v>36.664999999999999</v>
      </c>
      <c r="G16" s="81">
        <v>223.422507</v>
      </c>
      <c r="H16" s="88">
        <v>1.2242999999999999</v>
      </c>
      <c r="I16" s="91">
        <f>H16*F16*E16</f>
        <v>269.33375699999999</v>
      </c>
      <c r="J16" s="99"/>
    </row>
    <row r="17" spans="1:10" ht="28.5" hidden="1">
      <c r="A17" s="106"/>
      <c r="B17" s="80" t="s">
        <v>28</v>
      </c>
      <c r="C17" s="125" t="s">
        <v>29</v>
      </c>
      <c r="D17" s="134" t="s">
        <v>15</v>
      </c>
      <c r="E17" s="182">
        <v>1</v>
      </c>
      <c r="F17" s="81">
        <f>'Preços de Referência'!$O$28*5</f>
        <v>36.664999999999999</v>
      </c>
      <c r="G17" s="81">
        <f>E17*F17</f>
        <v>36.664999999999999</v>
      </c>
      <c r="H17" s="88">
        <v>5.16</v>
      </c>
      <c r="I17" s="91">
        <f>H17*F17*E17</f>
        <v>189.19139999999999</v>
      </c>
      <c r="J17" s="99"/>
    </row>
    <row r="18" spans="1:10" ht="15.75" hidden="1">
      <c r="A18" s="128" t="s">
        <v>30</v>
      </c>
      <c r="B18" s="107"/>
      <c r="C18" s="126" t="s">
        <v>31</v>
      </c>
      <c r="D18" s="107"/>
      <c r="E18" s="196"/>
      <c r="F18" s="107"/>
      <c r="G18" s="107"/>
      <c r="H18" s="123"/>
      <c r="I18" s="100">
        <v>0</v>
      </c>
      <c r="J18" s="99"/>
    </row>
    <row r="19" spans="1:10" ht="15.75" hidden="1">
      <c r="A19" s="129" t="s">
        <v>32</v>
      </c>
      <c r="B19" s="108"/>
      <c r="C19" s="127" t="s">
        <v>33</v>
      </c>
      <c r="D19" s="108"/>
      <c r="E19" s="197"/>
      <c r="F19" s="108"/>
      <c r="G19" s="108"/>
      <c r="H19" s="124"/>
      <c r="I19" s="101"/>
      <c r="J19" s="99"/>
    </row>
    <row r="20" spans="1:10" ht="28.5" hidden="1">
      <c r="A20" s="106"/>
      <c r="B20" s="80" t="s">
        <v>34</v>
      </c>
      <c r="C20" s="125" t="str">
        <f>VLOOKUP(B20,'Preços de Referência'!$F$74:$J$83,2,FALSE)</f>
        <v>Comercial (2,60% do CMCC - SINAPI)</v>
      </c>
      <c r="D20" s="80" t="str">
        <f>VLOOKUP(B20,'Preços de Referência'!$F$74:$J$83,4,FALSE)</f>
        <v>m² x mês</v>
      </c>
      <c r="E20" s="182">
        <f>12.41*6</f>
        <v>74.460000000000008</v>
      </c>
      <c r="F20" s="81">
        <f>'Preços de Referência'!$O$28*5</f>
        <v>36.664999999999999</v>
      </c>
      <c r="G20" s="89">
        <f>VLOOKUP(B20,'Preços de Referência'!$F$74:$J$83,5,FALSE)</f>
        <v>47.75</v>
      </c>
      <c r="H20" s="88">
        <f>G20/'Preços de Referência'!$O$30</f>
        <v>0.26165817305057809</v>
      </c>
      <c r="I20" s="91">
        <v>0</v>
      </c>
      <c r="J20" s="99"/>
    </row>
    <row r="21" spans="1:10" ht="15.75" hidden="1">
      <c r="A21" s="129" t="s">
        <v>35</v>
      </c>
      <c r="B21" s="108"/>
      <c r="C21" s="127" t="s">
        <v>36</v>
      </c>
      <c r="D21" s="108"/>
      <c r="E21" s="197"/>
      <c r="F21" s="108"/>
      <c r="G21" s="108"/>
      <c r="H21" s="124"/>
      <c r="I21" s="101"/>
      <c r="J21" s="99"/>
    </row>
    <row r="22" spans="1:10" ht="15.75" hidden="1">
      <c r="A22" s="106"/>
      <c r="B22" s="80" t="s">
        <v>37</v>
      </c>
      <c r="C22" s="125" t="str">
        <f>VLOOKUP(B22,'Preços de Referência'!$F$74:$J$83,2,FALSE)</f>
        <v>Escritório</v>
      </c>
      <c r="D22" s="80" t="str">
        <f>VLOOKUP(B22,'Preços de Referência'!$F$74:$J$83,4,FALSE)</f>
        <v>ocupante x mês</v>
      </c>
      <c r="E22" s="182">
        <v>6</v>
      </c>
      <c r="F22" s="81">
        <f>'Preços de Referência'!$O$28*5</f>
        <v>36.664999999999999</v>
      </c>
      <c r="G22" s="89">
        <f>VLOOKUP(B22,'Preços de Referência'!$F$74:$J$83,5,FALSE)</f>
        <v>490.4</v>
      </c>
      <c r="H22" s="88">
        <f>G22/'Preços de Referência'!$O$30</f>
        <v>2.6872705353718009</v>
      </c>
      <c r="I22" s="91">
        <f>H22*F22*E22</f>
        <v>591.17264507644245</v>
      </c>
      <c r="J22" s="99"/>
    </row>
    <row r="23" spans="1:10" ht="15.75" hidden="1">
      <c r="A23" s="129" t="s">
        <v>38</v>
      </c>
      <c r="B23" s="108"/>
      <c r="C23" s="127" t="s">
        <v>39</v>
      </c>
      <c r="D23" s="108"/>
      <c r="E23" s="197"/>
      <c r="F23" s="108"/>
      <c r="G23" s="108"/>
      <c r="H23" s="124"/>
      <c r="I23" s="101"/>
      <c r="J23" s="99"/>
    </row>
    <row r="24" spans="1:10" ht="15.75" hidden="1">
      <c r="A24" s="106"/>
      <c r="B24" s="80" t="s">
        <v>40</v>
      </c>
      <c r="C24" s="125" t="str">
        <f>VLOOKUP(B24,'Preços de Referência'!$F$74:$J$83,2,FALSE)</f>
        <v>Escritório</v>
      </c>
      <c r="D24" s="80" t="str">
        <f>VLOOKUP(B24,'Preços de Referência'!$F$74:$J$83,4,FALSE)</f>
        <v>ocupante x mês</v>
      </c>
      <c r="E24" s="182">
        <v>6</v>
      </c>
      <c r="F24" s="81">
        <f>'Preços de Referência'!$O$28*5</f>
        <v>36.664999999999999</v>
      </c>
      <c r="G24" s="89">
        <f>VLOOKUP(B24,'Preços de Referência'!$F$74:$J$83,5,FALSE)</f>
        <v>135.22</v>
      </c>
      <c r="H24" s="88">
        <f>G24/'Preços de Referência'!$O$30</f>
        <v>0.74097210806071556</v>
      </c>
      <c r="I24" s="91">
        <f>H24*F24*E24</f>
        <v>163.00645405227681</v>
      </c>
      <c r="J24" s="99"/>
    </row>
    <row r="25" spans="1:10" ht="15.75">
      <c r="A25" s="160" t="s">
        <v>24</v>
      </c>
      <c r="B25" s="161"/>
      <c r="C25" s="162" t="s">
        <v>360</v>
      </c>
      <c r="D25" s="161"/>
      <c r="E25" s="198"/>
      <c r="F25" s="161"/>
      <c r="G25" s="161"/>
      <c r="H25" s="161"/>
      <c r="I25" s="163">
        <f>SUM(I26:I27)</f>
        <v>6668.6538</v>
      </c>
    </row>
    <row r="26" spans="1:10" ht="42.75">
      <c r="A26" s="164"/>
      <c r="B26" s="169" t="s">
        <v>198</v>
      </c>
      <c r="C26" s="165" t="str">
        <f>VLOOKUP(B26,'Preços de Referência'!$P$69:$W$70,2,FALSE)</f>
        <v>DIÁRIA (CONF. DECRETO 11.117 PR - CUSTO MEDIANO</v>
      </c>
      <c r="D26" s="134" t="s">
        <v>122</v>
      </c>
      <c r="E26" s="199">
        <v>2</v>
      </c>
      <c r="F26" s="192">
        <v>7</v>
      </c>
      <c r="G26" s="330">
        <f>VLOOKUP(B26,'Preços de Referência'!$P$69:$W$70,6,FALSE)</f>
        <v>380</v>
      </c>
      <c r="H26" s="167"/>
      <c r="I26" s="168">
        <f>E26*F26*G26</f>
        <v>5320</v>
      </c>
    </row>
    <row r="27" spans="1:10" ht="42.75">
      <c r="A27" s="164"/>
      <c r="B27" s="169" t="s">
        <v>194</v>
      </c>
      <c r="C27" s="165" t="str">
        <f>VLOOKUP(B27,'Preços de Referência'!$P$69:$W$70,2,FALSE)</f>
        <v>PASSAGEM AÉREA - DESTINO NACIONAL (Cotação JUL/24)*</v>
      </c>
      <c r="D27" s="134" t="s">
        <v>122</v>
      </c>
      <c r="E27" s="199">
        <v>1</v>
      </c>
      <c r="F27" s="192">
        <v>1</v>
      </c>
      <c r="G27" s="330">
        <f>VLOOKUP(B27,'Preços de Referência'!$P$69:$W$70,6,FALSE)</f>
        <v>1348.6538</v>
      </c>
      <c r="H27" s="167"/>
      <c r="I27" s="168">
        <f>E27*F27*G27</f>
        <v>1348.6538</v>
      </c>
    </row>
    <row r="28" spans="1:10" ht="15.75">
      <c r="A28" s="359"/>
      <c r="B28" s="193"/>
      <c r="C28" s="82"/>
      <c r="D28" s="82"/>
      <c r="E28" s="82"/>
      <c r="F28" s="82"/>
      <c r="G28" s="82"/>
      <c r="H28" s="475" t="s">
        <v>41</v>
      </c>
      <c r="I28" s="92">
        <f>I7+I15+I18+I13+I25</f>
        <v>129535.61692218753</v>
      </c>
      <c r="J28" s="99"/>
    </row>
    <row r="29" spans="1:10" ht="16.5" thickBot="1">
      <c r="A29" s="93"/>
      <c r="B29" s="83"/>
      <c r="C29" s="83"/>
      <c r="D29" s="83"/>
      <c r="E29" s="83"/>
      <c r="F29" s="83"/>
      <c r="G29" s="474" t="s">
        <v>42</v>
      </c>
      <c r="H29" s="252">
        <f>BDI!$D$17</f>
        <v>0.44579999999999997</v>
      </c>
      <c r="I29" s="94">
        <f>I28*H29</f>
        <v>57746.978023911201</v>
      </c>
      <c r="J29" s="99"/>
    </row>
    <row r="30" spans="1:10" ht="26.25" thickBot="1">
      <c r="A30" s="476"/>
      <c r="B30" s="477"/>
      <c r="C30" s="477"/>
      <c r="D30" s="477"/>
      <c r="E30" s="477"/>
      <c r="F30" s="477"/>
      <c r="G30" s="478"/>
      <c r="H30" s="479" t="s">
        <v>524</v>
      </c>
      <c r="I30" s="480">
        <f>1.07765625</f>
        <v>1.07765625</v>
      </c>
    </row>
    <row r="31" spans="1:10" ht="16.5" customHeight="1" thickBot="1">
      <c r="A31" s="360"/>
      <c r="B31" s="194"/>
      <c r="C31" s="194"/>
      <c r="D31" s="95"/>
      <c r="E31" s="95"/>
      <c r="F31" s="95"/>
      <c r="G31" s="95"/>
      <c r="H31" s="181" t="s">
        <v>501</v>
      </c>
      <c r="I31" s="96">
        <f>(I28+I29)*I30</f>
        <v>201826.25895988173</v>
      </c>
      <c r="J31" s="99"/>
    </row>
    <row r="32" spans="1:10" ht="16.5" thickBot="1">
      <c r="A32" s="597"/>
      <c r="B32" s="598"/>
      <c r="C32" s="598"/>
      <c r="D32" s="95"/>
      <c r="E32" s="95"/>
      <c r="F32" s="95"/>
      <c r="G32" s="95"/>
      <c r="H32" s="181" t="s">
        <v>502</v>
      </c>
      <c r="I32" s="96">
        <f>(I31/500)</f>
        <v>403.65251791976345</v>
      </c>
      <c r="J32" s="99"/>
    </row>
    <row r="33" spans="1:10" ht="15.75">
      <c r="A33" s="173"/>
      <c r="F33" s="585" t="s">
        <v>44</v>
      </c>
      <c r="G33" s="586"/>
      <c r="H33" s="586"/>
      <c r="I33" s="594"/>
      <c r="J33" s="99"/>
    </row>
    <row r="34" spans="1:10" ht="15.75">
      <c r="A34" s="173"/>
      <c r="F34" s="109" t="str">
        <f>A2</f>
        <v>Bloco 1</v>
      </c>
      <c r="G34" s="109" t="s">
        <v>45</v>
      </c>
      <c r="H34" s="109" t="s">
        <v>46</v>
      </c>
      <c r="I34" s="174" t="s">
        <v>47</v>
      </c>
      <c r="J34" s="99"/>
    </row>
    <row r="35" spans="1:10" ht="19.5" thickBot="1">
      <c r="A35" s="175"/>
      <c r="B35" s="176"/>
      <c r="C35" s="176"/>
      <c r="D35" s="176"/>
      <c r="E35" s="176"/>
      <c r="F35" s="189">
        <f>A3</f>
        <v>24</v>
      </c>
      <c r="G35" s="189">
        <v>1640</v>
      </c>
      <c r="H35" s="190">
        <f>I32</f>
        <v>403.65251791976345</v>
      </c>
      <c r="I35" s="191">
        <f>G35*H35</f>
        <v>661990.12938841211</v>
      </c>
      <c r="J35" s="99"/>
    </row>
  </sheetData>
  <mergeCells count="9">
    <mergeCell ref="B3:D3"/>
    <mergeCell ref="A32:C32"/>
    <mergeCell ref="F33:I33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37F49-930D-475B-BFB8-AD427AAD3B4F}">
  <sheetPr>
    <tabColor theme="9" tint="0.39997558519241921"/>
    <pageSetUpPr fitToPage="1"/>
  </sheetPr>
  <dimension ref="A1:J39"/>
  <sheetViews>
    <sheetView showGridLines="0" tabSelected="1" zoomScale="80" zoomScaleNormal="80" workbookViewId="0">
      <selection activeCell="A31" sqref="A31:C31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9.28515625" style="3"/>
    <col min="6" max="6" width="12.28515625" style="3" customWidth="1"/>
    <col min="7" max="7" width="17.42578125" style="3" customWidth="1"/>
    <col min="8" max="8" width="17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PRODUTOS!A28</f>
        <v>25</v>
      </c>
      <c r="B3" s="599" t="str">
        <f>PRODUTOS!B28</f>
        <v>ESTUDO DE ANÁLISE DE RISCO – FASE DE OPERAÇÂO</v>
      </c>
      <c r="C3" s="599"/>
      <c r="D3" s="599"/>
      <c r="E3" s="119" t="str">
        <f>PRODUTOS!C28</f>
        <v>EAR.LO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SUM(I8:I12)</f>
        <v>136820.13228818018</v>
      </c>
      <c r="J7" s="99"/>
    </row>
    <row r="8" spans="1:10" ht="27.75" customHeight="1">
      <c r="A8" s="106"/>
      <c r="B8" s="80" t="s">
        <v>215</v>
      </c>
      <c r="C8" s="200" t="str">
        <f>VLOOKUP(B8,'Preços de Referência'!$A$5:$C$103,2,FALSE)</f>
        <v>Engenheiro consultor especial</v>
      </c>
      <c r="D8" s="134" t="s">
        <v>15</v>
      </c>
      <c r="E8" s="182">
        <v>1</v>
      </c>
      <c r="F8" s="159">
        <f>'Preços de Referência'!$O$28*(7)+'Preços de Referência'!$O$30*1.5</f>
        <v>325.06600000000003</v>
      </c>
      <c r="G8" s="88">
        <f>VLOOKUP(B8,'Preços de Referência'!$A$5:$C$103,3,FALSE)</f>
        <v>39556.800000000003</v>
      </c>
      <c r="H8" s="88">
        <f>G8/'Preços de Referência'!$O$30</f>
        <v>216.76146638171954</v>
      </c>
      <c r="I8" s="91">
        <f t="shared" ref="I8:I12" si="0">H8*F8*E8</f>
        <v>70461.782830840049</v>
      </c>
      <c r="J8" s="99"/>
    </row>
    <row r="9" spans="1:10" ht="15.75">
      <c r="A9" s="106"/>
      <c r="B9" s="80" t="s">
        <v>18</v>
      </c>
      <c r="C9" s="200" t="str">
        <f>VLOOKUP(B9,'Preços de Referência'!$A$5:$C$103,2,FALSE)</f>
        <v>Engenheiro ambiental pleno</v>
      </c>
      <c r="D9" s="134" t="s">
        <v>15</v>
      </c>
      <c r="E9" s="182">
        <v>1</v>
      </c>
      <c r="F9" s="159">
        <f>'Preços de Referência'!$O$28*(7+20)</f>
        <v>197.99100000000001</v>
      </c>
      <c r="G9" s="88">
        <f>VLOOKUP(B9,'Preços de Referência'!$A$5:$C$103,3,FALSE)</f>
        <v>24964.47</v>
      </c>
      <c r="H9" s="88">
        <f>G9/'Preços de Referência'!$O$30</f>
        <v>136.79911228012494</v>
      </c>
      <c r="I9" s="91">
        <f t="shared" si="0"/>
        <v>27084.993039454221</v>
      </c>
      <c r="J9" s="99"/>
    </row>
    <row r="10" spans="1:10" ht="15.75">
      <c r="A10" s="106"/>
      <c r="B10" s="80" t="s">
        <v>167</v>
      </c>
      <c r="C10" s="200" t="str">
        <f>VLOOKUP(B10,'Preços de Referência'!$A$5:$C$103,2,FALSE)</f>
        <v>Auxiliar</v>
      </c>
      <c r="D10" s="134" t="s">
        <v>15</v>
      </c>
      <c r="E10" s="182">
        <v>1</v>
      </c>
      <c r="F10" s="159">
        <f>'Preços de Referência'!$O$28*7</f>
        <v>51.331000000000003</v>
      </c>
      <c r="G10" s="88">
        <f>VLOOKUP(B10,'Preços de Referência'!$A$5:$C$103,3,FALSE)</f>
        <v>3986.88</v>
      </c>
      <c r="H10" s="88">
        <f>G10/'Preços de Referência'!$O$30</f>
        <v>21.847114910406049</v>
      </c>
      <c r="I10" s="91">
        <f t="shared" si="0"/>
        <v>1121.4342554660529</v>
      </c>
      <c r="J10" s="99"/>
    </row>
    <row r="11" spans="1:10" ht="15.75">
      <c r="A11" s="106"/>
      <c r="B11" s="80" t="s">
        <v>18</v>
      </c>
      <c r="C11" s="200" t="s">
        <v>381</v>
      </c>
      <c r="D11" s="134" t="s">
        <v>15</v>
      </c>
      <c r="E11" s="182">
        <v>1</v>
      </c>
      <c r="F11" s="159">
        <f>'Preços de Referência'!$O$28*(7+20)</f>
        <v>197.99100000000001</v>
      </c>
      <c r="G11" s="88">
        <f>VLOOKUP(B11,'Preços de Referência'!$A$5:$C$103,3,FALSE)</f>
        <v>24964.47</v>
      </c>
      <c r="H11" s="88">
        <f>G11/'Preços de Referência'!$O$30</f>
        <v>136.79911228012494</v>
      </c>
      <c r="I11" s="91">
        <f t="shared" si="0"/>
        <v>27084.993039454221</v>
      </c>
      <c r="J11" s="99"/>
    </row>
    <row r="12" spans="1:10" ht="28.5">
      <c r="A12" s="106"/>
      <c r="B12" s="80" t="s">
        <v>17</v>
      </c>
      <c r="C12" s="200" t="str">
        <f>VLOOKUP(B12,'Preços de Referência'!$A$5:$C$103,2,FALSE)</f>
        <v>Técnico em geoprocessamento</v>
      </c>
      <c r="D12" s="134" t="s">
        <v>15</v>
      </c>
      <c r="E12" s="182">
        <v>1</v>
      </c>
      <c r="F12" s="159">
        <f>'Preços de Referência'!$O$28*45</f>
        <v>329.98500000000001</v>
      </c>
      <c r="G12" s="88">
        <f>VLOOKUP(B12,'Preços de Referência'!$A$5:$C$103,3,FALSE)</f>
        <v>6120.29</v>
      </c>
      <c r="H12" s="88">
        <f>G12/'Preços de Referência'!$O$30</f>
        <v>33.537673297166968</v>
      </c>
      <c r="I12" s="91">
        <f t="shared" si="0"/>
        <v>11066.929122965643</v>
      </c>
      <c r="J12" s="99"/>
    </row>
    <row r="13" spans="1:10" ht="15.75">
      <c r="A13" s="128" t="s">
        <v>21</v>
      </c>
      <c r="B13" s="107"/>
      <c r="C13" s="126" t="s">
        <v>22</v>
      </c>
      <c r="D13" s="107"/>
      <c r="E13" s="196"/>
      <c r="F13" s="107"/>
      <c r="G13" s="107"/>
      <c r="H13" s="123"/>
      <c r="I13" s="100">
        <f>I14</f>
        <v>317.41219999999998</v>
      </c>
      <c r="J13" s="99"/>
    </row>
    <row r="14" spans="1:10" ht="28.5" customHeight="1">
      <c r="A14" s="106"/>
      <c r="B14" s="84" t="s">
        <v>23</v>
      </c>
      <c r="C14" s="125" t="str">
        <f>VLOOKUP(B14,'Preços de Referência'!$E$4:$P$6,2,FALSE)</f>
        <v>Veículo leve picape 4 x 4 com capacidade de 1,10 t - 147 kW (sem motorista)</v>
      </c>
      <c r="D14" s="134" t="s">
        <v>15</v>
      </c>
      <c r="E14" s="182">
        <v>1</v>
      </c>
      <c r="F14" s="159">
        <v>7</v>
      </c>
      <c r="G14" s="88">
        <f>VLOOKUP(B14,'Preços de Referência'!$E$4:$P$6,10,FALSE)</f>
        <v>8274.9513000000006</v>
      </c>
      <c r="H14" s="88">
        <f>VLOOKUP(B14,'Preços de Referência'!$E$4:$P$5,12,FALSE)</f>
        <v>45.3446</v>
      </c>
      <c r="I14" s="91">
        <f>H14*F14*E14</f>
        <v>317.41219999999998</v>
      </c>
      <c r="J14" s="99"/>
    </row>
    <row r="15" spans="1:10" ht="30">
      <c r="A15" s="128" t="s">
        <v>24</v>
      </c>
      <c r="B15" s="107"/>
      <c r="C15" s="126" t="s">
        <v>25</v>
      </c>
      <c r="D15" s="107"/>
      <c r="E15" s="196"/>
      <c r="F15" s="107" t="s">
        <v>333</v>
      </c>
      <c r="G15" s="107" t="s">
        <v>6</v>
      </c>
      <c r="H15" s="123"/>
      <c r="I15" s="100">
        <f>I16</f>
        <v>70562.7</v>
      </c>
      <c r="J15" s="99"/>
    </row>
    <row r="16" spans="1:10" ht="28.5">
      <c r="A16" s="106"/>
      <c r="B16" s="84" t="s">
        <v>486</v>
      </c>
      <c r="C16" s="125" t="str">
        <f>'Preços de Referência'!F89</f>
        <v>Software de Simulação de cenários acidentais</v>
      </c>
      <c r="D16" s="134" t="s">
        <v>15</v>
      </c>
      <c r="E16" s="182">
        <v>1</v>
      </c>
      <c r="F16" s="159">
        <v>2</v>
      </c>
      <c r="G16" s="88">
        <f>'Preços de Referência'!H89</f>
        <v>35281.35</v>
      </c>
      <c r="H16" s="88"/>
      <c r="I16" s="91">
        <f>E16*F16*G16</f>
        <v>70562.7</v>
      </c>
      <c r="J16" s="99"/>
    </row>
    <row r="17" spans="1:10" ht="15.75" hidden="1">
      <c r="A17" s="128" t="s">
        <v>30</v>
      </c>
      <c r="B17" s="107"/>
      <c r="C17" s="126" t="s">
        <v>31</v>
      </c>
      <c r="D17" s="107"/>
      <c r="E17" s="196"/>
      <c r="F17" s="107"/>
      <c r="G17" s="107"/>
      <c r="H17" s="123"/>
      <c r="I17" s="100">
        <v>0</v>
      </c>
      <c r="J17" s="99"/>
    </row>
    <row r="18" spans="1:10" ht="15.75" hidden="1">
      <c r="A18" s="129" t="s">
        <v>32</v>
      </c>
      <c r="B18" s="108"/>
      <c r="C18" s="127" t="s">
        <v>33</v>
      </c>
      <c r="D18" s="108"/>
      <c r="E18" s="197"/>
      <c r="F18" s="108"/>
      <c r="G18" s="108"/>
      <c r="H18" s="124"/>
      <c r="I18" s="101"/>
      <c r="J18" s="99"/>
    </row>
    <row r="19" spans="1:10" ht="28.5" hidden="1">
      <c r="A19" s="106"/>
      <c r="B19" s="80" t="s">
        <v>34</v>
      </c>
      <c r="C19" s="125" t="str">
        <f>VLOOKUP(B19,'Preços de Referência'!$F$74:$J$83,2,FALSE)</f>
        <v>Comercial (2,60% do CMCC - SINAPI)</v>
      </c>
      <c r="D19" s="80" t="str">
        <f>VLOOKUP(B19,'Preços de Referência'!$F$74:$J$83,4,FALSE)</f>
        <v>m² x mês</v>
      </c>
      <c r="E19" s="182">
        <f>12.41*6</f>
        <v>74.460000000000008</v>
      </c>
      <c r="F19" s="81">
        <f>'Preços de Referência'!$O$28*5</f>
        <v>36.664999999999999</v>
      </c>
      <c r="G19" s="89">
        <f>VLOOKUP(B19,'Preços de Referência'!$F$74:$J$83,5,FALSE)</f>
        <v>47.75</v>
      </c>
      <c r="H19" s="88">
        <f>G19/'Preços de Referência'!$O$30</f>
        <v>0.26165817305057809</v>
      </c>
      <c r="I19" s="91">
        <v>0</v>
      </c>
      <c r="J19" s="99"/>
    </row>
    <row r="20" spans="1:10" ht="15.75" hidden="1">
      <c r="A20" s="129" t="s">
        <v>35</v>
      </c>
      <c r="B20" s="108"/>
      <c r="C20" s="127" t="s">
        <v>36</v>
      </c>
      <c r="D20" s="108"/>
      <c r="E20" s="197"/>
      <c r="F20" s="108"/>
      <c r="G20" s="108"/>
      <c r="H20" s="124"/>
      <c r="I20" s="101"/>
      <c r="J20" s="99"/>
    </row>
    <row r="21" spans="1:10" ht="15.75" hidden="1">
      <c r="A21" s="106"/>
      <c r="B21" s="80" t="s">
        <v>37</v>
      </c>
      <c r="C21" s="125" t="str">
        <f>VLOOKUP(B21,'Preços de Referência'!$F$74:$J$83,2,FALSE)</f>
        <v>Escritório</v>
      </c>
      <c r="D21" s="80" t="str">
        <f>VLOOKUP(B21,'Preços de Referência'!$F$74:$J$83,4,FALSE)</f>
        <v>ocupante x mês</v>
      </c>
      <c r="E21" s="182">
        <v>6</v>
      </c>
      <c r="F21" s="81">
        <f>'Preços de Referência'!$O$28*5</f>
        <v>36.664999999999999</v>
      </c>
      <c r="G21" s="89">
        <f>VLOOKUP(B21,'Preços de Referência'!$F$74:$J$83,5,FALSE)</f>
        <v>490.4</v>
      </c>
      <c r="H21" s="88">
        <f>G21/'Preços de Referência'!$O$30</f>
        <v>2.6872705353718009</v>
      </c>
      <c r="I21" s="91">
        <f>H21*F21*E21</f>
        <v>591.17264507644245</v>
      </c>
      <c r="J21" s="99"/>
    </row>
    <row r="22" spans="1:10" ht="15.75" hidden="1">
      <c r="A22" s="129" t="s">
        <v>38</v>
      </c>
      <c r="B22" s="108"/>
      <c r="C22" s="127" t="s">
        <v>39</v>
      </c>
      <c r="D22" s="108"/>
      <c r="E22" s="197"/>
      <c r="F22" s="108"/>
      <c r="G22" s="108"/>
      <c r="H22" s="124"/>
      <c r="I22" s="101"/>
      <c r="J22" s="99"/>
    </row>
    <row r="23" spans="1:10" ht="15.75" hidden="1">
      <c r="A23" s="106"/>
      <c r="B23" s="80" t="s">
        <v>40</v>
      </c>
      <c r="C23" s="125" t="str">
        <f>VLOOKUP(B23,'Preços de Referência'!$F$74:$J$83,2,FALSE)</f>
        <v>Escritório</v>
      </c>
      <c r="D23" s="80" t="str">
        <f>VLOOKUP(B23,'Preços de Referência'!$F$74:$J$83,4,FALSE)</f>
        <v>ocupante x mês</v>
      </c>
      <c r="E23" s="182">
        <v>6</v>
      </c>
      <c r="F23" s="81">
        <f>'Preços de Referência'!$O$28*5</f>
        <v>36.664999999999999</v>
      </c>
      <c r="G23" s="89">
        <f>VLOOKUP(B23,'Preços de Referência'!$F$74:$J$83,5,FALSE)</f>
        <v>135.22</v>
      </c>
      <c r="H23" s="88">
        <f>G23/'Preços de Referência'!$O$30</f>
        <v>0.74097210806071556</v>
      </c>
      <c r="I23" s="91">
        <f>H23*F23*E23</f>
        <v>163.00645405227681</v>
      </c>
      <c r="J23" s="99"/>
    </row>
    <row r="24" spans="1:10" ht="15">
      <c r="A24" s="128" t="s">
        <v>30</v>
      </c>
      <c r="B24" s="107"/>
      <c r="C24" s="126" t="s">
        <v>360</v>
      </c>
      <c r="D24" s="107"/>
      <c r="E24" s="196"/>
      <c r="F24" s="107"/>
      <c r="G24" s="107"/>
      <c r="H24" s="123"/>
      <c r="I24" s="100">
        <f>SUM(I25:I26)</f>
        <v>6668.6538</v>
      </c>
    </row>
    <row r="25" spans="1:10" ht="42.75">
      <c r="A25" s="164"/>
      <c r="B25" s="169" t="s">
        <v>198</v>
      </c>
      <c r="C25" s="165" t="str">
        <f>VLOOKUP(B25,'Preços de Referência'!$P$69:$W$70,2,FALSE)</f>
        <v>DIÁRIA (CONF. DECRETO 11.117 PR - CUSTO MEDIANO</v>
      </c>
      <c r="D25" s="134" t="s">
        <v>122</v>
      </c>
      <c r="E25" s="199">
        <v>2</v>
      </c>
      <c r="F25" s="192">
        <v>7</v>
      </c>
      <c r="G25" s="330">
        <f>VLOOKUP(B25,'Preços de Referência'!$P$69:$W$70,6,FALSE)</f>
        <v>380</v>
      </c>
      <c r="H25" s="167"/>
      <c r="I25" s="168">
        <f>E25*F25*G25</f>
        <v>5320</v>
      </c>
    </row>
    <row r="26" spans="1:10" ht="42.75">
      <c r="A26" s="164"/>
      <c r="B26" s="169" t="s">
        <v>194</v>
      </c>
      <c r="C26" s="165" t="str">
        <f>VLOOKUP(B26,'Preços de Referência'!$P$69:$W$70,2,FALSE)</f>
        <v>PASSAGEM AÉREA - DESTINO NACIONAL (Cotação JUL/24)*</v>
      </c>
      <c r="D26" s="134" t="s">
        <v>122</v>
      </c>
      <c r="E26" s="199">
        <v>1</v>
      </c>
      <c r="F26" s="192">
        <v>1</v>
      </c>
      <c r="G26" s="330">
        <f>VLOOKUP(B26,'Preços de Referência'!$P$69:$W$70,6,FALSE)</f>
        <v>1348.6538</v>
      </c>
      <c r="H26" s="167"/>
      <c r="I26" s="168">
        <f>E26*F26*G26</f>
        <v>1348.6538</v>
      </c>
    </row>
    <row r="27" spans="1:10" ht="15.75">
      <c r="A27" s="359"/>
      <c r="B27" s="193"/>
      <c r="C27" s="82"/>
      <c r="D27" s="82"/>
      <c r="E27" s="82"/>
      <c r="F27" s="82"/>
      <c r="G27" s="82"/>
      <c r="H27" s="475" t="s">
        <v>41</v>
      </c>
      <c r="I27" s="92">
        <f>I7+I15+I17+I13+I24</f>
        <v>214368.89828818018</v>
      </c>
      <c r="J27" s="99"/>
    </row>
    <row r="28" spans="1:10" ht="16.5" thickBot="1">
      <c r="A28" s="93"/>
      <c r="B28" s="83"/>
      <c r="C28" s="83"/>
      <c r="D28" s="83"/>
      <c r="E28" s="83"/>
      <c r="F28" s="83"/>
      <c r="G28" s="474" t="s">
        <v>42</v>
      </c>
      <c r="H28" s="252">
        <f>BDI!$D$17</f>
        <v>0.44579999999999997</v>
      </c>
      <c r="I28" s="94">
        <f>I27*H28</f>
        <v>95565.654856870722</v>
      </c>
      <c r="J28" s="99"/>
    </row>
    <row r="29" spans="1:10" ht="26.25" thickBot="1">
      <c r="A29" s="476"/>
      <c r="B29" s="477"/>
      <c r="C29" s="477"/>
      <c r="D29" s="477"/>
      <c r="E29" s="477"/>
      <c r="F29" s="477"/>
      <c r="G29" s="478"/>
      <c r="H29" s="479" t="s">
        <v>524</v>
      </c>
      <c r="I29" s="480">
        <f>1.07765625</f>
        <v>1.07765625</v>
      </c>
    </row>
    <row r="30" spans="1:10" ht="16.5" customHeight="1" thickBot="1">
      <c r="A30" s="360"/>
      <c r="B30" s="194"/>
      <c r="C30" s="194"/>
      <c r="D30" s="95"/>
      <c r="E30" s="95"/>
      <c r="F30" s="95"/>
      <c r="G30" s="95"/>
      <c r="H30" s="181" t="s">
        <v>501</v>
      </c>
      <c r="I30" s="96">
        <f>(I27+I28)*I29</f>
        <v>334002.90828772122</v>
      </c>
      <c r="J30" s="99"/>
    </row>
    <row r="31" spans="1:10" ht="16.5" thickBot="1">
      <c r="A31" s="597"/>
      <c r="B31" s="598"/>
      <c r="C31" s="598"/>
      <c r="D31" s="95"/>
      <c r="E31" s="95"/>
      <c r="F31" s="95"/>
      <c r="G31" s="95"/>
      <c r="H31" s="181" t="s">
        <v>502</v>
      </c>
      <c r="I31" s="96">
        <f>(I30/500)</f>
        <v>668.0058165754424</v>
      </c>
      <c r="J31" s="99"/>
    </row>
    <row r="32" spans="1:10" ht="15.75">
      <c r="A32" s="173"/>
      <c r="F32" s="585" t="s">
        <v>44</v>
      </c>
      <c r="G32" s="586"/>
      <c r="H32" s="586"/>
      <c r="I32" s="594"/>
      <c r="J32" s="99"/>
    </row>
    <row r="33" spans="1:10" ht="15.75">
      <c r="A33" s="173"/>
      <c r="F33" s="109" t="str">
        <f>A2</f>
        <v>Bloco 1</v>
      </c>
      <c r="G33" s="109" t="s">
        <v>45</v>
      </c>
      <c r="H33" s="109" t="s">
        <v>46</v>
      </c>
      <c r="I33" s="174" t="s">
        <v>47</v>
      </c>
      <c r="J33" s="99"/>
    </row>
    <row r="34" spans="1:10" ht="19.5" thickBot="1">
      <c r="A34" s="175"/>
      <c r="B34" s="176"/>
      <c r="C34" s="176"/>
      <c r="D34" s="176"/>
      <c r="E34" s="176"/>
      <c r="F34" s="189">
        <f>A3</f>
        <v>25</v>
      </c>
      <c r="G34" s="189">
        <v>1640</v>
      </c>
      <c r="H34" s="190">
        <f>I31</f>
        <v>668.0058165754424</v>
      </c>
      <c r="I34" s="191">
        <f>G34*H34</f>
        <v>1095529.5391837256</v>
      </c>
      <c r="J34" s="99"/>
    </row>
    <row r="39" spans="1:10" ht="30" customHeight="1"/>
  </sheetData>
  <mergeCells count="9">
    <mergeCell ref="B3:D3"/>
    <mergeCell ref="A31:C31"/>
    <mergeCell ref="F32:I32"/>
    <mergeCell ref="G5:I5"/>
    <mergeCell ref="A5:A6"/>
    <mergeCell ref="B5:B6"/>
    <mergeCell ref="C5:C6"/>
    <mergeCell ref="D5:D6"/>
    <mergeCell ref="E5:F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A16C5-263E-4DC2-9716-E33AE1E2D5D6}">
  <sheetPr codeName="Planilha3">
    <tabColor theme="1"/>
    <pageSetUpPr fitToPage="1"/>
  </sheetPr>
  <dimension ref="A1:AA167"/>
  <sheetViews>
    <sheetView showGridLines="0" view="pageBreakPreview" topLeftCell="J6" zoomScale="50" zoomScaleNormal="25" zoomScaleSheetLayoutView="50" workbookViewId="0">
      <selection activeCell="X70" sqref="X70"/>
    </sheetView>
  </sheetViews>
  <sheetFormatPr defaultColWidth="8.7109375" defaultRowHeight="12.75"/>
  <cols>
    <col min="1" max="1" width="11" style="27" customWidth="1"/>
    <col min="2" max="2" width="40.42578125" style="28" customWidth="1"/>
    <col min="3" max="3" width="16.140625" style="27" customWidth="1"/>
    <col min="4" max="4" width="6.42578125" style="28" customWidth="1"/>
    <col min="5" max="5" width="12" style="28" customWidth="1"/>
    <col min="6" max="6" width="38.85546875" style="28" customWidth="1"/>
    <col min="7" max="7" width="43.5703125" style="28" customWidth="1"/>
    <col min="8" max="8" width="22.7109375" style="41" customWidth="1"/>
    <col min="9" max="9" width="26.7109375" style="41" customWidth="1"/>
    <col min="10" max="10" width="21.85546875" style="41" customWidth="1"/>
    <col min="11" max="11" width="20.5703125" style="28" customWidth="1"/>
    <col min="12" max="12" width="16.85546875" style="28" customWidth="1"/>
    <col min="13" max="13" width="15" style="28" bestFit="1" customWidth="1"/>
    <col min="14" max="14" width="16.28515625" style="28" bestFit="1" customWidth="1"/>
    <col min="15" max="15" width="18.28515625" style="28" customWidth="1"/>
    <col min="16" max="16" width="17.5703125" style="28" customWidth="1"/>
    <col min="17" max="17" width="47.28515625" style="28" customWidth="1"/>
    <col min="18" max="18" width="10" style="28" bestFit="1" customWidth="1"/>
    <col min="19" max="19" width="8.7109375" style="28"/>
    <col min="20" max="20" width="10.5703125" style="28" bestFit="1" customWidth="1"/>
    <col min="21" max="21" width="16.140625" style="28" bestFit="1" customWidth="1"/>
    <col min="22" max="22" width="14.28515625" style="28" bestFit="1" customWidth="1"/>
    <col min="23" max="23" width="14.85546875" style="28" bestFit="1" customWidth="1"/>
    <col min="24" max="26" width="8.7109375" style="28"/>
    <col min="27" max="27" width="23.28515625" style="28" customWidth="1"/>
    <col min="28" max="16384" width="8.7109375" style="28"/>
  </cols>
  <sheetData>
    <row r="1" spans="1:27" ht="42" customHeight="1" thickBot="1">
      <c r="A1" s="570" t="s">
        <v>530</v>
      </c>
      <c r="B1" s="571"/>
      <c r="C1" s="571"/>
      <c r="E1" s="527" t="s">
        <v>22</v>
      </c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34">
        <v>45292</v>
      </c>
      <c r="S1" s="482"/>
      <c r="T1" s="341"/>
      <c r="U1" s="341"/>
      <c r="V1" s="341"/>
      <c r="W1" s="341"/>
      <c r="X1" s="341"/>
      <c r="Y1" s="341"/>
      <c r="Z1" s="341"/>
      <c r="AA1" s="483"/>
    </row>
    <row r="2" spans="1:27" ht="14.1" customHeight="1">
      <c r="A2" s="284"/>
      <c r="B2" s="285" t="s">
        <v>106</v>
      </c>
      <c r="C2" s="286">
        <v>45200</v>
      </c>
      <c r="E2" s="581" t="s">
        <v>75</v>
      </c>
      <c r="F2" s="573" t="s">
        <v>76</v>
      </c>
      <c r="G2" s="579" t="s">
        <v>7</v>
      </c>
      <c r="H2" s="575" t="s">
        <v>110</v>
      </c>
      <c r="I2" s="576"/>
      <c r="J2" s="577" t="s">
        <v>111</v>
      </c>
      <c r="K2" s="578"/>
      <c r="L2" s="575" t="s">
        <v>6</v>
      </c>
      <c r="M2" s="576"/>
      <c r="N2" s="573" t="s">
        <v>78</v>
      </c>
      <c r="O2" s="573" t="s">
        <v>112</v>
      </c>
      <c r="P2" s="573" t="s">
        <v>110</v>
      </c>
      <c r="Q2" s="519" t="s">
        <v>126</v>
      </c>
      <c r="S2" s="40"/>
      <c r="AA2" s="42"/>
    </row>
    <row r="3" spans="1:27" ht="15" customHeight="1" thickBot="1">
      <c r="A3" s="572" t="s">
        <v>107</v>
      </c>
      <c r="B3" s="572" t="s">
        <v>108</v>
      </c>
      <c r="C3" s="287" t="s">
        <v>109</v>
      </c>
      <c r="E3" s="582"/>
      <c r="F3" s="574"/>
      <c r="G3" s="580"/>
      <c r="H3" s="442" t="s">
        <v>114</v>
      </c>
      <c r="I3" s="443" t="s">
        <v>115</v>
      </c>
      <c r="J3" s="444" t="s">
        <v>116</v>
      </c>
      <c r="K3" s="445" t="s">
        <v>117</v>
      </c>
      <c r="L3" s="442" t="s">
        <v>118</v>
      </c>
      <c r="M3" s="443" t="s">
        <v>119</v>
      </c>
      <c r="N3" s="574"/>
      <c r="O3" s="574"/>
      <c r="P3" s="574"/>
      <c r="Q3" s="520"/>
      <c r="S3" s="40"/>
      <c r="AA3" s="42"/>
    </row>
    <row r="4" spans="1:27" ht="16.5" customHeight="1">
      <c r="A4" s="572"/>
      <c r="B4" s="572"/>
      <c r="C4" s="287" t="s">
        <v>113</v>
      </c>
      <c r="E4" s="67" t="s">
        <v>121</v>
      </c>
      <c r="F4" s="459" t="s">
        <v>453</v>
      </c>
      <c r="G4" s="68" t="s">
        <v>455</v>
      </c>
      <c r="H4" s="438">
        <v>33.58</v>
      </c>
      <c r="I4" s="439">
        <v>6.38</v>
      </c>
      <c r="J4" s="320">
        <f>$H$11</f>
        <v>66</v>
      </c>
      <c r="K4" s="76">
        <f>$I$11</f>
        <v>116.49</v>
      </c>
      <c r="L4" s="440">
        <f>IF(H4=""," ",(ROUND(H4*J4,4)))</f>
        <v>2216.2800000000002</v>
      </c>
      <c r="M4" s="441">
        <f>IF(I4=""," ",ROUND(I4*K4,4))</f>
        <v>743.20619999999997</v>
      </c>
      <c r="N4" s="446">
        <f>IF(L4=" "," ",ROUND(L4+M4,4))</f>
        <v>2959.4861999999998</v>
      </c>
      <c r="O4" s="449">
        <f>$H$12</f>
        <v>182.49</v>
      </c>
      <c r="P4" s="455">
        <f>IF(N4=" "," ",TRUNC(N4/O4,4))</f>
        <v>16.217199999999998</v>
      </c>
      <c r="Q4" s="452">
        <f>N4/30</f>
        <v>98.649539999999988</v>
      </c>
      <c r="S4" s="40"/>
      <c r="AA4" s="42"/>
    </row>
    <row r="5" spans="1:27" ht="25.5">
      <c r="A5" s="78" t="s">
        <v>127</v>
      </c>
      <c r="B5" s="77" t="s">
        <v>83</v>
      </c>
      <c r="C5" s="79">
        <v>9152.0499999999993</v>
      </c>
      <c r="E5" s="322" t="s">
        <v>23</v>
      </c>
      <c r="F5" s="460" t="s">
        <v>454</v>
      </c>
      <c r="G5" s="319" t="s">
        <v>455</v>
      </c>
      <c r="H5" s="328">
        <v>80.599999999999994</v>
      </c>
      <c r="I5" s="429">
        <v>25.37</v>
      </c>
      <c r="J5" s="265">
        <f>$H$11</f>
        <v>66</v>
      </c>
      <c r="K5" s="264">
        <f>$I$11</f>
        <v>116.49</v>
      </c>
      <c r="L5" s="433">
        <f>IF(H5=""," ",(ROUND(H5*J5,4)))</f>
        <v>5319.6</v>
      </c>
      <c r="M5" s="434">
        <f t="shared" ref="M5" si="0">IF(I5=""," ",ROUND(I5*K5,4))</f>
        <v>2955.3512999999998</v>
      </c>
      <c r="N5" s="447">
        <f>IF(L5=" "," ",ROUND(L5+M5,4))</f>
        <v>8274.9513000000006</v>
      </c>
      <c r="O5" s="450">
        <f>$H$12</f>
        <v>182.49</v>
      </c>
      <c r="P5" s="456">
        <f>IF(N5=" "," ",TRUNC(N5/O5,4))</f>
        <v>45.3446</v>
      </c>
      <c r="Q5" s="453">
        <f>N5/30</f>
        <v>275.83171000000004</v>
      </c>
      <c r="S5" s="40"/>
      <c r="AA5" s="42"/>
    </row>
    <row r="6" spans="1:27" ht="26.25" thickBot="1">
      <c r="A6" s="78" t="s">
        <v>128</v>
      </c>
      <c r="B6" s="77" t="s">
        <v>84</v>
      </c>
      <c r="C6" s="79">
        <v>11859.37</v>
      </c>
      <c r="E6" s="38" t="s">
        <v>451</v>
      </c>
      <c r="F6" s="461" t="s">
        <v>452</v>
      </c>
      <c r="G6" s="458" t="s">
        <v>455</v>
      </c>
      <c r="H6" s="430">
        <v>81.2</v>
      </c>
      <c r="I6" s="431">
        <v>43.68</v>
      </c>
      <c r="J6" s="437">
        <f>$H$11</f>
        <v>66</v>
      </c>
      <c r="K6" s="432">
        <f>$I$11</f>
        <v>116.49</v>
      </c>
      <c r="L6" s="435">
        <f>IF(H6=""," ",(ROUND(H6*J6,4)))</f>
        <v>5359.2</v>
      </c>
      <c r="M6" s="436">
        <f t="shared" ref="M6" si="1">IF(I6=""," ",ROUND(I6*K6,4))</f>
        <v>5088.2831999999999</v>
      </c>
      <c r="N6" s="448">
        <f>IF(L6=" "," ",ROUND(L6+M6,4))</f>
        <v>10447.483200000001</v>
      </c>
      <c r="O6" s="451">
        <f>$H$12</f>
        <v>182.49</v>
      </c>
      <c r="P6" s="457">
        <f>IF(N6=" "," ",TRUNC(N6/O6,4))</f>
        <v>57.249600000000001</v>
      </c>
      <c r="Q6" s="454">
        <f>N6/30</f>
        <v>348.24943999999999</v>
      </c>
      <c r="S6" s="40"/>
      <c r="AA6" s="42"/>
    </row>
    <row r="7" spans="1:27" ht="14.45" customHeight="1">
      <c r="A7" s="78" t="s">
        <v>129</v>
      </c>
      <c r="B7" s="77" t="s">
        <v>130</v>
      </c>
      <c r="C7" s="79">
        <v>21021.18</v>
      </c>
      <c r="E7" s="40"/>
      <c r="H7" s="28"/>
      <c r="I7" s="28"/>
      <c r="J7" s="28"/>
      <c r="Q7" s="323"/>
      <c r="S7" s="40"/>
      <c r="AA7" s="42"/>
    </row>
    <row r="8" spans="1:27" ht="14.45" customHeight="1">
      <c r="A8" s="78" t="s">
        <v>132</v>
      </c>
      <c r="B8" s="77" t="s">
        <v>133</v>
      </c>
      <c r="C8" s="79">
        <v>9557.61</v>
      </c>
      <c r="E8" s="37"/>
      <c r="F8" s="27"/>
      <c r="H8" s="27"/>
      <c r="I8" s="316"/>
      <c r="Q8" s="42"/>
      <c r="S8" s="40"/>
      <c r="AA8" s="42"/>
    </row>
    <row r="9" spans="1:27" ht="14.45" customHeight="1">
      <c r="A9" s="78" t="s">
        <v>136</v>
      </c>
      <c r="B9" s="77" t="s">
        <v>85</v>
      </c>
      <c r="C9" s="79">
        <v>11040.48</v>
      </c>
      <c r="E9" s="37"/>
      <c r="F9" s="27"/>
      <c r="H9" s="521" t="s">
        <v>131</v>
      </c>
      <c r="I9" s="522"/>
      <c r="K9" s="316"/>
      <c r="L9" s="317" t="str">
        <f>IF(I8=""," ",(ROUND(I8*I10,4)))</f>
        <v xml:space="preserve"> </v>
      </c>
      <c r="M9" s="317" t="e">
        <f>IF(H9=""," ",ROUND(H9*K9,4))</f>
        <v>#VALUE!</v>
      </c>
      <c r="N9" s="317" t="str">
        <f>IF(L9=" "," ",ROUND(L9+M9,4))</f>
        <v xml:space="preserve"> </v>
      </c>
      <c r="Q9" s="323"/>
      <c r="S9" s="40"/>
      <c r="AA9" s="42"/>
    </row>
    <row r="10" spans="1:27" ht="14.45" customHeight="1">
      <c r="A10" s="78" t="s">
        <v>137</v>
      </c>
      <c r="B10" s="77" t="s">
        <v>138</v>
      </c>
      <c r="C10" s="79">
        <v>18551.73</v>
      </c>
      <c r="E10" s="37"/>
      <c r="F10" s="27"/>
      <c r="H10" s="43" t="s">
        <v>134</v>
      </c>
      <c r="I10" s="44" t="s">
        <v>135</v>
      </c>
      <c r="Q10" s="42"/>
      <c r="S10" s="40"/>
      <c r="AA10" s="42"/>
    </row>
    <row r="11" spans="1:27" ht="14.45" customHeight="1">
      <c r="A11" s="78" t="s">
        <v>149</v>
      </c>
      <c r="B11" s="77" t="s">
        <v>150</v>
      </c>
      <c r="C11" s="79">
        <v>22555.5</v>
      </c>
      <c r="E11" s="29"/>
      <c r="F11" s="25"/>
      <c r="G11" s="26"/>
      <c r="H11" s="45">
        <v>66</v>
      </c>
      <c r="I11" s="46">
        <v>116.49</v>
      </c>
      <c r="Q11" s="42"/>
      <c r="S11" s="40"/>
      <c r="AA11" s="42"/>
    </row>
    <row r="12" spans="1:27" ht="14.25">
      <c r="A12" s="78" t="s">
        <v>151</v>
      </c>
      <c r="B12" s="77" t="s">
        <v>152</v>
      </c>
      <c r="C12" s="79">
        <v>23046.73</v>
      </c>
      <c r="E12" s="29"/>
      <c r="F12" s="25"/>
      <c r="G12" s="26"/>
      <c r="H12" s="554">
        <v>182.49</v>
      </c>
      <c r="I12" s="555"/>
      <c r="Q12" s="42"/>
      <c r="S12" s="40"/>
      <c r="AA12" s="42"/>
    </row>
    <row r="13" spans="1:27" ht="14.25">
      <c r="A13" s="78" t="s">
        <v>153</v>
      </c>
      <c r="B13" s="77" t="s">
        <v>154</v>
      </c>
      <c r="C13" s="79">
        <v>27845.18</v>
      </c>
      <c r="E13" s="29"/>
      <c r="F13" s="25"/>
      <c r="G13" s="26"/>
      <c r="H13" s="539" t="s">
        <v>155</v>
      </c>
      <c r="I13" s="539"/>
      <c r="J13" s="539"/>
      <c r="Q13" s="324"/>
      <c r="S13" s="40"/>
      <c r="AA13" s="42"/>
    </row>
    <row r="14" spans="1:27" ht="14.25">
      <c r="A14" s="78" t="s">
        <v>162</v>
      </c>
      <c r="B14" s="77" t="s">
        <v>163</v>
      </c>
      <c r="C14" s="79">
        <v>6796.14</v>
      </c>
      <c r="E14" s="29"/>
      <c r="F14" s="25"/>
      <c r="G14" s="26"/>
      <c r="H14" s="539"/>
      <c r="I14" s="539"/>
      <c r="J14" s="539"/>
      <c r="Q14" s="324"/>
      <c r="R14" s="48"/>
      <c r="S14" s="40"/>
      <c r="AA14" s="42"/>
    </row>
    <row r="15" spans="1:27" ht="14.25">
      <c r="A15" s="78" t="s">
        <v>164</v>
      </c>
      <c r="B15" s="77" t="s">
        <v>88</v>
      </c>
      <c r="C15" s="79">
        <v>8680.23</v>
      </c>
      <c r="E15" s="29"/>
      <c r="F15" s="25"/>
      <c r="G15" s="26"/>
      <c r="H15" s="539"/>
      <c r="I15" s="539"/>
      <c r="J15" s="539"/>
      <c r="Q15" s="324"/>
      <c r="R15" s="48"/>
      <c r="S15" s="40"/>
      <c r="AA15" s="42"/>
    </row>
    <row r="16" spans="1:27" ht="14.45" customHeight="1">
      <c r="A16" s="78" t="s">
        <v>165</v>
      </c>
      <c r="B16" s="77" t="s">
        <v>166</v>
      </c>
      <c r="C16" s="79">
        <v>13743.73</v>
      </c>
      <c r="E16" s="40"/>
      <c r="H16" s="539"/>
      <c r="I16" s="539"/>
      <c r="J16" s="539"/>
      <c r="Q16" s="324"/>
      <c r="R16" s="48"/>
      <c r="S16" s="40"/>
      <c r="AA16" s="42"/>
    </row>
    <row r="17" spans="1:27" ht="14.1" customHeight="1">
      <c r="A17" s="78" t="s">
        <v>167</v>
      </c>
      <c r="B17" s="77" t="s">
        <v>168</v>
      </c>
      <c r="C17" s="79">
        <v>3986.88</v>
      </c>
      <c r="E17" s="40"/>
      <c r="J17" s="28"/>
      <c r="Q17" s="324"/>
      <c r="R17" s="48"/>
      <c r="S17" s="40"/>
      <c r="AA17" s="42"/>
    </row>
    <row r="18" spans="1:27" ht="14.45" customHeight="1">
      <c r="A18" s="78" t="s">
        <v>169</v>
      </c>
      <c r="B18" s="77" t="s">
        <v>103</v>
      </c>
      <c r="C18" s="79">
        <v>4434.07</v>
      </c>
      <c r="E18" s="40"/>
      <c r="H18" s="25"/>
      <c r="I18" s="27"/>
      <c r="Q18" s="42"/>
      <c r="R18" s="48"/>
      <c r="S18" s="40"/>
      <c r="AA18" s="42"/>
    </row>
    <row r="19" spans="1:27" ht="14.25">
      <c r="A19" s="78" t="s">
        <v>170</v>
      </c>
      <c r="B19" s="77" t="s">
        <v>171</v>
      </c>
      <c r="C19" s="79">
        <v>4260.6099999999997</v>
      </c>
      <c r="D19" s="48"/>
      <c r="E19" s="544" t="s">
        <v>444</v>
      </c>
      <c r="F19" s="545"/>
      <c r="G19" s="545"/>
      <c r="H19" s="25"/>
      <c r="I19" s="27"/>
      <c r="Q19" s="42"/>
      <c r="S19" s="484"/>
      <c r="T19" s="48"/>
      <c r="U19" s="49"/>
      <c r="V19" s="48"/>
      <c r="AA19" s="42"/>
    </row>
    <row r="20" spans="1:27" ht="14.25">
      <c r="A20" s="78" t="s">
        <v>172</v>
      </c>
      <c r="B20" s="77" t="s">
        <v>173</v>
      </c>
      <c r="C20" s="79">
        <v>3972.48</v>
      </c>
      <c r="D20" s="48"/>
      <c r="E20" s="544"/>
      <c r="F20" s="545"/>
      <c r="G20" s="545"/>
      <c r="H20" s="26"/>
      <c r="Q20" s="42"/>
      <c r="S20" s="484"/>
      <c r="T20" s="48"/>
      <c r="U20" s="49"/>
      <c r="V20" s="48"/>
      <c r="AA20" s="42"/>
    </row>
    <row r="21" spans="1:27" ht="14.25" customHeight="1">
      <c r="A21" s="78" t="s">
        <v>174</v>
      </c>
      <c r="B21" s="77" t="s">
        <v>175</v>
      </c>
      <c r="C21" s="79">
        <v>6869.32</v>
      </c>
      <c r="D21" s="48"/>
      <c r="E21" s="544"/>
      <c r="F21" s="545"/>
      <c r="G21" s="545"/>
      <c r="H21"/>
      <c r="Q21" s="42"/>
      <c r="S21" s="484"/>
      <c r="T21" s="48"/>
      <c r="U21" s="49"/>
      <c r="V21" s="48"/>
      <c r="AA21" s="42"/>
    </row>
    <row r="22" spans="1:27" ht="14.25" customHeight="1">
      <c r="A22" s="78" t="s">
        <v>14</v>
      </c>
      <c r="B22" s="77" t="s">
        <v>89</v>
      </c>
      <c r="C22" s="79">
        <v>8782.2099999999991</v>
      </c>
      <c r="D22" s="48"/>
      <c r="E22" s="318"/>
      <c r="F22"/>
      <c r="G22"/>
      <c r="H22"/>
      <c r="Q22" s="42"/>
      <c r="S22" s="484"/>
      <c r="T22" s="48"/>
      <c r="U22" s="49"/>
      <c r="V22" s="48"/>
      <c r="AA22" s="42"/>
    </row>
    <row r="23" spans="1:27" ht="15" thickBot="1">
      <c r="A23" s="78" t="s">
        <v>176</v>
      </c>
      <c r="B23" s="77" t="s">
        <v>177</v>
      </c>
      <c r="C23" s="79">
        <v>14751.92</v>
      </c>
      <c r="D23" s="48"/>
      <c r="E23" s="50"/>
      <c r="F23" s="51"/>
      <c r="G23" s="51"/>
      <c r="H23" s="52"/>
      <c r="I23" s="52"/>
      <c r="J23" s="52"/>
      <c r="K23" s="51"/>
      <c r="L23" s="51"/>
      <c r="M23" s="51"/>
      <c r="N23" s="51"/>
      <c r="O23" s="51"/>
      <c r="P23" s="51"/>
      <c r="Q23" s="325"/>
      <c r="S23" s="484"/>
      <c r="T23" s="48"/>
      <c r="U23" s="49"/>
      <c r="V23" s="48"/>
      <c r="AA23" s="42"/>
    </row>
    <row r="24" spans="1:27" ht="15" thickBot="1">
      <c r="A24" s="78" t="s">
        <v>178</v>
      </c>
      <c r="B24" s="77" t="s">
        <v>179</v>
      </c>
      <c r="C24" s="79">
        <v>7047.93</v>
      </c>
      <c r="D24" s="48"/>
      <c r="Q24" s="47"/>
      <c r="R24" s="48"/>
      <c r="S24" s="484"/>
      <c r="T24" s="48"/>
      <c r="U24" s="49"/>
      <c r="V24" s="48"/>
      <c r="AA24" s="42"/>
    </row>
    <row r="25" spans="1:27" ht="14.25">
      <c r="A25" s="78" t="s">
        <v>180</v>
      </c>
      <c r="B25" s="77" t="s">
        <v>181</v>
      </c>
      <c r="C25" s="79">
        <v>8454.3799999999992</v>
      </c>
      <c r="D25" s="48"/>
      <c r="E25" s="396"/>
      <c r="F25" s="397"/>
      <c r="G25" s="397"/>
      <c r="H25" s="397"/>
      <c r="I25" s="397"/>
      <c r="J25" s="397"/>
      <c r="K25" s="397"/>
      <c r="L25" s="398"/>
      <c r="M25" s="60"/>
      <c r="N25" s="412" t="s">
        <v>264</v>
      </c>
      <c r="O25" s="413">
        <v>36</v>
      </c>
      <c r="P25" s="60"/>
      <c r="R25" s="48"/>
      <c r="S25" s="484"/>
      <c r="T25" s="48"/>
      <c r="U25" s="49"/>
      <c r="V25" s="48"/>
      <c r="AA25" s="42"/>
    </row>
    <row r="26" spans="1:27" ht="26.25" customHeight="1">
      <c r="A26" s="78" t="s">
        <v>182</v>
      </c>
      <c r="B26" s="77" t="s">
        <v>183</v>
      </c>
      <c r="C26" s="79">
        <v>10937.56</v>
      </c>
      <c r="D26" s="48"/>
      <c r="E26" s="361"/>
      <c r="F26" s="60"/>
      <c r="G26" s="60"/>
      <c r="I26" s="36"/>
      <c r="J26" s="36"/>
      <c r="K26" s="36"/>
      <c r="L26" s="362"/>
      <c r="M26" s="36"/>
      <c r="N26" s="414" t="s">
        <v>267</v>
      </c>
      <c r="O26" s="415">
        <v>365.25</v>
      </c>
      <c r="P26" s="36"/>
      <c r="Q26" s="49"/>
      <c r="R26" s="48"/>
      <c r="S26" s="484"/>
      <c r="T26" s="48"/>
      <c r="U26" s="49"/>
      <c r="V26" s="48"/>
      <c r="AA26" s="42"/>
    </row>
    <row r="27" spans="1:27" ht="14.25">
      <c r="A27" s="78" t="s">
        <v>184</v>
      </c>
      <c r="B27" s="77" t="s">
        <v>185</v>
      </c>
      <c r="C27" s="79">
        <v>20049.64</v>
      </c>
      <c r="D27" s="48"/>
      <c r="E27" s="361"/>
      <c r="F27" s="60"/>
      <c r="G27" s="60"/>
      <c r="H27" s="60"/>
      <c r="I27" s="60"/>
      <c r="J27" s="60"/>
      <c r="K27" s="60"/>
      <c r="L27" s="399"/>
      <c r="M27" s="36"/>
      <c r="N27" s="414" t="s">
        <v>270</v>
      </c>
      <c r="O27" s="415">
        <v>298.63</v>
      </c>
      <c r="P27" s="57"/>
      <c r="Q27" s="49"/>
      <c r="R27" s="48"/>
      <c r="S27" s="484"/>
      <c r="T27" s="48"/>
      <c r="U27" s="49"/>
      <c r="V27" s="48"/>
      <c r="AA27" s="42"/>
    </row>
    <row r="28" spans="1:27" ht="14.45" customHeight="1">
      <c r="A28" s="78" t="s">
        <v>186</v>
      </c>
      <c r="B28" s="77" t="s">
        <v>90</v>
      </c>
      <c r="C28" s="79">
        <v>34290.74</v>
      </c>
      <c r="D28" s="48"/>
      <c r="E28" s="363"/>
      <c r="F28" s="373"/>
      <c r="G28" s="368"/>
      <c r="H28" s="55"/>
      <c r="I28" s="55"/>
      <c r="J28" s="55"/>
      <c r="K28" s="56"/>
      <c r="L28" s="400"/>
      <c r="M28" s="55"/>
      <c r="N28" s="414" t="s">
        <v>273</v>
      </c>
      <c r="O28" s="415">
        <v>7.3330000000000002</v>
      </c>
      <c r="P28" s="369"/>
      <c r="Q28" s="49"/>
      <c r="R28" s="48"/>
      <c r="S28" s="484"/>
      <c r="T28" s="48"/>
      <c r="U28" s="49"/>
      <c r="V28" s="48"/>
      <c r="AA28" s="42"/>
    </row>
    <row r="29" spans="1:27" ht="14.25">
      <c r="A29" s="78" t="s">
        <v>187</v>
      </c>
      <c r="B29" s="77" t="s">
        <v>91</v>
      </c>
      <c r="C29" s="79">
        <v>9473.9</v>
      </c>
      <c r="D29" s="48"/>
      <c r="E29" s="363"/>
      <c r="F29" s="373"/>
      <c r="G29" s="368"/>
      <c r="H29" s="55"/>
      <c r="I29" s="55"/>
      <c r="J29" s="55"/>
      <c r="K29" s="56"/>
      <c r="L29" s="400"/>
      <c r="M29" s="27"/>
      <c r="N29" s="414" t="s">
        <v>276</v>
      </c>
      <c r="O29" s="416">
        <v>2189.88</v>
      </c>
      <c r="P29" s="54"/>
      <c r="Q29" s="49"/>
      <c r="R29" s="48"/>
      <c r="S29" s="484"/>
      <c r="T29" s="48"/>
      <c r="U29" s="49"/>
      <c r="V29" s="48"/>
      <c r="AA29" s="42"/>
    </row>
    <row r="30" spans="1:27" ht="14.25">
      <c r="A30" s="78" t="s">
        <v>188</v>
      </c>
      <c r="B30" s="77" t="s">
        <v>189</v>
      </c>
      <c r="C30" s="79">
        <v>12297.17</v>
      </c>
      <c r="D30" s="48"/>
      <c r="E30" s="363"/>
      <c r="F30" s="373"/>
      <c r="G30" s="368"/>
      <c r="H30" s="55"/>
      <c r="I30" s="55"/>
      <c r="J30" s="55"/>
      <c r="K30" s="56"/>
      <c r="L30" s="400"/>
      <c r="M30" s="27"/>
      <c r="N30" s="414" t="s">
        <v>279</v>
      </c>
      <c r="O30" s="415">
        <v>182.49</v>
      </c>
      <c r="P30" s="54"/>
      <c r="Q30" s="35"/>
      <c r="R30" s="35"/>
      <c r="S30" s="485"/>
      <c r="T30" s="48"/>
      <c r="U30" s="49"/>
      <c r="V30" s="48"/>
      <c r="AA30" s="42"/>
    </row>
    <row r="31" spans="1:27" ht="14.45" customHeight="1">
      <c r="A31" s="78" t="s">
        <v>192</v>
      </c>
      <c r="B31" s="77" t="s">
        <v>193</v>
      </c>
      <c r="C31" s="79">
        <v>19971.669999999998</v>
      </c>
      <c r="D31" s="48"/>
      <c r="E31" s="363"/>
      <c r="F31" s="374"/>
      <c r="G31" s="368"/>
      <c r="H31" s="55"/>
      <c r="I31" s="55"/>
      <c r="J31" s="55"/>
      <c r="K31" s="56"/>
      <c r="L31" s="400"/>
      <c r="M31" s="55"/>
      <c r="N31" s="414" t="s">
        <v>282</v>
      </c>
      <c r="O31" s="416">
        <v>1983.5909999999999</v>
      </c>
      <c r="P31" s="369"/>
      <c r="R31" s="553"/>
      <c r="S31" s="486"/>
      <c r="T31" s="48"/>
      <c r="U31" s="49"/>
      <c r="V31" s="48"/>
      <c r="AA31" s="42"/>
    </row>
    <row r="32" spans="1:27" ht="14.25">
      <c r="A32" s="78" t="s">
        <v>204</v>
      </c>
      <c r="B32" s="77" t="s">
        <v>92</v>
      </c>
      <c r="C32" s="79">
        <v>22514.47</v>
      </c>
      <c r="D32" s="48"/>
      <c r="E32" s="363"/>
      <c r="F32" s="374"/>
      <c r="G32" s="368"/>
      <c r="H32" s="55"/>
      <c r="I32" s="55"/>
      <c r="J32" s="55"/>
      <c r="K32" s="56"/>
      <c r="L32" s="400"/>
      <c r="M32" s="27"/>
      <c r="N32" s="417" t="s">
        <v>285</v>
      </c>
      <c r="O32" s="418">
        <f>O30*O25</f>
        <v>6569.64</v>
      </c>
      <c r="P32" s="27"/>
      <c r="R32" s="553"/>
      <c r="S32" s="552"/>
      <c r="T32" s="48"/>
      <c r="U32" s="49"/>
      <c r="V32" s="48"/>
      <c r="AA32" s="42"/>
    </row>
    <row r="33" spans="1:27" ht="14.25">
      <c r="A33" s="78" t="s">
        <v>206</v>
      </c>
      <c r="B33" s="77" t="s">
        <v>93</v>
      </c>
      <c r="C33" s="79">
        <v>22756.68</v>
      </c>
      <c r="D33" s="48"/>
      <c r="E33" s="37"/>
      <c r="F33" s="374"/>
      <c r="G33" s="370"/>
      <c r="H33" s="27"/>
      <c r="I33" s="27"/>
      <c r="J33" s="27"/>
      <c r="K33" s="27"/>
      <c r="L33" s="364"/>
      <c r="M33" s="27"/>
      <c r="N33" s="523" t="s">
        <v>155</v>
      </c>
      <c r="O33" s="524"/>
      <c r="P33" s="27"/>
      <c r="R33" s="36"/>
      <c r="S33" s="552"/>
      <c r="T33" s="48"/>
      <c r="U33" s="49"/>
      <c r="V33" s="48"/>
      <c r="AA33" s="42"/>
    </row>
    <row r="34" spans="1:27" ht="14.25">
      <c r="A34" s="78" t="s">
        <v>207</v>
      </c>
      <c r="B34" s="77" t="s">
        <v>208</v>
      </c>
      <c r="C34" s="79">
        <v>25534.71</v>
      </c>
      <c r="D34" s="48"/>
      <c r="E34" s="365"/>
      <c r="F34" s="371"/>
      <c r="G34" s="372"/>
      <c r="L34" s="42"/>
      <c r="N34" s="525"/>
      <c r="O34" s="526"/>
      <c r="R34" s="58"/>
      <c r="S34" s="487"/>
      <c r="T34" s="48"/>
      <c r="U34" s="49"/>
      <c r="V34" s="48"/>
      <c r="AA34" s="42"/>
    </row>
    <row r="35" spans="1:27" ht="14.45" customHeight="1">
      <c r="A35" s="78" t="s">
        <v>210</v>
      </c>
      <c r="B35" s="77" t="s">
        <v>211</v>
      </c>
      <c r="C35" s="79">
        <v>22597.25</v>
      </c>
      <c r="D35" s="48"/>
      <c r="E35" s="363"/>
      <c r="F35" s="395"/>
      <c r="G35" s="395"/>
      <c r="L35" s="42"/>
      <c r="N35" s="525"/>
      <c r="O35" s="526"/>
      <c r="R35" s="59"/>
      <c r="S35" s="488"/>
      <c r="T35" s="48"/>
      <c r="U35" s="49"/>
      <c r="V35" s="48"/>
      <c r="AA35" s="42"/>
    </row>
    <row r="36" spans="1:27" ht="15" thickBot="1">
      <c r="A36" s="78" t="s">
        <v>18</v>
      </c>
      <c r="B36" s="77" t="s">
        <v>94</v>
      </c>
      <c r="C36" s="79">
        <v>24964.47</v>
      </c>
      <c r="D36" s="48"/>
      <c r="E36" s="366"/>
      <c r="F36" s="27"/>
      <c r="G36" s="27"/>
      <c r="H36" s="54"/>
      <c r="I36" s="55"/>
      <c r="J36" s="55"/>
      <c r="K36" s="55"/>
      <c r="L36" s="400"/>
      <c r="M36" s="56"/>
      <c r="N36" s="419"/>
      <c r="O36" s="367"/>
      <c r="P36" s="55"/>
      <c r="Q36" s="54"/>
      <c r="R36" s="59"/>
      <c r="S36" s="489"/>
      <c r="T36" s="48"/>
      <c r="U36" s="49"/>
      <c r="V36" s="48"/>
      <c r="AA36" s="42"/>
    </row>
    <row r="37" spans="1:27" ht="14.25">
      <c r="A37" s="78" t="s">
        <v>213</v>
      </c>
      <c r="B37" s="77" t="s">
        <v>214</v>
      </c>
      <c r="C37" s="79">
        <v>27331.69</v>
      </c>
      <c r="D37" s="48"/>
      <c r="E37" s="366"/>
      <c r="F37" s="25"/>
      <c r="G37" s="27"/>
      <c r="H37" s="54"/>
      <c r="I37" s="55"/>
      <c r="J37" s="55"/>
      <c r="K37" s="55"/>
      <c r="L37" s="400"/>
      <c r="M37" s="56"/>
      <c r="N37" s="55"/>
      <c r="O37" s="55"/>
      <c r="P37" s="55"/>
      <c r="Q37" s="54"/>
      <c r="R37" s="58"/>
      <c r="S37" s="490"/>
      <c r="T37" s="48"/>
      <c r="U37" s="49"/>
      <c r="V37" s="48"/>
      <c r="AA37" s="42"/>
    </row>
    <row r="38" spans="1:27" ht="15" thickBot="1">
      <c r="A38" s="78" t="s">
        <v>215</v>
      </c>
      <c r="B38" s="77" t="s">
        <v>95</v>
      </c>
      <c r="C38" s="79">
        <v>39556.800000000003</v>
      </c>
      <c r="D38" s="48"/>
      <c r="E38" s="366"/>
      <c r="F38" s="25"/>
      <c r="G38" s="27"/>
      <c r="H38" s="54"/>
      <c r="I38" s="55"/>
      <c r="J38" s="55"/>
      <c r="K38" s="55"/>
      <c r="L38" s="400"/>
      <c r="M38" s="56"/>
      <c r="N38" s="55"/>
      <c r="O38" s="55"/>
      <c r="P38" s="55"/>
      <c r="Q38" s="54"/>
      <c r="R38" s="58"/>
      <c r="S38" s="490"/>
      <c r="T38" s="48"/>
      <c r="U38" s="49"/>
      <c r="V38" s="48"/>
      <c r="AA38" s="42"/>
    </row>
    <row r="39" spans="1:27" ht="39" thickBot="1">
      <c r="A39" s="78" t="s">
        <v>216</v>
      </c>
      <c r="B39" s="77" t="s">
        <v>96</v>
      </c>
      <c r="C39" s="79">
        <v>33135.51</v>
      </c>
      <c r="D39" s="48"/>
      <c r="E39" s="366"/>
      <c r="F39" s="372"/>
      <c r="G39" s="371"/>
      <c r="H39" s="54"/>
      <c r="I39" s="267" t="s">
        <v>439</v>
      </c>
      <c r="J39" s="268" t="s">
        <v>440</v>
      </c>
      <c r="K39" s="268" t="s">
        <v>441</v>
      </c>
      <c r="L39" s="401" t="s">
        <v>442</v>
      </c>
      <c r="M39" s="56"/>
      <c r="N39" s="55"/>
      <c r="O39" s="55"/>
      <c r="P39" s="55"/>
      <c r="Q39" s="54"/>
      <c r="R39" s="58"/>
      <c r="S39" s="490"/>
      <c r="T39" s="48"/>
      <c r="U39" s="49"/>
      <c r="V39" s="48"/>
      <c r="AA39" s="42"/>
    </row>
    <row r="40" spans="1:27" s="388" customFormat="1" ht="29.25" customHeight="1">
      <c r="A40" s="376" t="s">
        <v>218</v>
      </c>
      <c r="B40" s="377" t="s">
        <v>219</v>
      </c>
      <c r="C40" s="378">
        <v>22670.05</v>
      </c>
      <c r="D40" s="379"/>
      <c r="E40" s="402"/>
      <c r="F40" s="380"/>
      <c r="G40" s="380"/>
      <c r="H40" s="380"/>
      <c r="I40" s="381" t="s">
        <v>217</v>
      </c>
      <c r="J40" s="382">
        <v>900</v>
      </c>
      <c r="K40" s="382">
        <v>800</v>
      </c>
      <c r="L40" s="403">
        <v>750</v>
      </c>
      <c r="M40" s="383"/>
      <c r="N40" s="384"/>
      <c r="O40" s="384"/>
      <c r="P40" s="384"/>
      <c r="Q40" s="385"/>
      <c r="R40" s="386"/>
      <c r="S40" s="491"/>
      <c r="T40" s="379"/>
      <c r="U40" s="387"/>
      <c r="V40" s="379"/>
      <c r="AA40" s="492"/>
    </row>
    <row r="41" spans="1:27" s="388" customFormat="1" ht="29.25" customHeight="1">
      <c r="A41" s="376" t="s">
        <v>221</v>
      </c>
      <c r="B41" s="377" t="s">
        <v>222</v>
      </c>
      <c r="C41" s="378">
        <v>23790.89</v>
      </c>
      <c r="D41" s="379"/>
      <c r="E41" s="404"/>
      <c r="F41" s="380"/>
      <c r="G41" s="389"/>
      <c r="H41" s="390"/>
      <c r="I41" s="381" t="s">
        <v>220</v>
      </c>
      <c r="J41" s="382">
        <v>800</v>
      </c>
      <c r="K41" s="382">
        <v>700</v>
      </c>
      <c r="L41" s="403">
        <v>650</v>
      </c>
      <c r="M41" s="383"/>
      <c r="N41" s="384"/>
      <c r="O41" s="384"/>
      <c r="P41" s="384"/>
      <c r="Q41" s="385"/>
      <c r="R41" s="386"/>
      <c r="S41" s="491"/>
      <c r="T41" s="379"/>
      <c r="U41" s="387"/>
      <c r="V41" s="379"/>
      <c r="AA41" s="492"/>
    </row>
    <row r="42" spans="1:27" s="388" customFormat="1" ht="29.25" customHeight="1">
      <c r="A42" s="376" t="s">
        <v>224</v>
      </c>
      <c r="B42" s="377" t="s">
        <v>225</v>
      </c>
      <c r="C42" s="378">
        <v>30388.799999999999</v>
      </c>
      <c r="D42" s="379"/>
      <c r="E42" s="405"/>
      <c r="F42" s="392"/>
      <c r="G42" s="391"/>
      <c r="H42" s="393"/>
      <c r="I42" s="381" t="s">
        <v>223</v>
      </c>
      <c r="J42" s="382">
        <v>600</v>
      </c>
      <c r="K42" s="382">
        <v>515</v>
      </c>
      <c r="L42" s="403">
        <v>455</v>
      </c>
      <c r="M42" s="383"/>
      <c r="N42" s="384"/>
      <c r="O42" s="384"/>
      <c r="P42" s="384"/>
      <c r="Q42" s="385"/>
      <c r="R42" s="386"/>
      <c r="S42" s="491"/>
      <c r="T42" s="379"/>
      <c r="U42" s="387"/>
      <c r="V42" s="379"/>
      <c r="AA42" s="492"/>
    </row>
    <row r="43" spans="1:27" s="388" customFormat="1" ht="29.25" customHeight="1">
      <c r="A43" s="376" t="s">
        <v>227</v>
      </c>
      <c r="B43" s="377" t="s">
        <v>228</v>
      </c>
      <c r="C43" s="378">
        <v>22598.82</v>
      </c>
      <c r="D43" s="379"/>
      <c r="E43" s="405"/>
      <c r="F43" s="394"/>
      <c r="G43" s="391"/>
      <c r="H43" s="393"/>
      <c r="I43" s="381" t="s">
        <v>226</v>
      </c>
      <c r="J43" s="382">
        <v>425</v>
      </c>
      <c r="K43" s="382">
        <v>380</v>
      </c>
      <c r="L43" s="403">
        <v>335</v>
      </c>
      <c r="M43" s="383"/>
      <c r="S43" s="493"/>
      <c r="T43" s="379"/>
      <c r="U43" s="387"/>
      <c r="V43" s="379"/>
      <c r="AA43" s="492"/>
    </row>
    <row r="44" spans="1:27" ht="24.95" customHeight="1" thickBot="1">
      <c r="A44" s="78" t="s">
        <v>229</v>
      </c>
      <c r="B44" s="77" t="s">
        <v>97</v>
      </c>
      <c r="C44" s="79">
        <v>23278.02</v>
      </c>
      <c r="D44" s="48"/>
      <c r="E44" s="406"/>
      <c r="F44" s="407"/>
      <c r="G44" s="408"/>
      <c r="H44" s="409"/>
      <c r="I44" s="51"/>
      <c r="J44" s="410"/>
      <c r="K44" s="410"/>
      <c r="L44" s="411"/>
      <c r="M44" s="375"/>
      <c r="S44" s="40"/>
      <c r="T44" s="48"/>
      <c r="U44" s="49"/>
      <c r="V44" s="48"/>
      <c r="AA44" s="42"/>
    </row>
    <row r="45" spans="1:27" ht="14.25">
      <c r="A45" s="78" t="s">
        <v>230</v>
      </c>
      <c r="B45" s="77" t="s">
        <v>231</v>
      </c>
      <c r="C45" s="79">
        <v>29000.7</v>
      </c>
      <c r="D45" s="48"/>
      <c r="H45" s="28"/>
      <c r="I45" s="39"/>
      <c r="Q45" s="47"/>
      <c r="R45" s="48"/>
      <c r="S45" s="484"/>
      <c r="T45" s="48"/>
      <c r="U45" s="49"/>
      <c r="V45" s="48"/>
      <c r="AA45" s="42"/>
    </row>
    <row r="46" spans="1:27" ht="23.45" customHeight="1">
      <c r="A46" s="78" t="s">
        <v>232</v>
      </c>
      <c r="B46" s="77" t="s">
        <v>233</v>
      </c>
      <c r="C46" s="79">
        <v>22670.05</v>
      </c>
      <c r="D46" s="48"/>
      <c r="Q46" s="47"/>
      <c r="R46" s="48"/>
      <c r="S46" s="484"/>
      <c r="T46" s="48"/>
      <c r="U46" s="49"/>
      <c r="V46" s="48"/>
      <c r="AA46" s="42"/>
    </row>
    <row r="47" spans="1:27" ht="14.25">
      <c r="A47" s="78" t="s">
        <v>16</v>
      </c>
      <c r="B47" s="77" t="s">
        <v>98</v>
      </c>
      <c r="C47" s="79">
        <v>23790.89</v>
      </c>
      <c r="D47" s="48"/>
      <c r="Q47" s="47"/>
      <c r="R47" s="48"/>
      <c r="S47" s="484"/>
      <c r="T47" s="48"/>
      <c r="U47" s="49"/>
      <c r="V47" s="48"/>
      <c r="AA47" s="42"/>
    </row>
    <row r="48" spans="1:27" ht="14.25">
      <c r="A48" s="78" t="s">
        <v>234</v>
      </c>
      <c r="B48" s="77" t="s">
        <v>235</v>
      </c>
      <c r="C48" s="79">
        <v>30388.799999999999</v>
      </c>
      <c r="D48" s="48"/>
      <c r="Q48" s="47"/>
      <c r="R48" s="48"/>
      <c r="S48" s="484"/>
      <c r="T48" s="48"/>
      <c r="U48" s="49"/>
      <c r="V48" s="48"/>
      <c r="AA48" s="42"/>
    </row>
    <row r="49" spans="1:27" ht="23.45" customHeight="1">
      <c r="A49" s="78" t="s">
        <v>240</v>
      </c>
      <c r="B49" s="77" t="s">
        <v>241</v>
      </c>
      <c r="C49" s="79">
        <v>19052.8</v>
      </c>
      <c r="D49" s="48"/>
      <c r="Q49" s="47"/>
      <c r="R49" s="48"/>
      <c r="S49" s="484"/>
      <c r="T49" s="48"/>
      <c r="U49" s="49"/>
      <c r="V49" s="48"/>
      <c r="AA49" s="42"/>
    </row>
    <row r="50" spans="1:27" ht="23.45" customHeight="1">
      <c r="A50" s="78" t="s">
        <v>19</v>
      </c>
      <c r="B50" s="77" t="s">
        <v>100</v>
      </c>
      <c r="C50" s="79">
        <v>22360.25</v>
      </c>
      <c r="D50" s="48"/>
      <c r="Q50" s="47"/>
      <c r="R50" s="48"/>
      <c r="S50" s="484"/>
      <c r="T50" s="48"/>
      <c r="U50" s="49"/>
      <c r="V50" s="48"/>
      <c r="AA50" s="42"/>
    </row>
    <row r="51" spans="1:27" ht="69" customHeight="1">
      <c r="A51" s="78" t="s">
        <v>242</v>
      </c>
      <c r="B51" s="77" t="s">
        <v>243</v>
      </c>
      <c r="C51" s="79">
        <v>25667.7</v>
      </c>
      <c r="D51" s="48"/>
      <c r="Q51" s="47"/>
      <c r="R51" s="48"/>
      <c r="S51" s="484"/>
      <c r="T51" s="48"/>
      <c r="U51" s="49"/>
      <c r="V51" s="48"/>
      <c r="AA51" s="42"/>
    </row>
    <row r="52" spans="1:27" ht="25.5" customHeight="1" thickBot="1">
      <c r="A52" s="78" t="s">
        <v>250</v>
      </c>
      <c r="B52" s="77" t="s">
        <v>251</v>
      </c>
      <c r="C52" s="79">
        <v>6463.86</v>
      </c>
      <c r="D52" s="48"/>
      <c r="J52" s="28"/>
      <c r="N52" s="35"/>
      <c r="O52" s="35"/>
      <c r="Q52" s="47"/>
      <c r="R52" s="48"/>
      <c r="S52" s="484"/>
      <c r="T52" s="48"/>
      <c r="U52" s="49"/>
      <c r="V52" s="48"/>
      <c r="AA52" s="42"/>
    </row>
    <row r="53" spans="1:27" ht="15.75">
      <c r="A53" s="78" t="s">
        <v>252</v>
      </c>
      <c r="B53" s="77" t="s">
        <v>253</v>
      </c>
      <c r="C53" s="79">
        <v>8223.4500000000007</v>
      </c>
      <c r="D53" s="48"/>
      <c r="E53" s="425" t="s">
        <v>75</v>
      </c>
      <c r="F53" s="425" t="s">
        <v>76</v>
      </c>
      <c r="G53" s="425" t="s">
        <v>190</v>
      </c>
      <c r="H53" s="425" t="s">
        <v>191</v>
      </c>
      <c r="J53" s="28"/>
      <c r="R53" s="48"/>
      <c r="S53" s="484"/>
      <c r="T53" s="48"/>
      <c r="U53" s="49"/>
      <c r="V53" s="48"/>
      <c r="AA53" s="42"/>
    </row>
    <row r="54" spans="1:27" ht="14.25" customHeight="1">
      <c r="A54" s="78" t="s">
        <v>254</v>
      </c>
      <c r="B54" s="77" t="s">
        <v>255</v>
      </c>
      <c r="C54" s="79">
        <v>14936.66</v>
      </c>
      <c r="D54" s="48"/>
      <c r="E54" s="328" t="s">
        <v>457</v>
      </c>
      <c r="F54" s="321" t="s">
        <v>456</v>
      </c>
      <c r="G54" s="321">
        <v>1</v>
      </c>
      <c r="H54" s="329">
        <v>30.86</v>
      </c>
      <c r="J54" s="28"/>
      <c r="R54" s="48"/>
      <c r="S54" s="484"/>
      <c r="T54" s="48"/>
      <c r="U54" s="49"/>
      <c r="V54" s="48"/>
      <c r="AA54" s="42"/>
    </row>
    <row r="55" spans="1:27" ht="14.25" customHeight="1">
      <c r="A55" s="78" t="s">
        <v>256</v>
      </c>
      <c r="B55" s="77" t="s">
        <v>257</v>
      </c>
      <c r="C55" s="79">
        <v>5255.55</v>
      </c>
      <c r="D55" s="48"/>
      <c r="E55" s="533" t="s">
        <v>494</v>
      </c>
      <c r="F55" s="534"/>
      <c r="G55" s="534"/>
      <c r="H55" s="535"/>
      <c r="J55" s="28"/>
      <c r="R55" s="48"/>
      <c r="S55" s="484"/>
      <c r="T55" s="48"/>
      <c r="U55" s="49"/>
      <c r="V55" s="48"/>
      <c r="AA55" s="42"/>
    </row>
    <row r="56" spans="1:27" ht="14.25">
      <c r="A56" s="78" t="s">
        <v>258</v>
      </c>
      <c r="B56" s="77" t="s">
        <v>259</v>
      </c>
      <c r="C56" s="79">
        <v>22528.65</v>
      </c>
      <c r="D56" s="48"/>
      <c r="E56" s="533"/>
      <c r="F56" s="534"/>
      <c r="G56" s="534"/>
      <c r="H56" s="535"/>
      <c r="J56" s="28"/>
      <c r="R56" s="48"/>
      <c r="S56" s="484"/>
      <c r="T56" s="48"/>
      <c r="U56" s="49"/>
      <c r="V56" s="48"/>
      <c r="AA56" s="42"/>
    </row>
    <row r="57" spans="1:27" ht="15" customHeight="1" thickBot="1">
      <c r="A57" s="78" t="s">
        <v>260</v>
      </c>
      <c r="B57" s="77" t="s">
        <v>261</v>
      </c>
      <c r="C57" s="79">
        <v>10511.51</v>
      </c>
      <c r="D57" s="48"/>
      <c r="E57" s="536"/>
      <c r="F57" s="537"/>
      <c r="G57" s="537"/>
      <c r="H57" s="538"/>
      <c r="J57" s="36"/>
      <c r="R57" s="48"/>
      <c r="S57" s="484"/>
      <c r="T57" s="48"/>
      <c r="U57" s="49"/>
      <c r="V57" s="48"/>
      <c r="AA57" s="42"/>
    </row>
    <row r="58" spans="1:27" ht="15" thickBot="1">
      <c r="A58" s="78" t="s">
        <v>262</v>
      </c>
      <c r="B58" s="77" t="s">
        <v>263</v>
      </c>
      <c r="C58" s="79">
        <v>13672.11</v>
      </c>
      <c r="D58" s="48"/>
      <c r="E58" s="27"/>
      <c r="F58" s="27"/>
      <c r="G58" s="27"/>
      <c r="H58" s="62"/>
      <c r="I58" s="63"/>
      <c r="J58" s="62"/>
      <c r="K58" s="55"/>
      <c r="Q58" s="47"/>
      <c r="R58" s="48"/>
      <c r="S58" s="484"/>
      <c r="T58" s="48"/>
      <c r="U58" s="49"/>
      <c r="V58" s="48"/>
      <c r="AA58" s="42"/>
    </row>
    <row r="59" spans="1:27" ht="31.5">
      <c r="A59" s="78" t="s">
        <v>265</v>
      </c>
      <c r="B59" s="77" t="s">
        <v>266</v>
      </c>
      <c r="C59" s="79">
        <v>22315.78</v>
      </c>
      <c r="D59" s="48"/>
      <c r="E59" s="425" t="s">
        <v>315</v>
      </c>
      <c r="F59" s="425" t="s">
        <v>462</v>
      </c>
      <c r="G59" s="425" t="s">
        <v>463</v>
      </c>
      <c r="H59" s="425" t="s">
        <v>464</v>
      </c>
      <c r="I59" s="425" t="s">
        <v>465</v>
      </c>
      <c r="J59" s="425" t="s">
        <v>466</v>
      </c>
      <c r="K59" s="425" t="s">
        <v>467</v>
      </c>
      <c r="L59" s="425" t="s">
        <v>468</v>
      </c>
      <c r="M59" s="425" t="s">
        <v>469</v>
      </c>
      <c r="Q59" s="47"/>
      <c r="R59" s="48"/>
      <c r="S59" s="484"/>
      <c r="T59" s="48"/>
      <c r="U59" s="49"/>
      <c r="V59" s="48"/>
      <c r="AA59" s="42"/>
    </row>
    <row r="60" spans="1:27" ht="30">
      <c r="A60" s="78" t="s">
        <v>268</v>
      </c>
      <c r="B60" s="77" t="s">
        <v>269</v>
      </c>
      <c r="C60" s="79">
        <v>5247.22</v>
      </c>
      <c r="D60" s="48"/>
      <c r="E60" s="348" t="s">
        <v>480</v>
      </c>
      <c r="F60" s="349" t="s">
        <v>470</v>
      </c>
      <c r="G60" s="345">
        <v>30</v>
      </c>
      <c r="H60" s="345">
        <f>57.95</f>
        <v>57.95</v>
      </c>
      <c r="I60" s="345">
        <v>1</v>
      </c>
      <c r="J60" s="345">
        <f>H60+(I60*G60)</f>
        <v>87.95</v>
      </c>
      <c r="K60" s="346">
        <f>$F$69</f>
        <v>47.75</v>
      </c>
      <c r="L60" s="346">
        <f>K60/30</f>
        <v>1.5916666666666666</v>
      </c>
      <c r="M60" s="351">
        <f>L60*J60</f>
        <v>139.98708333333332</v>
      </c>
      <c r="Q60" s="47"/>
      <c r="R60" s="48"/>
      <c r="S60" s="484"/>
      <c r="T60" s="48"/>
      <c r="U60" s="49"/>
      <c r="V60" s="48"/>
      <c r="AA60" s="42"/>
    </row>
    <row r="61" spans="1:27" ht="30">
      <c r="A61" s="78" t="s">
        <v>271</v>
      </c>
      <c r="B61" s="77" t="s">
        <v>272</v>
      </c>
      <c r="C61" s="79">
        <v>4782.6400000000003</v>
      </c>
      <c r="D61" s="48"/>
      <c r="E61" s="348" t="s">
        <v>481</v>
      </c>
      <c r="F61" s="349" t="s">
        <v>471</v>
      </c>
      <c r="G61" s="345">
        <v>100</v>
      </c>
      <c r="H61" s="345">
        <f t="shared" ref="H61:H62" si="2">57.95</f>
        <v>57.95</v>
      </c>
      <c r="I61" s="345">
        <v>1</v>
      </c>
      <c r="J61" s="345">
        <f>H61+(I61*G61)</f>
        <v>157.94999999999999</v>
      </c>
      <c r="K61" s="346">
        <f>$F$69</f>
        <v>47.75</v>
      </c>
      <c r="L61" s="346">
        <f>K61/30</f>
        <v>1.5916666666666666</v>
      </c>
      <c r="M61" s="351">
        <f t="shared" ref="M61:M62" si="3">L61*J61</f>
        <v>251.40374999999997</v>
      </c>
      <c r="Q61" s="47"/>
      <c r="R61" s="48"/>
      <c r="S61" s="484"/>
      <c r="T61" s="48"/>
      <c r="U61" s="49"/>
      <c r="V61" s="48"/>
      <c r="AA61" s="42"/>
    </row>
    <row r="62" spans="1:27" ht="30.75" thickBot="1">
      <c r="A62" s="78" t="s">
        <v>277</v>
      </c>
      <c r="B62" s="77" t="s">
        <v>278</v>
      </c>
      <c r="C62" s="79">
        <v>9941.7000000000007</v>
      </c>
      <c r="D62" s="48"/>
      <c r="E62" s="348" t="s">
        <v>482</v>
      </c>
      <c r="F62" s="350" t="s">
        <v>472</v>
      </c>
      <c r="G62" s="347">
        <v>150</v>
      </c>
      <c r="H62" s="347">
        <f t="shared" si="2"/>
        <v>57.95</v>
      </c>
      <c r="I62" s="347">
        <v>1</v>
      </c>
      <c r="J62" s="347">
        <f>H62+(I62*G62)</f>
        <v>207.95</v>
      </c>
      <c r="K62" s="346">
        <f>$F$69</f>
        <v>47.75</v>
      </c>
      <c r="L62" s="346">
        <f>K62/30</f>
        <v>1.5916666666666666</v>
      </c>
      <c r="M62" s="352">
        <f t="shared" si="3"/>
        <v>330.98708333333332</v>
      </c>
      <c r="Q62" s="47"/>
      <c r="R62" s="48"/>
      <c r="S62" s="484"/>
      <c r="T62" s="48"/>
      <c r="U62" s="49"/>
      <c r="V62" s="48"/>
      <c r="AA62" s="42"/>
    </row>
    <row r="63" spans="1:27" ht="15">
      <c r="A63" s="78" t="s">
        <v>280</v>
      </c>
      <c r="B63" s="77" t="s">
        <v>281</v>
      </c>
      <c r="C63" s="79">
        <v>12911.83</v>
      </c>
      <c r="D63" s="48"/>
      <c r="E63" s="339" t="s">
        <v>473</v>
      </c>
      <c r="F63" s="340"/>
      <c r="G63" s="340"/>
      <c r="H63" s="341"/>
      <c r="I63" s="341"/>
      <c r="J63" s="341"/>
      <c r="K63" s="341"/>
      <c r="L63" s="341"/>
      <c r="M63" s="342"/>
      <c r="Q63" s="47"/>
      <c r="R63" s="48"/>
      <c r="S63" s="484"/>
      <c r="T63" s="48"/>
      <c r="U63" s="49"/>
      <c r="V63" s="48"/>
      <c r="AA63" s="42"/>
    </row>
    <row r="64" spans="1:27" ht="15">
      <c r="A64" s="78" t="s">
        <v>283</v>
      </c>
      <c r="B64" s="77" t="s">
        <v>284</v>
      </c>
      <c r="C64" s="79">
        <v>23400.81</v>
      </c>
      <c r="D64" s="48"/>
      <c r="E64" s="331" t="s">
        <v>483</v>
      </c>
      <c r="F64" s="332"/>
      <c r="G64" s="332"/>
      <c r="H64"/>
      <c r="I64" s="35"/>
      <c r="J64" s="35"/>
      <c r="K64" s="35"/>
      <c r="L64" s="35"/>
      <c r="M64" s="333"/>
      <c r="Q64" s="47"/>
      <c r="R64" s="48"/>
      <c r="S64" s="484"/>
      <c r="T64" s="48"/>
      <c r="U64" s="49"/>
      <c r="V64" s="48"/>
      <c r="AA64" s="42"/>
    </row>
    <row r="65" spans="1:27" ht="14.45" customHeight="1" thickBot="1">
      <c r="A65" s="78" t="s">
        <v>291</v>
      </c>
      <c r="B65" s="77" t="s">
        <v>292</v>
      </c>
      <c r="C65" s="79">
        <v>5506.75</v>
      </c>
      <c r="D65" s="48"/>
      <c r="E65" s="331" t="s">
        <v>484</v>
      </c>
      <c r="F65" s="332"/>
      <c r="G65" s="332"/>
      <c r="H65" s="28"/>
      <c r="I65" s="28"/>
      <c r="J65" s="28"/>
      <c r="M65" s="333"/>
      <c r="Q65" s="47"/>
      <c r="R65" s="48"/>
      <c r="S65" s="494"/>
      <c r="T65" s="495"/>
      <c r="U65" s="496"/>
      <c r="V65" s="495"/>
      <c r="W65" s="51"/>
      <c r="X65" s="51"/>
      <c r="Y65" s="51"/>
      <c r="Z65" s="51"/>
      <c r="AA65" s="53"/>
    </row>
    <row r="66" spans="1:27" ht="15.75" thickBot="1">
      <c r="A66" s="78" t="s">
        <v>293</v>
      </c>
      <c r="B66" s="77" t="s">
        <v>294</v>
      </c>
      <c r="C66" s="79">
        <v>6923.72</v>
      </c>
      <c r="D66" s="48"/>
      <c r="E66" s="343" t="s">
        <v>485</v>
      </c>
      <c r="F66" s="344"/>
      <c r="G66" s="344"/>
      <c r="H66" s="51"/>
      <c r="I66" s="51"/>
      <c r="J66" s="51"/>
      <c r="K66" s="51"/>
      <c r="L66" s="51"/>
      <c r="M66" s="325"/>
      <c r="N66" s="27"/>
      <c r="O66" s="27"/>
      <c r="P66" s="27"/>
      <c r="Q66" s="47"/>
      <c r="R66" s="48"/>
      <c r="S66" s="49"/>
      <c r="T66" s="48"/>
      <c r="U66" s="49"/>
      <c r="V66" s="48"/>
    </row>
    <row r="67" spans="1:27" ht="15.75" thickBot="1">
      <c r="A67" s="78" t="s">
        <v>295</v>
      </c>
      <c r="B67" s="77" t="s">
        <v>296</v>
      </c>
      <c r="C67" s="79">
        <v>9763.15</v>
      </c>
      <c r="D67" s="48"/>
      <c r="E67" s="338" t="s">
        <v>107</v>
      </c>
      <c r="F67" s="355" t="s">
        <v>319</v>
      </c>
      <c r="G67"/>
      <c r="H67" s="28"/>
      <c r="I67" s="28"/>
      <c r="J67" s="28"/>
      <c r="M67" s="334"/>
      <c r="N67" s="60"/>
      <c r="O67" s="60"/>
      <c r="P67" s="527" t="s">
        <v>205</v>
      </c>
      <c r="Q67" s="528"/>
      <c r="R67" s="528"/>
      <c r="S67" s="528"/>
      <c r="T67" s="528"/>
      <c r="U67" s="528"/>
      <c r="V67" s="528"/>
      <c r="W67" s="34">
        <v>45474</v>
      </c>
    </row>
    <row r="68" spans="1:27" ht="31.5">
      <c r="A68" s="78" t="s">
        <v>297</v>
      </c>
      <c r="B68" s="77" t="s">
        <v>298</v>
      </c>
      <c r="C68" s="79">
        <v>5750.97</v>
      </c>
      <c r="D68" s="48"/>
      <c r="E68" s="336" t="s">
        <v>462</v>
      </c>
      <c r="F68" s="356" t="s">
        <v>474</v>
      </c>
      <c r="H68" s="28"/>
      <c r="I68" s="28"/>
      <c r="J68" s="28"/>
      <c r="M68" s="42"/>
      <c r="N68" s="27"/>
      <c r="O68" s="27"/>
      <c r="P68" s="425" t="s">
        <v>75</v>
      </c>
      <c r="Q68" s="425" t="s">
        <v>76</v>
      </c>
      <c r="R68" s="425" t="s">
        <v>7</v>
      </c>
      <c r="S68" s="425" t="s">
        <v>77</v>
      </c>
      <c r="T68" s="425" t="s">
        <v>209</v>
      </c>
      <c r="U68" s="425" t="s">
        <v>78</v>
      </c>
      <c r="V68" s="425" t="s">
        <v>79</v>
      </c>
      <c r="W68" s="497" t="s">
        <v>78</v>
      </c>
    </row>
    <row r="69" spans="1:27" ht="41.25" customHeight="1" thickBot="1">
      <c r="A69" s="78" t="s">
        <v>304</v>
      </c>
      <c r="B69" s="77" t="s">
        <v>305</v>
      </c>
      <c r="C69" s="79">
        <v>4716.1000000000004</v>
      </c>
      <c r="D69" s="48"/>
      <c r="E69" s="337" t="s">
        <v>461</v>
      </c>
      <c r="F69" s="357">
        <f>J74</f>
        <v>47.75</v>
      </c>
      <c r="G69" s="335"/>
      <c r="H69" s="51"/>
      <c r="I69" s="51"/>
      <c r="J69" s="51"/>
      <c r="K69" s="51"/>
      <c r="L69" s="51"/>
      <c r="M69" s="53"/>
      <c r="N69" s="54"/>
      <c r="O69" s="54"/>
      <c r="P69" s="30" t="s">
        <v>194</v>
      </c>
      <c r="Q69" s="498" t="s">
        <v>446</v>
      </c>
      <c r="R69" s="27" t="s">
        <v>7</v>
      </c>
      <c r="S69" s="27" t="s">
        <v>80</v>
      </c>
      <c r="T69" s="27" t="s">
        <v>80</v>
      </c>
      <c r="U69" s="499">
        <v>1348.6538</v>
      </c>
      <c r="V69" s="27" t="s">
        <v>80</v>
      </c>
      <c r="W69" s="61">
        <v>1348.6538</v>
      </c>
    </row>
    <row r="70" spans="1:27" ht="44.25" customHeight="1" thickBot="1">
      <c r="A70" s="78" t="s">
        <v>306</v>
      </c>
      <c r="B70" s="77" t="s">
        <v>104</v>
      </c>
      <c r="C70" s="79">
        <v>6200.9</v>
      </c>
      <c r="D70" s="48"/>
      <c r="G70" s="64"/>
      <c r="H70" s="28"/>
      <c r="M70" s="27"/>
      <c r="N70" s="27"/>
      <c r="O70" s="27"/>
      <c r="P70" s="37" t="s">
        <v>198</v>
      </c>
      <c r="Q70" s="26" t="s">
        <v>212</v>
      </c>
      <c r="R70" s="27" t="s">
        <v>7</v>
      </c>
      <c r="S70" s="27" t="s">
        <v>80</v>
      </c>
      <c r="T70" s="27" t="s">
        <v>80</v>
      </c>
      <c r="U70" s="499">
        <f>K43</f>
        <v>380</v>
      </c>
      <c r="V70" s="27" t="s">
        <v>80</v>
      </c>
      <c r="W70" s="61">
        <f>U70</f>
        <v>380</v>
      </c>
    </row>
    <row r="71" spans="1:27" ht="16.5" customHeight="1" thickBot="1">
      <c r="A71" s="78" t="s">
        <v>307</v>
      </c>
      <c r="B71" s="77" t="s">
        <v>308</v>
      </c>
      <c r="C71" s="79">
        <v>6771.41</v>
      </c>
      <c r="D71" s="48"/>
      <c r="E71" s="540" t="s">
        <v>445</v>
      </c>
      <c r="F71" s="541"/>
      <c r="G71" s="541"/>
      <c r="H71" s="541"/>
      <c r="I71" s="541"/>
      <c r="J71" s="541"/>
      <c r="P71" s="546" t="s">
        <v>533</v>
      </c>
      <c r="Q71" s="547"/>
      <c r="R71" s="547"/>
      <c r="S71" s="547"/>
      <c r="T71" s="547"/>
      <c r="U71" s="547"/>
      <c r="V71" s="547"/>
      <c r="W71" s="524"/>
    </row>
    <row r="72" spans="1:27" ht="19.5" thickBot="1">
      <c r="A72" s="78" t="s">
        <v>309</v>
      </c>
      <c r="B72" s="77" t="s">
        <v>310</v>
      </c>
      <c r="C72" s="79">
        <v>9101.41</v>
      </c>
      <c r="D72" s="48"/>
      <c r="E72" s="542" t="s">
        <v>447</v>
      </c>
      <c r="F72" s="543"/>
      <c r="G72" s="543"/>
      <c r="H72" s="543"/>
      <c r="I72" s="543"/>
      <c r="J72" s="543"/>
      <c r="P72" s="525"/>
      <c r="Q72" s="548"/>
      <c r="R72" s="548"/>
      <c r="S72" s="548"/>
      <c r="T72" s="548"/>
      <c r="U72" s="548"/>
      <c r="V72" s="548"/>
      <c r="W72" s="526"/>
    </row>
    <row r="73" spans="1:27" ht="31.5">
      <c r="A73" s="78" t="s">
        <v>17</v>
      </c>
      <c r="B73" s="77" t="s">
        <v>105</v>
      </c>
      <c r="C73" s="79">
        <v>6120.29</v>
      </c>
      <c r="D73" s="48"/>
      <c r="E73" s="425" t="s">
        <v>315</v>
      </c>
      <c r="F73" s="425" t="s">
        <v>107</v>
      </c>
      <c r="G73" s="425" t="s">
        <v>108</v>
      </c>
      <c r="H73" s="425"/>
      <c r="I73" s="425" t="s">
        <v>316</v>
      </c>
      <c r="J73" s="425" t="s">
        <v>317</v>
      </c>
      <c r="K73" s="69"/>
      <c r="L73" s="69"/>
      <c r="M73"/>
      <c r="P73" s="525"/>
      <c r="Q73" s="548"/>
      <c r="R73" s="548"/>
      <c r="S73" s="548"/>
      <c r="T73" s="548"/>
      <c r="U73" s="548"/>
      <c r="V73" s="548"/>
      <c r="W73" s="526"/>
    </row>
    <row r="74" spans="1:27" ht="15">
      <c r="A74" s="78" t="s">
        <v>311</v>
      </c>
      <c r="B74" s="77" t="s">
        <v>312</v>
      </c>
      <c r="C74" s="79">
        <v>9583.7199999999993</v>
      </c>
      <c r="D74" s="48"/>
      <c r="E74" s="529" t="s">
        <v>318</v>
      </c>
      <c r="F74" s="85" t="s">
        <v>319</v>
      </c>
      <c r="G74" s="531" t="s">
        <v>320</v>
      </c>
      <c r="H74" s="532"/>
      <c r="I74" s="85" t="s">
        <v>321</v>
      </c>
      <c r="J74" s="326">
        <v>47.75</v>
      </c>
      <c r="K74" s="69"/>
      <c r="L74" s="69"/>
      <c r="M74" s="69"/>
      <c r="P74" s="525"/>
      <c r="Q74" s="548"/>
      <c r="R74" s="548"/>
      <c r="S74" s="548"/>
      <c r="T74" s="548"/>
      <c r="U74" s="548"/>
      <c r="V74" s="548"/>
      <c r="W74" s="526"/>
    </row>
    <row r="75" spans="1:27" ht="15">
      <c r="A75" s="78" t="s">
        <v>313</v>
      </c>
      <c r="B75" s="77" t="s">
        <v>314</v>
      </c>
      <c r="C75" s="79">
        <v>5429.4</v>
      </c>
      <c r="D75" s="48"/>
      <c r="E75" s="530"/>
      <c r="F75" s="85" t="s">
        <v>322</v>
      </c>
      <c r="G75" s="531" t="s">
        <v>323</v>
      </c>
      <c r="H75" s="532"/>
      <c r="I75" s="85" t="s">
        <v>321</v>
      </c>
      <c r="J75" s="326">
        <v>31.22</v>
      </c>
      <c r="K75" s="69"/>
      <c r="L75" s="69"/>
      <c r="M75" s="69"/>
      <c r="P75" s="549"/>
      <c r="Q75" s="550"/>
      <c r="R75" s="550"/>
      <c r="S75" s="550"/>
      <c r="T75" s="550"/>
      <c r="U75" s="550"/>
      <c r="V75" s="550"/>
      <c r="W75" s="551"/>
    </row>
    <row r="76" spans="1:27" ht="15">
      <c r="A76" s="78" t="s">
        <v>156</v>
      </c>
      <c r="B76" s="77" t="s">
        <v>157</v>
      </c>
      <c r="C76" s="79">
        <v>5362.77</v>
      </c>
      <c r="D76" s="48"/>
      <c r="E76" s="529" t="s">
        <v>324</v>
      </c>
      <c r="F76" s="85" t="s">
        <v>325</v>
      </c>
      <c r="G76" s="531" t="s">
        <v>326</v>
      </c>
      <c r="H76" s="532"/>
      <c r="I76" s="85" t="s">
        <v>327</v>
      </c>
      <c r="J76" s="326">
        <v>490.4</v>
      </c>
      <c r="K76" s="69"/>
      <c r="L76" s="69"/>
      <c r="M76" s="69"/>
      <c r="P76" s="40"/>
      <c r="Q76" s="47"/>
      <c r="W76" s="42"/>
    </row>
    <row r="77" spans="1:27" ht="15.75" customHeight="1">
      <c r="A77" s="78" t="s">
        <v>158</v>
      </c>
      <c r="B77" s="77" t="s">
        <v>159</v>
      </c>
      <c r="C77" s="79">
        <v>6742.18</v>
      </c>
      <c r="D77" s="48"/>
      <c r="E77" s="530"/>
      <c r="F77" s="85" t="s">
        <v>328</v>
      </c>
      <c r="G77" s="531" t="s">
        <v>329</v>
      </c>
      <c r="H77" s="532"/>
      <c r="I77" s="85" t="s">
        <v>327</v>
      </c>
      <c r="J77" s="326">
        <v>43.98</v>
      </c>
      <c r="K77" s="69"/>
      <c r="L77" s="69"/>
      <c r="M77" s="69"/>
      <c r="O77" s="28" t="s">
        <v>527</v>
      </c>
      <c r="P77" s="501" t="s">
        <v>528</v>
      </c>
      <c r="Q77" s="47"/>
      <c r="W77" s="42"/>
    </row>
    <row r="78" spans="1:27" ht="15">
      <c r="A78" s="78" t="s">
        <v>160</v>
      </c>
      <c r="B78" s="77" t="s">
        <v>161</v>
      </c>
      <c r="C78" s="79">
        <v>10101.290000000001</v>
      </c>
      <c r="D78" s="48"/>
      <c r="E78" s="529" t="s">
        <v>330</v>
      </c>
      <c r="F78" s="85" t="s">
        <v>331</v>
      </c>
      <c r="G78" s="531" t="s">
        <v>332</v>
      </c>
      <c r="H78" s="532"/>
      <c r="I78" s="85" t="s">
        <v>333</v>
      </c>
      <c r="J78" s="326">
        <v>5172.1099999999997</v>
      </c>
      <c r="P78" s="40"/>
      <c r="W78" s="42"/>
    </row>
    <row r="79" spans="1:27" ht="15">
      <c r="A79" s="78" t="s">
        <v>120</v>
      </c>
      <c r="B79" s="77" t="s">
        <v>81</v>
      </c>
      <c r="C79" s="79">
        <v>6905.18</v>
      </c>
      <c r="D79" s="48"/>
      <c r="E79" s="563"/>
      <c r="F79" s="85" t="s">
        <v>334</v>
      </c>
      <c r="G79" s="531" t="s">
        <v>335</v>
      </c>
      <c r="H79" s="532"/>
      <c r="I79" s="85" t="s">
        <v>333</v>
      </c>
      <c r="J79" s="326">
        <v>4394.12</v>
      </c>
      <c r="P79" s="40"/>
      <c r="W79" s="42"/>
    </row>
    <row r="80" spans="1:27" ht="15">
      <c r="A80" s="78" t="s">
        <v>123</v>
      </c>
      <c r="B80" s="77" t="s">
        <v>82</v>
      </c>
      <c r="C80" s="79">
        <v>8841.01</v>
      </c>
      <c r="D80" s="48"/>
      <c r="E80" s="563"/>
      <c r="F80" s="85" t="s">
        <v>336</v>
      </c>
      <c r="G80" s="531" t="s">
        <v>337</v>
      </c>
      <c r="H80" s="532"/>
      <c r="I80" s="85" t="s">
        <v>333</v>
      </c>
      <c r="J80" s="326">
        <v>4145.63</v>
      </c>
      <c r="P80" s="40"/>
      <c r="R80" s="48"/>
      <c r="S80" s="49"/>
      <c r="T80" s="48"/>
      <c r="U80" s="49"/>
      <c r="V80" s="48"/>
      <c r="W80" s="42"/>
    </row>
    <row r="81" spans="1:23" ht="15">
      <c r="A81" s="78" t="s">
        <v>124</v>
      </c>
      <c r="B81" s="77" t="s">
        <v>125</v>
      </c>
      <c r="C81" s="79">
        <v>14968.46</v>
      </c>
      <c r="D81" s="48"/>
      <c r="E81" s="530"/>
      <c r="F81" s="85" t="s">
        <v>338</v>
      </c>
      <c r="G81" s="531" t="s">
        <v>339</v>
      </c>
      <c r="H81" s="532"/>
      <c r="I81" s="85" t="s">
        <v>333</v>
      </c>
      <c r="J81" s="326">
        <v>3201.9</v>
      </c>
      <c r="P81" s="40"/>
      <c r="R81" s="48"/>
      <c r="S81" s="49"/>
      <c r="T81" s="48"/>
      <c r="U81" s="49"/>
      <c r="V81" s="48"/>
      <c r="W81" s="42"/>
    </row>
    <row r="82" spans="1:23" ht="15">
      <c r="A82" s="78" t="s">
        <v>196</v>
      </c>
      <c r="B82" s="77" t="s">
        <v>197</v>
      </c>
      <c r="C82" s="79">
        <v>22613.41</v>
      </c>
      <c r="D82" s="48"/>
      <c r="E82" s="529" t="s">
        <v>340</v>
      </c>
      <c r="F82" s="85" t="s">
        <v>341</v>
      </c>
      <c r="G82" s="531" t="s">
        <v>326</v>
      </c>
      <c r="H82" s="532"/>
      <c r="I82" s="85" t="s">
        <v>327</v>
      </c>
      <c r="J82" s="326">
        <v>135.22</v>
      </c>
      <c r="P82" s="40"/>
      <c r="R82" s="48"/>
      <c r="S82" s="49"/>
      <c r="T82" s="48"/>
      <c r="U82" s="49"/>
      <c r="V82" s="48"/>
      <c r="W82" s="42"/>
    </row>
    <row r="83" spans="1:23" ht="15.75" thickBot="1">
      <c r="A83" s="78" t="s">
        <v>200</v>
      </c>
      <c r="B83" s="77" t="s">
        <v>201</v>
      </c>
      <c r="C83" s="79">
        <v>24444.65</v>
      </c>
      <c r="D83" s="48"/>
      <c r="E83" s="560"/>
      <c r="F83" s="288" t="s">
        <v>342</v>
      </c>
      <c r="G83" s="561" t="s">
        <v>329</v>
      </c>
      <c r="H83" s="562"/>
      <c r="I83" s="288" t="s">
        <v>327</v>
      </c>
      <c r="J83" s="327">
        <v>206.13</v>
      </c>
      <c r="P83" s="40"/>
      <c r="R83" s="48"/>
      <c r="S83" s="49"/>
      <c r="T83" s="48"/>
      <c r="U83" s="49"/>
      <c r="V83" s="48"/>
      <c r="W83" s="42"/>
    </row>
    <row r="84" spans="1:23" ht="14.25">
      <c r="A84" s="78" t="s">
        <v>202</v>
      </c>
      <c r="B84" s="77" t="s">
        <v>203</v>
      </c>
      <c r="C84" s="79">
        <v>26275.88</v>
      </c>
      <c r="D84" s="48"/>
      <c r="E84" s="564" t="s">
        <v>493</v>
      </c>
      <c r="F84" s="565"/>
      <c r="G84" s="565"/>
      <c r="H84" s="565"/>
      <c r="I84" s="565"/>
      <c r="J84" s="566"/>
      <c r="P84" s="40"/>
      <c r="R84" s="48"/>
      <c r="S84" s="49"/>
      <c r="T84" s="48"/>
      <c r="U84" s="49"/>
      <c r="V84" s="48"/>
      <c r="W84" s="42"/>
    </row>
    <row r="85" spans="1:23" ht="15" thickBot="1">
      <c r="A85" s="78" t="s">
        <v>236</v>
      </c>
      <c r="B85" s="77" t="s">
        <v>237</v>
      </c>
      <c r="C85" s="79">
        <v>7935.42</v>
      </c>
      <c r="D85" s="48"/>
      <c r="E85" s="567"/>
      <c r="F85" s="568"/>
      <c r="G85" s="568"/>
      <c r="H85" s="568"/>
      <c r="I85" s="568"/>
      <c r="J85" s="569"/>
      <c r="P85" s="40"/>
      <c r="R85" s="48"/>
      <c r="S85" s="49"/>
      <c r="T85" s="48"/>
      <c r="U85" s="49"/>
      <c r="V85" s="48"/>
      <c r="W85" s="42"/>
    </row>
    <row r="86" spans="1:23" ht="12.95" customHeight="1">
      <c r="A86" s="78" t="s">
        <v>20</v>
      </c>
      <c r="B86" s="77" t="s">
        <v>99</v>
      </c>
      <c r="C86" s="79">
        <v>10237.07</v>
      </c>
      <c r="D86" s="48"/>
      <c r="P86" s="40"/>
      <c r="R86" s="500"/>
      <c r="S86" s="7"/>
      <c r="T86" s="48"/>
      <c r="U86" s="49"/>
      <c r="V86" s="48"/>
      <c r="W86" s="42"/>
    </row>
    <row r="87" spans="1:23" ht="15" thickBot="1">
      <c r="A87" s="78" t="s">
        <v>238</v>
      </c>
      <c r="B87" s="77" t="s">
        <v>239</v>
      </c>
      <c r="C87" s="79">
        <v>18696.3</v>
      </c>
      <c r="D87" s="48"/>
      <c r="J87" s="28"/>
      <c r="P87" s="40"/>
      <c r="T87" s="48"/>
      <c r="U87" s="49"/>
      <c r="V87" s="48"/>
      <c r="W87" s="42"/>
    </row>
    <row r="88" spans="1:23" ht="31.5">
      <c r="A88" s="78" t="s">
        <v>139</v>
      </c>
      <c r="B88" s="77" t="s">
        <v>140</v>
      </c>
      <c r="C88" s="79">
        <v>6427.47</v>
      </c>
      <c r="D88" s="48"/>
      <c r="E88" s="425" t="s">
        <v>107</v>
      </c>
      <c r="F88" s="427" t="s">
        <v>108</v>
      </c>
      <c r="G88" s="426" t="s">
        <v>316</v>
      </c>
      <c r="H88" s="428" t="s">
        <v>487</v>
      </c>
      <c r="P88" s="40"/>
      <c r="T88" s="48"/>
      <c r="U88" s="49"/>
      <c r="V88" s="48"/>
      <c r="W88" s="42"/>
    </row>
    <row r="89" spans="1:23" ht="30.75" thickBot="1">
      <c r="A89" s="78" t="s">
        <v>141</v>
      </c>
      <c r="B89" s="77" t="s">
        <v>142</v>
      </c>
      <c r="C89" s="79">
        <v>8169.43</v>
      </c>
      <c r="D89" s="48"/>
      <c r="E89" s="469" t="s">
        <v>486</v>
      </c>
      <c r="F89" s="424" t="s">
        <v>491</v>
      </c>
      <c r="G89" s="423" t="s">
        <v>333</v>
      </c>
      <c r="H89" s="326">
        <f>6031*5.85</f>
        <v>35281.35</v>
      </c>
      <c r="P89" s="40"/>
      <c r="T89" s="48"/>
      <c r="U89" s="49"/>
      <c r="V89" s="48"/>
      <c r="W89" s="42"/>
    </row>
    <row r="90" spans="1:23" ht="15" thickBot="1">
      <c r="A90" s="78" t="s">
        <v>143</v>
      </c>
      <c r="B90" s="77" t="s">
        <v>86</v>
      </c>
      <c r="C90" s="79">
        <v>11704.11</v>
      </c>
      <c r="D90" s="48"/>
      <c r="E90" s="420" t="s">
        <v>488</v>
      </c>
      <c r="F90" s="358"/>
      <c r="G90" s="358"/>
      <c r="H90" s="421"/>
      <c r="P90" s="40"/>
      <c r="T90" s="48"/>
      <c r="U90" s="49"/>
      <c r="V90" s="48"/>
      <c r="W90" s="42"/>
    </row>
    <row r="91" spans="1:23" ht="39.75" customHeight="1" thickBot="1">
      <c r="A91" s="78" t="s">
        <v>144</v>
      </c>
      <c r="B91" s="77" t="s">
        <v>145</v>
      </c>
      <c r="C91" s="79">
        <v>6011.34</v>
      </c>
      <c r="D91" s="48"/>
      <c r="E91" s="50" t="s">
        <v>489</v>
      </c>
      <c r="F91" s="422" t="s">
        <v>490</v>
      </c>
      <c r="G91" s="51"/>
      <c r="H91" s="53"/>
      <c r="P91" s="40"/>
      <c r="T91" s="48"/>
      <c r="U91" s="49"/>
      <c r="V91" s="48"/>
      <c r="W91" s="42"/>
    </row>
    <row r="92" spans="1:23" ht="35.25" customHeight="1" thickBot="1">
      <c r="A92" s="78" t="s">
        <v>146</v>
      </c>
      <c r="B92" s="77" t="s">
        <v>87</v>
      </c>
      <c r="C92" s="79">
        <v>7598.5</v>
      </c>
      <c r="D92" s="48"/>
      <c r="E92" s="31"/>
      <c r="P92" s="50"/>
      <c r="Q92" s="51"/>
      <c r="R92" s="51"/>
      <c r="S92" s="51"/>
      <c r="T92" s="495"/>
      <c r="U92" s="496"/>
      <c r="V92" s="495"/>
      <c r="W92" s="53"/>
    </row>
    <row r="93" spans="1:23" ht="32.25" thickBot="1">
      <c r="A93" s="78" t="s">
        <v>147</v>
      </c>
      <c r="B93" s="77" t="s">
        <v>148</v>
      </c>
      <c r="C93" s="79">
        <v>10929.24</v>
      </c>
      <c r="D93" s="48"/>
      <c r="E93" s="462" t="s">
        <v>107</v>
      </c>
      <c r="F93" s="464" t="s">
        <v>108</v>
      </c>
      <c r="G93" s="463" t="s">
        <v>316</v>
      </c>
      <c r="H93" s="465" t="s">
        <v>487</v>
      </c>
      <c r="T93" s="48"/>
      <c r="U93" s="49"/>
      <c r="V93" s="48"/>
    </row>
    <row r="94" spans="1:23" ht="15" customHeight="1" thickBot="1">
      <c r="A94" s="78" t="s">
        <v>244</v>
      </c>
      <c r="B94" s="77" t="s">
        <v>245</v>
      </c>
      <c r="C94" s="79">
        <v>8128.63</v>
      </c>
      <c r="D94" s="48"/>
      <c r="E94" s="470" t="s">
        <v>401</v>
      </c>
      <c r="F94" s="467" t="s">
        <v>398</v>
      </c>
      <c r="G94" s="466">
        <v>500</v>
      </c>
      <c r="H94" s="468">
        <f>266316.95*1.330322*2.5</f>
        <v>885718.24389475002</v>
      </c>
      <c r="T94" s="48"/>
      <c r="U94" s="49"/>
      <c r="V94" s="48"/>
    </row>
    <row r="95" spans="1:23" ht="36.75" customHeight="1" thickBot="1">
      <c r="A95" s="78" t="s">
        <v>246</v>
      </c>
      <c r="B95" s="77" t="s">
        <v>247</v>
      </c>
      <c r="C95" s="79">
        <v>10494.53</v>
      </c>
      <c r="D95" s="48"/>
      <c r="E95" s="557" t="s">
        <v>495</v>
      </c>
      <c r="F95" s="558"/>
      <c r="G95" s="558"/>
      <c r="H95" s="559"/>
      <c r="T95" s="48"/>
      <c r="U95" s="49"/>
      <c r="V95" s="48"/>
    </row>
    <row r="96" spans="1:23" ht="15.75" thickBot="1">
      <c r="A96" s="78" t="s">
        <v>248</v>
      </c>
      <c r="B96" s="77" t="s">
        <v>249</v>
      </c>
      <c r="C96" s="79">
        <v>16300.93</v>
      </c>
      <c r="D96" s="48"/>
      <c r="E96" s="50" t="s">
        <v>489</v>
      </c>
      <c r="F96" s="422" t="s">
        <v>492</v>
      </c>
      <c r="G96" s="51"/>
      <c r="H96" s="53"/>
      <c r="T96" s="48"/>
      <c r="U96" s="49"/>
      <c r="V96" s="48"/>
    </row>
    <row r="97" spans="1:22" ht="14.25">
      <c r="A97" s="78" t="s">
        <v>286</v>
      </c>
      <c r="B97" s="77" t="s">
        <v>287</v>
      </c>
      <c r="C97" s="79">
        <v>6427.47</v>
      </c>
      <c r="D97" s="48"/>
      <c r="T97" s="48"/>
      <c r="U97" s="49"/>
      <c r="V97" s="48"/>
    </row>
    <row r="98" spans="1:22" ht="15" customHeight="1">
      <c r="A98" s="78" t="s">
        <v>288</v>
      </c>
      <c r="B98" s="77" t="s">
        <v>289</v>
      </c>
      <c r="C98" s="79">
        <v>8169.43</v>
      </c>
      <c r="D98" s="48"/>
      <c r="E98" s="31"/>
      <c r="T98" s="48"/>
      <c r="U98" s="49"/>
      <c r="V98" s="48"/>
    </row>
    <row r="99" spans="1:22" ht="15" customHeight="1">
      <c r="A99" s="78" t="s">
        <v>290</v>
      </c>
      <c r="B99" s="77" t="s">
        <v>101</v>
      </c>
      <c r="C99" s="79">
        <v>11704.11</v>
      </c>
      <c r="D99" s="48"/>
      <c r="E99" s="31"/>
      <c r="T99" s="48"/>
      <c r="U99" s="49"/>
      <c r="V99" s="48"/>
    </row>
    <row r="100" spans="1:22" ht="14.25">
      <c r="A100" s="78" t="s">
        <v>299</v>
      </c>
      <c r="B100" s="77" t="s">
        <v>300</v>
      </c>
      <c r="C100" s="79">
        <v>8353.6</v>
      </c>
      <c r="D100" s="48"/>
      <c r="E100" s="31"/>
    </row>
    <row r="101" spans="1:22" ht="14.25">
      <c r="A101" s="78" t="s">
        <v>301</v>
      </c>
      <c r="B101" s="77" t="s">
        <v>102</v>
      </c>
      <c r="C101" s="79">
        <v>10794.49</v>
      </c>
      <c r="D101" s="48"/>
      <c r="E101" s="31"/>
    </row>
    <row r="102" spans="1:22" ht="14.25">
      <c r="A102" s="78" t="s">
        <v>302</v>
      </c>
      <c r="B102" s="77" t="s">
        <v>303</v>
      </c>
      <c r="C102" s="79">
        <v>16517.21</v>
      </c>
      <c r="D102" s="48"/>
      <c r="E102" s="31"/>
    </row>
    <row r="103" spans="1:22" ht="38.1" customHeight="1">
      <c r="A103" s="78" t="s">
        <v>274</v>
      </c>
      <c r="B103" s="77" t="s">
        <v>275</v>
      </c>
      <c r="C103" s="79">
        <v>25.83</v>
      </c>
      <c r="D103" s="48"/>
      <c r="E103" s="31"/>
    </row>
    <row r="104" spans="1:22" ht="26.25">
      <c r="D104" s="48"/>
      <c r="E104" s="31"/>
      <c r="G104" s="556" t="s">
        <v>531</v>
      </c>
      <c r="H104" s="556"/>
      <c r="I104" s="556"/>
      <c r="J104" s="556"/>
      <c r="K104" s="556"/>
      <c r="L104" s="56"/>
      <c r="M104" s="56"/>
      <c r="N104" s="65"/>
      <c r="O104" s="65"/>
    </row>
    <row r="105" spans="1:22">
      <c r="H105" s="33"/>
      <c r="I105" s="55"/>
      <c r="J105" s="55"/>
      <c r="K105" s="55"/>
      <c r="L105" s="56"/>
      <c r="M105" s="56"/>
      <c r="N105" s="65"/>
      <c r="O105" s="65"/>
    </row>
    <row r="106" spans="1:22">
      <c r="D106" s="48"/>
      <c r="E106" s="31"/>
      <c r="F106" s="32"/>
      <c r="G106" s="31"/>
      <c r="H106" s="33"/>
      <c r="I106" s="55"/>
      <c r="J106" s="55"/>
      <c r="K106" s="55"/>
      <c r="L106" s="56"/>
      <c r="M106" s="56"/>
      <c r="N106" s="65"/>
      <c r="O106" s="65"/>
    </row>
    <row r="107" spans="1:22">
      <c r="H107" s="33"/>
      <c r="I107" s="28"/>
      <c r="J107" s="28"/>
      <c r="T107" s="48"/>
      <c r="U107" s="49"/>
      <c r="V107" s="48"/>
    </row>
    <row r="108" spans="1:22">
      <c r="H108" s="33"/>
      <c r="I108" s="55"/>
      <c r="J108" s="55"/>
      <c r="K108" s="55"/>
      <c r="L108" s="56"/>
      <c r="M108" s="56"/>
      <c r="N108" s="65"/>
      <c r="O108" s="65"/>
      <c r="P108" s="65"/>
      <c r="Q108" s="54"/>
      <c r="R108" s="65"/>
      <c r="S108" s="7"/>
      <c r="T108" s="48"/>
      <c r="U108" s="49"/>
      <c r="V108" s="48"/>
    </row>
    <row r="109" spans="1:22">
      <c r="H109" s="33"/>
      <c r="I109" s="28"/>
      <c r="J109" s="28"/>
      <c r="K109" s="66"/>
      <c r="Q109" s="47"/>
      <c r="R109" s="48"/>
      <c r="S109" s="47"/>
      <c r="T109" s="48"/>
      <c r="U109" s="49"/>
      <c r="V109" s="48"/>
    </row>
    <row r="110" spans="1:22">
      <c r="H110" s="33"/>
      <c r="I110" s="28"/>
      <c r="J110" s="28"/>
      <c r="K110" s="66"/>
      <c r="Q110" s="49"/>
      <c r="R110" s="48"/>
      <c r="S110" s="49"/>
      <c r="T110" s="48"/>
      <c r="U110" s="49"/>
      <c r="V110" s="48"/>
    </row>
    <row r="111" spans="1:22">
      <c r="H111" s="33"/>
      <c r="I111" s="28"/>
      <c r="J111" s="28"/>
      <c r="K111" s="66"/>
      <c r="Q111" s="49"/>
      <c r="R111" s="48"/>
      <c r="S111" s="49"/>
      <c r="T111" s="48"/>
      <c r="U111" s="49"/>
      <c r="V111" s="48"/>
    </row>
    <row r="112" spans="1:22" ht="58.5" customHeight="1">
      <c r="I112" s="28"/>
      <c r="J112" s="28"/>
      <c r="K112" s="66"/>
    </row>
    <row r="113" spans="1:3">
      <c r="A113" s="70"/>
    </row>
    <row r="115" spans="1:3">
      <c r="A115" s="28"/>
    </row>
    <row r="116" spans="1:3">
      <c r="A116" s="28"/>
    </row>
    <row r="117" spans="1:3">
      <c r="A117" s="28"/>
    </row>
    <row r="118" spans="1:3" ht="51" customHeight="1">
      <c r="A118" s="28"/>
    </row>
    <row r="119" spans="1:3">
      <c r="A119" s="28"/>
      <c r="C119" s="28"/>
    </row>
    <row r="120" spans="1:3">
      <c r="A120" s="28"/>
      <c r="C120" s="28"/>
    </row>
    <row r="121" spans="1:3" ht="15.75" customHeight="1">
      <c r="A121" s="28"/>
      <c r="C121" s="28"/>
    </row>
    <row r="123" spans="1:3">
      <c r="A123" s="28"/>
      <c r="C123" s="28"/>
    </row>
    <row r="144" spans="8:10">
      <c r="H144" s="28"/>
      <c r="I144" s="28"/>
      <c r="J144" s="28"/>
    </row>
    <row r="145" spans="4:17">
      <c r="H145" s="28"/>
      <c r="I145" s="28"/>
      <c r="J145" s="28"/>
    </row>
    <row r="146" spans="4:17">
      <c r="H146" s="28"/>
      <c r="I146" s="28"/>
      <c r="J146" s="28"/>
    </row>
    <row r="147" spans="4:17">
      <c r="H147" s="28"/>
      <c r="I147" s="28"/>
      <c r="J147" s="28"/>
    </row>
    <row r="148" spans="4:17">
      <c r="H148" s="28"/>
      <c r="I148" s="28"/>
      <c r="J148" s="28"/>
    </row>
    <row r="149" spans="4:17">
      <c r="H149" s="28"/>
      <c r="I149" s="28"/>
      <c r="J149" s="28"/>
    </row>
    <row r="150" spans="4:17">
      <c r="H150" s="28"/>
      <c r="I150" s="28"/>
      <c r="J150" s="28"/>
    </row>
    <row r="151" spans="4:17">
      <c r="H151" s="28"/>
      <c r="I151" s="28"/>
      <c r="J151" s="28"/>
    </row>
    <row r="152" spans="4:17">
      <c r="H152" s="28"/>
      <c r="I152" s="28"/>
      <c r="J152" s="28"/>
    </row>
    <row r="153" spans="4:17">
      <c r="H153" s="28"/>
      <c r="I153" s="28"/>
      <c r="J153" s="28"/>
    </row>
    <row r="154" spans="4:17">
      <c r="H154" s="28"/>
      <c r="I154" s="28"/>
      <c r="J154" s="28"/>
    </row>
    <row r="155" spans="4:17">
      <c r="H155" s="28"/>
      <c r="I155" s="28"/>
      <c r="J155" s="28"/>
    </row>
    <row r="156" spans="4:17">
      <c r="H156" s="28"/>
      <c r="I156" s="28"/>
      <c r="J156" s="28"/>
    </row>
    <row r="157" spans="4:17">
      <c r="H157" s="28"/>
      <c r="I157" s="28"/>
      <c r="J157" s="28"/>
    </row>
    <row r="158" spans="4:17">
      <c r="H158" s="28"/>
      <c r="I158" s="28"/>
      <c r="J158" s="28"/>
    </row>
    <row r="159" spans="4:17">
      <c r="H159" s="28"/>
      <c r="I159" s="28"/>
      <c r="J159" s="28"/>
    </row>
    <row r="160" spans="4:17"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</row>
    <row r="161" spans="4:17"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</row>
    <row r="162" spans="4:17"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</row>
    <row r="163" spans="4:17"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</row>
    <row r="164" spans="4:17"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</row>
    <row r="165" spans="4:17"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</row>
    <row r="166" spans="4:17"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</row>
    <row r="167" spans="4:17"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</row>
  </sheetData>
  <autoFilter ref="A3:C103" xr:uid="{A02A16C5-263E-4DC2-9716-E33AE1E2D5D6}"/>
  <mergeCells count="43">
    <mergeCell ref="A1:C1"/>
    <mergeCell ref="A3:A4"/>
    <mergeCell ref="B3:B4"/>
    <mergeCell ref="P2:P3"/>
    <mergeCell ref="N2:N3"/>
    <mergeCell ref="H2:I2"/>
    <mergeCell ref="J2:K2"/>
    <mergeCell ref="L2:M2"/>
    <mergeCell ref="O2:O3"/>
    <mergeCell ref="E1:P1"/>
    <mergeCell ref="G2:G3"/>
    <mergeCell ref="E2:E3"/>
    <mergeCell ref="F2:F3"/>
    <mergeCell ref="G104:K104"/>
    <mergeCell ref="E95:H95"/>
    <mergeCell ref="E76:E77"/>
    <mergeCell ref="G76:H76"/>
    <mergeCell ref="G77:H77"/>
    <mergeCell ref="E82:E83"/>
    <mergeCell ref="G82:H82"/>
    <mergeCell ref="G83:H83"/>
    <mergeCell ref="E78:E81"/>
    <mergeCell ref="G78:H78"/>
    <mergeCell ref="G79:H79"/>
    <mergeCell ref="G80:H80"/>
    <mergeCell ref="G81:H81"/>
    <mergeCell ref="E84:J85"/>
    <mergeCell ref="Q2:Q3"/>
    <mergeCell ref="H9:I9"/>
    <mergeCell ref="N33:O35"/>
    <mergeCell ref="P67:V67"/>
    <mergeCell ref="E74:E75"/>
    <mergeCell ref="G74:H74"/>
    <mergeCell ref="G75:H75"/>
    <mergeCell ref="E55:H57"/>
    <mergeCell ref="H13:J16"/>
    <mergeCell ref="E71:J71"/>
    <mergeCell ref="E72:J72"/>
    <mergeCell ref="E19:G21"/>
    <mergeCell ref="P71:W75"/>
    <mergeCell ref="S32:S33"/>
    <mergeCell ref="R31:R32"/>
    <mergeCell ref="H12:I12"/>
  </mergeCells>
  <conditionalFormatting sqref="G106 J74:J77">
    <cfRule type="duplicateValues" dxfId="18" priority="91"/>
  </conditionalFormatting>
  <conditionalFormatting sqref="G88:H88">
    <cfRule type="duplicateValues" dxfId="17" priority="111"/>
  </conditionalFormatting>
  <conditionalFormatting sqref="G93:H93">
    <cfRule type="duplicateValues" dxfId="16" priority="9"/>
  </conditionalFormatting>
  <conditionalFormatting sqref="H88">
    <cfRule type="duplicateValues" dxfId="15" priority="13"/>
    <cfRule type="duplicateValues" dxfId="14" priority="15"/>
  </conditionalFormatting>
  <conditionalFormatting sqref="H89">
    <cfRule type="duplicateValues" dxfId="13" priority="10"/>
    <cfRule type="duplicateValues" dxfId="12" priority="11"/>
    <cfRule type="duplicateValues" dxfId="11" priority="12"/>
  </conditionalFormatting>
  <conditionalFormatting sqref="H93">
    <cfRule type="duplicateValues" dxfId="10" priority="7"/>
    <cfRule type="duplicateValues" dxfId="9" priority="8"/>
  </conditionalFormatting>
  <conditionalFormatting sqref="H94">
    <cfRule type="duplicateValues" dxfId="8" priority="1"/>
    <cfRule type="duplicateValues" dxfId="7" priority="2"/>
    <cfRule type="duplicateValues" dxfId="6" priority="3"/>
  </conditionalFormatting>
  <conditionalFormatting sqref="H107:H111 E90 E42:F44 E106:H106 H42:H44 E92 H74:H77 J74:J77 E95 E98:E104 H105">
    <cfRule type="duplicateValues" dxfId="5" priority="119"/>
  </conditionalFormatting>
  <conditionalFormatting sqref="H107:H111 J74:J77 H42:H44 G106:H106 H105">
    <cfRule type="duplicateValues" dxfId="4" priority="95"/>
  </conditionalFormatting>
  <conditionalFormatting sqref="I62">
    <cfRule type="duplicateValues" dxfId="3" priority="17"/>
    <cfRule type="duplicateValues" dxfId="2" priority="18"/>
    <cfRule type="duplicateValues" dxfId="1" priority="19"/>
  </conditionalFormatting>
  <conditionalFormatting sqref="P69:Q69">
    <cfRule type="duplicateValues" dxfId="0" priority="20"/>
  </conditionalFormatting>
  <hyperlinks>
    <hyperlink ref="A1" r:id="rId1" xr:uid="{07437CA3-8E63-48FD-9B03-4F1B4B7C50B9}"/>
    <hyperlink ref="E19" r:id="rId2" xr:uid="{598243A8-0DCB-4337-ADEC-FBA31AEF466F}"/>
    <hyperlink ref="N33" r:id="rId3" xr:uid="{65419010-C227-4930-9B18-6F81679E757B}"/>
    <hyperlink ref="F91" r:id="rId4" xr:uid="{6967C12D-362C-4CC5-8EA8-7829EEC4D566}"/>
    <hyperlink ref="F96" r:id="rId5" xr:uid="{0394E10A-BD87-4AC8-8A58-F4ED3EBB7941}"/>
  </hyperlinks>
  <printOptions horizontalCentered="1" verticalCentered="1"/>
  <pageMargins left="0.25" right="0.25" top="0.75" bottom="0.75" header="0.3" footer="0.3"/>
  <pageSetup paperSize="9" scale="23" orientation="landscape" r:id="rId6"/>
  <rowBreaks count="1" manualBreakCount="1">
    <brk id="105" max="16383" man="1"/>
  </rowBreaks>
  <drawing r:id="rId7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7B28-95D2-46A6-B01D-21E2FB584DFC}">
  <sheetPr>
    <tabColor theme="9" tint="0.39997558519241921"/>
    <pageSetUpPr fitToPage="1"/>
  </sheetPr>
  <dimension ref="A1:J31"/>
  <sheetViews>
    <sheetView showGridLines="0" zoomScale="80" zoomScaleNormal="80" workbookViewId="0">
      <selection activeCell="E43" sqref="E43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9.28515625" style="3"/>
    <col min="6" max="6" width="12.28515625" style="3" customWidth="1"/>
    <col min="7" max="7" width="17.42578125" style="3" customWidth="1"/>
    <col min="8" max="8" width="17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PRODUTOS!A29</f>
        <v>26</v>
      </c>
      <c r="B3" s="599" t="str">
        <f>PRODUTOS!B29</f>
        <v>PROGRAMA DE GERENCIAMENTO DE RISCOS</v>
      </c>
      <c r="C3" s="599"/>
      <c r="D3" s="599"/>
      <c r="E3" s="119" t="str">
        <f>PRODUTOS!C29</f>
        <v>PGR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SUM(I8:I9)</f>
        <v>97546.775870294266</v>
      </c>
      <c r="J7" s="99"/>
    </row>
    <row r="8" spans="1:10" ht="27.75" customHeight="1">
      <c r="A8" s="106"/>
      <c r="B8" s="80" t="s">
        <v>215</v>
      </c>
      <c r="C8" s="200" t="str">
        <f>VLOOKUP(B8,'Preços de Referência'!$A$5:$C$103,2,FALSE)</f>
        <v>Engenheiro consultor especial</v>
      </c>
      <c r="D8" s="134" t="s">
        <v>15</v>
      </c>
      <c r="E8" s="182">
        <v>1</v>
      </c>
      <c r="F8" s="159">
        <f>'Preços de Referência'!$O$28*(7)+'Preços de Referência'!$O$30*1.5</f>
        <v>325.06600000000003</v>
      </c>
      <c r="G8" s="88">
        <f>VLOOKUP(B8,'Preços de Referência'!$A$5:$C$103,3,FALSE)</f>
        <v>39556.800000000003</v>
      </c>
      <c r="H8" s="88">
        <f>G8/'Preços de Referência'!$O$30</f>
        <v>216.76146638171954</v>
      </c>
      <c r="I8" s="91">
        <f t="shared" ref="I8:I9" si="0">H8*F8*E8</f>
        <v>70461.782830840049</v>
      </c>
      <c r="J8" s="99"/>
    </row>
    <row r="9" spans="1:10" ht="15.75">
      <c r="A9" s="106"/>
      <c r="B9" s="80" t="s">
        <v>18</v>
      </c>
      <c r="C9" s="200" t="s">
        <v>385</v>
      </c>
      <c r="D9" s="134" t="s">
        <v>15</v>
      </c>
      <c r="E9" s="182">
        <v>1</v>
      </c>
      <c r="F9" s="159">
        <f>'Preços de Referência'!$O$28*(7+20)</f>
        <v>197.99100000000001</v>
      </c>
      <c r="G9" s="88">
        <f>VLOOKUP(B9,'Preços de Referência'!$A$5:$C$103,3,FALSE)</f>
        <v>24964.47</v>
      </c>
      <c r="H9" s="88">
        <f>G9/'Preços de Referência'!$O$30</f>
        <v>136.79911228012494</v>
      </c>
      <c r="I9" s="91">
        <f t="shared" si="0"/>
        <v>27084.993039454221</v>
      </c>
      <c r="J9" s="99"/>
    </row>
    <row r="10" spans="1:10" ht="15.75" hidden="1">
      <c r="A10" s="128" t="s">
        <v>21</v>
      </c>
      <c r="B10" s="107"/>
      <c r="C10" s="126" t="s">
        <v>22</v>
      </c>
      <c r="D10" s="107"/>
      <c r="E10" s="196"/>
      <c r="F10" s="107"/>
      <c r="G10" s="107"/>
      <c r="H10" s="123"/>
      <c r="I10" s="100">
        <v>0</v>
      </c>
      <c r="J10" s="99"/>
    </row>
    <row r="11" spans="1:10" ht="28.5" hidden="1" customHeight="1">
      <c r="A11" s="106"/>
      <c r="B11" s="84" t="s">
        <v>23</v>
      </c>
      <c r="C11" s="125" t="str">
        <f>VLOOKUP(B11,'Preços de Referência'!$E$4:$P$5,2,FALSE)</f>
        <v>Veículo leve picape 4 x 4 com capacidade de 1,10 t - 147 kW (sem motorista)</v>
      </c>
      <c r="D11" s="134" t="s">
        <v>15</v>
      </c>
      <c r="E11" s="182">
        <v>1</v>
      </c>
      <c r="F11" s="159">
        <v>7</v>
      </c>
      <c r="G11" s="88">
        <f>VLOOKUP(B11,'Preços de Referência'!$E$4:$P$5,10,FALSE)</f>
        <v>8274.9513000000006</v>
      </c>
      <c r="H11" s="88">
        <f>VLOOKUP(B11,'Preços de Referência'!$E$4:$P$5,12,FALSE)</f>
        <v>45.3446</v>
      </c>
      <c r="I11" s="91">
        <f>H11*F11*E11</f>
        <v>317.41219999999998</v>
      </c>
      <c r="J11" s="99"/>
    </row>
    <row r="12" spans="1:10" ht="30" hidden="1">
      <c r="A12" s="128" t="s">
        <v>24</v>
      </c>
      <c r="B12" s="107"/>
      <c r="C12" s="126" t="s">
        <v>25</v>
      </c>
      <c r="D12" s="107"/>
      <c r="E12" s="196"/>
      <c r="F12" s="107"/>
      <c r="G12" s="107"/>
      <c r="H12" s="123"/>
      <c r="I12" s="100">
        <v>0</v>
      </c>
      <c r="J12" s="99"/>
    </row>
    <row r="13" spans="1:10" ht="15.75" hidden="1">
      <c r="A13" s="106"/>
      <c r="B13" s="80" t="s">
        <v>26</v>
      </c>
      <c r="C13" s="125" t="s">
        <v>27</v>
      </c>
      <c r="D13" s="134" t="s">
        <v>15</v>
      </c>
      <c r="E13" s="182">
        <v>6</v>
      </c>
      <c r="F13" s="81">
        <f>'Preços de Referência'!$O$28*5</f>
        <v>36.664999999999999</v>
      </c>
      <c r="G13" s="81">
        <v>223.422507</v>
      </c>
      <c r="H13" s="88">
        <v>1.2242999999999999</v>
      </c>
      <c r="I13" s="91">
        <f>H13*F13*E13</f>
        <v>269.33375699999999</v>
      </c>
      <c r="J13" s="99"/>
    </row>
    <row r="14" spans="1:10" ht="28.5" hidden="1">
      <c r="A14" s="106"/>
      <c r="B14" s="80" t="s">
        <v>28</v>
      </c>
      <c r="C14" s="125" t="s">
        <v>29</v>
      </c>
      <c r="D14" s="134" t="s">
        <v>15</v>
      </c>
      <c r="E14" s="182">
        <v>1</v>
      </c>
      <c r="F14" s="81">
        <f>'Preços de Referência'!$O$28*5</f>
        <v>36.664999999999999</v>
      </c>
      <c r="G14" s="81">
        <f>E14*F14</f>
        <v>36.664999999999999</v>
      </c>
      <c r="H14" s="88">
        <v>5.16</v>
      </c>
      <c r="I14" s="91">
        <f>H14*F14*E14</f>
        <v>189.19139999999999</v>
      </c>
      <c r="J14" s="99"/>
    </row>
    <row r="15" spans="1:10" ht="15.75" hidden="1">
      <c r="A15" s="128" t="s">
        <v>30</v>
      </c>
      <c r="B15" s="107"/>
      <c r="C15" s="126" t="s">
        <v>31</v>
      </c>
      <c r="D15" s="107"/>
      <c r="E15" s="196"/>
      <c r="F15" s="107"/>
      <c r="G15" s="107"/>
      <c r="H15" s="123"/>
      <c r="I15" s="100">
        <v>0</v>
      </c>
      <c r="J15" s="99"/>
    </row>
    <row r="16" spans="1:10" ht="15.75" hidden="1">
      <c r="A16" s="129" t="s">
        <v>32</v>
      </c>
      <c r="B16" s="108"/>
      <c r="C16" s="127" t="s">
        <v>33</v>
      </c>
      <c r="D16" s="108"/>
      <c r="E16" s="197"/>
      <c r="F16" s="108"/>
      <c r="G16" s="108"/>
      <c r="H16" s="124"/>
      <c r="I16" s="101"/>
      <c r="J16" s="99"/>
    </row>
    <row r="17" spans="1:10" ht="28.5" hidden="1">
      <c r="A17" s="106"/>
      <c r="B17" s="80" t="s">
        <v>34</v>
      </c>
      <c r="C17" s="125" t="str">
        <f>VLOOKUP(B17,'Preços de Referência'!$F$74:$J$83,2,FALSE)</f>
        <v>Comercial (2,60% do CMCC - SINAPI)</v>
      </c>
      <c r="D17" s="80" t="str">
        <f>VLOOKUP(B17,'Preços de Referência'!$F$74:$J$83,4,FALSE)</f>
        <v>m² x mês</v>
      </c>
      <c r="E17" s="182">
        <f>12.41*6</f>
        <v>74.460000000000008</v>
      </c>
      <c r="F17" s="81">
        <f>'Preços de Referência'!$O$28*5</f>
        <v>36.664999999999999</v>
      </c>
      <c r="G17" s="89">
        <f>VLOOKUP(B17,'Preços de Referência'!$F$74:$J$83,5,FALSE)</f>
        <v>47.75</v>
      </c>
      <c r="H17" s="88">
        <f>G17/'Preços de Referência'!$O$30</f>
        <v>0.26165817305057809</v>
      </c>
      <c r="I17" s="91">
        <v>0</v>
      </c>
      <c r="J17" s="99"/>
    </row>
    <row r="18" spans="1:10" ht="15.75" hidden="1">
      <c r="A18" s="129" t="s">
        <v>35</v>
      </c>
      <c r="B18" s="108"/>
      <c r="C18" s="127" t="s">
        <v>36</v>
      </c>
      <c r="D18" s="108"/>
      <c r="E18" s="197"/>
      <c r="F18" s="108"/>
      <c r="G18" s="108"/>
      <c r="H18" s="124"/>
      <c r="I18" s="101"/>
      <c r="J18" s="99"/>
    </row>
    <row r="19" spans="1:10" ht="15.75" hidden="1">
      <c r="A19" s="106"/>
      <c r="B19" s="80" t="s">
        <v>37</v>
      </c>
      <c r="C19" s="125" t="str">
        <f>VLOOKUP(B19,'Preços de Referência'!$F$74:$J$83,2,FALSE)</f>
        <v>Escritório</v>
      </c>
      <c r="D19" s="80" t="str">
        <f>VLOOKUP(B19,'Preços de Referência'!$F$74:$J$83,4,FALSE)</f>
        <v>ocupante x mês</v>
      </c>
      <c r="E19" s="182">
        <v>6</v>
      </c>
      <c r="F19" s="81">
        <f>'Preços de Referência'!$O$28*5</f>
        <v>36.664999999999999</v>
      </c>
      <c r="G19" s="89">
        <f>VLOOKUP(B19,'Preços de Referência'!$F$74:$J$83,5,FALSE)</f>
        <v>490.4</v>
      </c>
      <c r="H19" s="88">
        <f>G19/'Preços de Referência'!$O$30</f>
        <v>2.6872705353718009</v>
      </c>
      <c r="I19" s="91">
        <f>H19*F19*E19</f>
        <v>591.17264507644245</v>
      </c>
      <c r="J19" s="99"/>
    </row>
    <row r="20" spans="1:10" ht="15.75" hidden="1">
      <c r="A20" s="129" t="s">
        <v>38</v>
      </c>
      <c r="B20" s="108"/>
      <c r="C20" s="127" t="s">
        <v>39</v>
      </c>
      <c r="D20" s="108"/>
      <c r="E20" s="197"/>
      <c r="F20" s="108"/>
      <c r="G20" s="108"/>
      <c r="H20" s="124"/>
      <c r="I20" s="101"/>
      <c r="J20" s="99"/>
    </row>
    <row r="21" spans="1:10" ht="15.75" hidden="1">
      <c r="A21" s="106"/>
      <c r="B21" s="80" t="s">
        <v>40</v>
      </c>
      <c r="C21" s="125" t="str">
        <f>VLOOKUP(B21,'Preços de Referência'!$F$74:$J$83,2,FALSE)</f>
        <v>Escritório</v>
      </c>
      <c r="D21" s="80" t="str">
        <f>VLOOKUP(B21,'Preços de Referência'!$F$74:$J$83,4,FALSE)</f>
        <v>ocupante x mês</v>
      </c>
      <c r="E21" s="182">
        <v>6</v>
      </c>
      <c r="F21" s="81">
        <f>'Preços de Referência'!$O$28*5</f>
        <v>36.664999999999999</v>
      </c>
      <c r="G21" s="89">
        <f>VLOOKUP(B21,'Preços de Referência'!$F$74:$J$83,5,FALSE)</f>
        <v>135.22</v>
      </c>
      <c r="H21" s="88">
        <f>G21/'Preços de Referência'!$O$30</f>
        <v>0.74097210806071556</v>
      </c>
      <c r="I21" s="91">
        <f>H21*F21*E21</f>
        <v>163.00645405227681</v>
      </c>
      <c r="J21" s="99"/>
    </row>
    <row r="22" spans="1:10" ht="15.75" hidden="1">
      <c r="A22" s="160" t="s">
        <v>361</v>
      </c>
      <c r="B22" s="161"/>
      <c r="C22" s="162" t="s">
        <v>360</v>
      </c>
      <c r="D22" s="161"/>
      <c r="E22" s="198"/>
      <c r="F22" s="161"/>
      <c r="G22" s="161"/>
      <c r="H22" s="161"/>
      <c r="I22" s="163">
        <v>0</v>
      </c>
    </row>
    <row r="23" spans="1:10" ht="42.75" hidden="1">
      <c r="A23" s="164"/>
      <c r="B23" s="169" t="s">
        <v>198</v>
      </c>
      <c r="C23" s="165" t="s">
        <v>199</v>
      </c>
      <c r="D23" s="134" t="s">
        <v>122</v>
      </c>
      <c r="E23" s="199">
        <v>2</v>
      </c>
      <c r="F23" s="192">
        <v>7</v>
      </c>
      <c r="G23" s="166">
        <v>341.02</v>
      </c>
      <c r="H23" s="167"/>
      <c r="I23" s="168">
        <f>E23*F23*G23</f>
        <v>4774.28</v>
      </c>
    </row>
    <row r="24" spans="1:10" ht="28.5" hidden="1">
      <c r="A24" s="164"/>
      <c r="B24" s="169" t="s">
        <v>194</v>
      </c>
      <c r="C24" s="165" t="s">
        <v>195</v>
      </c>
      <c r="D24" s="134" t="s">
        <v>122</v>
      </c>
      <c r="E24" s="199">
        <v>1</v>
      </c>
      <c r="F24" s="192">
        <v>2</v>
      </c>
      <c r="G24" s="166">
        <v>1189.4070999999999</v>
      </c>
      <c r="H24" s="167"/>
      <c r="I24" s="168">
        <f>E24*F24*G24</f>
        <v>2378.8141999999998</v>
      </c>
    </row>
    <row r="25" spans="1:10" ht="15.75">
      <c r="A25" s="359"/>
      <c r="B25" s="193"/>
      <c r="C25" s="82"/>
      <c r="D25" s="82"/>
      <c r="E25" s="82"/>
      <c r="F25" s="82"/>
      <c r="G25" s="82"/>
      <c r="H25" s="475" t="s">
        <v>41</v>
      </c>
      <c r="I25" s="92">
        <f>I7+I12+I15+I10+I22</f>
        <v>97546.775870294266</v>
      </c>
      <c r="J25" s="99"/>
    </row>
    <row r="26" spans="1:10" ht="15.75">
      <c r="A26" s="93"/>
      <c r="B26" s="83"/>
      <c r="C26" s="83"/>
      <c r="D26" s="83"/>
      <c r="E26" s="83"/>
      <c r="F26" s="83"/>
      <c r="G26" s="474" t="s">
        <v>42</v>
      </c>
      <c r="H26" s="252">
        <f>BDI!$D$17</f>
        <v>0.44579999999999997</v>
      </c>
      <c r="I26" s="94">
        <f>I25*H26</f>
        <v>43486.35268297718</v>
      </c>
      <c r="J26" s="99"/>
    </row>
    <row r="27" spans="1:10" ht="16.5" customHeight="1" thickBot="1">
      <c r="A27" s="597"/>
      <c r="B27" s="598"/>
      <c r="C27" s="598"/>
      <c r="D27" s="95"/>
      <c r="E27" s="95"/>
      <c r="F27" s="95"/>
      <c r="G27" s="95"/>
      <c r="H27" s="181" t="s">
        <v>378</v>
      </c>
      <c r="I27" s="96">
        <f>I25+I26</f>
        <v>141033.12855327144</v>
      </c>
      <c r="J27" s="99"/>
    </row>
    <row r="28" spans="1:10" ht="16.5" thickBot="1">
      <c r="A28" s="597"/>
      <c r="B28" s="598"/>
      <c r="C28" s="598"/>
      <c r="D28" s="95"/>
      <c r="E28" s="95"/>
      <c r="F28" s="95"/>
      <c r="G28" s="95"/>
      <c r="H28" s="181" t="s">
        <v>379</v>
      </c>
      <c r="I28" s="96">
        <f>(I27/500)</f>
        <v>282.06625710654288</v>
      </c>
      <c r="J28" s="99"/>
    </row>
    <row r="29" spans="1:10" ht="15.75">
      <c r="A29" s="173"/>
      <c r="F29" s="585" t="s">
        <v>44</v>
      </c>
      <c r="G29" s="586"/>
      <c r="H29" s="586"/>
      <c r="I29" s="594"/>
      <c r="J29" s="99"/>
    </row>
    <row r="30" spans="1:10" ht="15.75">
      <c r="A30" s="173"/>
      <c r="F30" s="109" t="str">
        <f>A2</f>
        <v>Bloco 1</v>
      </c>
      <c r="G30" s="109" t="s">
        <v>45</v>
      </c>
      <c r="H30" s="109" t="s">
        <v>46</v>
      </c>
      <c r="I30" s="174" t="s">
        <v>47</v>
      </c>
      <c r="J30" s="99"/>
    </row>
    <row r="31" spans="1:10" ht="19.5" thickBot="1">
      <c r="A31" s="175"/>
      <c r="B31" s="176"/>
      <c r="C31" s="176"/>
      <c r="D31" s="176"/>
      <c r="E31" s="176"/>
      <c r="F31" s="189">
        <f>A3</f>
        <v>26</v>
      </c>
      <c r="G31" s="189">
        <v>1640</v>
      </c>
      <c r="H31" s="190">
        <f>I28</f>
        <v>282.06625710654288</v>
      </c>
      <c r="I31" s="191">
        <f>G31*H31</f>
        <v>462588.66165473033</v>
      </c>
      <c r="J31" s="99"/>
    </row>
  </sheetData>
  <mergeCells count="10">
    <mergeCell ref="B3:D3"/>
    <mergeCell ref="A27:C27"/>
    <mergeCell ref="A28:C28"/>
    <mergeCell ref="F29:I29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60886-C502-4066-8701-7C9754A49F86}">
  <sheetPr>
    <tabColor theme="9" tint="0.39997558519241921"/>
    <pageSetUpPr fitToPage="1"/>
  </sheetPr>
  <dimension ref="A1:J31"/>
  <sheetViews>
    <sheetView showGridLines="0" zoomScale="80" zoomScaleNormal="80" workbookViewId="0">
      <selection activeCell="I64" sqref="I64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9.28515625" style="3"/>
    <col min="6" max="6" width="12.28515625" style="3" customWidth="1"/>
    <col min="7" max="7" width="17.42578125" style="3" customWidth="1"/>
    <col min="8" max="8" width="17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PRODUTOS!A30</f>
        <v>27</v>
      </c>
      <c r="B3" s="599" t="str">
        <f>PRODUTOS!B30</f>
        <v>PLANO DE AÇÃO DE EMERGÊNCIA</v>
      </c>
      <c r="C3" s="599"/>
      <c r="D3" s="599"/>
      <c r="E3" s="119" t="str">
        <f>PRODUTOS!C30</f>
        <v>PAE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SUM(I8:I9)</f>
        <v>97546.775870294266</v>
      </c>
      <c r="J7" s="99"/>
    </row>
    <row r="8" spans="1:10" ht="27.75" customHeight="1">
      <c r="A8" s="106"/>
      <c r="B8" s="80" t="s">
        <v>215</v>
      </c>
      <c r="C8" s="200" t="str">
        <f>VLOOKUP(B8,'Preços de Referência'!$A$5:$C$103,2,FALSE)</f>
        <v>Engenheiro consultor especial</v>
      </c>
      <c r="D8" s="134" t="s">
        <v>15</v>
      </c>
      <c r="E8" s="182">
        <v>1</v>
      </c>
      <c r="F8" s="159">
        <f>'Preços de Referência'!$O$28*(7)+'Preços de Referência'!$O$30*1.5</f>
        <v>325.06600000000003</v>
      </c>
      <c r="G8" s="88">
        <f>VLOOKUP(B8,'Preços de Referência'!$A$5:$C$103,3,FALSE)</f>
        <v>39556.800000000003</v>
      </c>
      <c r="H8" s="88">
        <f>G8/'Preços de Referência'!$O$30</f>
        <v>216.76146638171954</v>
      </c>
      <c r="I8" s="91">
        <f t="shared" ref="I8:I9" si="0">H8*F8*E8</f>
        <v>70461.782830840049</v>
      </c>
      <c r="J8" s="99"/>
    </row>
    <row r="9" spans="1:10" ht="15.75">
      <c r="A9" s="106"/>
      <c r="B9" s="80" t="s">
        <v>18</v>
      </c>
      <c r="C9" s="200" t="s">
        <v>385</v>
      </c>
      <c r="D9" s="134" t="s">
        <v>15</v>
      </c>
      <c r="E9" s="182">
        <v>1</v>
      </c>
      <c r="F9" s="159">
        <f>'Preços de Referência'!$O$28*(7+20)</f>
        <v>197.99100000000001</v>
      </c>
      <c r="G9" s="88">
        <f>VLOOKUP(B9,'Preços de Referência'!$A$5:$C$103,3,FALSE)</f>
        <v>24964.47</v>
      </c>
      <c r="H9" s="88">
        <f>G9/'Preços de Referência'!$O$30</f>
        <v>136.79911228012494</v>
      </c>
      <c r="I9" s="91">
        <f t="shared" si="0"/>
        <v>27084.993039454221</v>
      </c>
      <c r="J9" s="99"/>
    </row>
    <row r="10" spans="1:10" ht="15.75" hidden="1">
      <c r="A10" s="128" t="s">
        <v>21</v>
      </c>
      <c r="B10" s="107"/>
      <c r="C10" s="126" t="s">
        <v>22</v>
      </c>
      <c r="D10" s="107"/>
      <c r="E10" s="196"/>
      <c r="F10" s="107"/>
      <c r="G10" s="107"/>
      <c r="H10" s="123"/>
      <c r="I10" s="100">
        <v>0</v>
      </c>
      <c r="J10" s="99"/>
    </row>
    <row r="11" spans="1:10" ht="28.5" hidden="1" customHeight="1">
      <c r="A11" s="106"/>
      <c r="B11" s="84" t="s">
        <v>23</v>
      </c>
      <c r="C11" s="125" t="str">
        <f>VLOOKUP(B11,'Preços de Referência'!$E$4:$P$5,2,FALSE)</f>
        <v>Veículo leve picape 4 x 4 com capacidade de 1,10 t - 147 kW (sem motorista)</v>
      </c>
      <c r="D11" s="134" t="s">
        <v>15</v>
      </c>
      <c r="E11" s="182">
        <v>1</v>
      </c>
      <c r="F11" s="159">
        <v>7</v>
      </c>
      <c r="G11" s="88">
        <f>VLOOKUP(B11,'Preços de Referência'!$E$4:$P$5,10,FALSE)</f>
        <v>8274.9513000000006</v>
      </c>
      <c r="H11" s="88">
        <f>VLOOKUP(B11,'Preços de Referência'!$E$4:$P$5,12,FALSE)</f>
        <v>45.3446</v>
      </c>
      <c r="I11" s="91">
        <f>H11*F11*E11</f>
        <v>317.41219999999998</v>
      </c>
      <c r="J11" s="99"/>
    </row>
    <row r="12" spans="1:10" ht="30" hidden="1">
      <c r="A12" s="128" t="s">
        <v>24</v>
      </c>
      <c r="B12" s="107"/>
      <c r="C12" s="126" t="s">
        <v>25</v>
      </c>
      <c r="D12" s="107"/>
      <c r="E12" s="196"/>
      <c r="F12" s="107"/>
      <c r="G12" s="107"/>
      <c r="H12" s="123"/>
      <c r="I12" s="100">
        <v>0</v>
      </c>
      <c r="J12" s="99"/>
    </row>
    <row r="13" spans="1:10" ht="15.75" hidden="1">
      <c r="A13" s="106"/>
      <c r="B13" s="80" t="s">
        <v>26</v>
      </c>
      <c r="C13" s="125" t="s">
        <v>27</v>
      </c>
      <c r="D13" s="134" t="s">
        <v>15</v>
      </c>
      <c r="E13" s="182">
        <v>6</v>
      </c>
      <c r="F13" s="81">
        <f>'Preços de Referência'!$O$28*5</f>
        <v>36.664999999999999</v>
      </c>
      <c r="G13" s="81">
        <v>223.422507</v>
      </c>
      <c r="H13" s="88">
        <v>1.2242999999999999</v>
      </c>
      <c r="I13" s="91">
        <f>H13*F13*E13</f>
        <v>269.33375699999999</v>
      </c>
      <c r="J13" s="99"/>
    </row>
    <row r="14" spans="1:10" ht="28.5" hidden="1">
      <c r="A14" s="106"/>
      <c r="B14" s="80" t="s">
        <v>28</v>
      </c>
      <c r="C14" s="125" t="s">
        <v>29</v>
      </c>
      <c r="D14" s="134" t="s">
        <v>15</v>
      </c>
      <c r="E14" s="182">
        <v>1</v>
      </c>
      <c r="F14" s="81">
        <f>'Preços de Referência'!$O$28*5</f>
        <v>36.664999999999999</v>
      </c>
      <c r="G14" s="81">
        <f>E14*F14</f>
        <v>36.664999999999999</v>
      </c>
      <c r="H14" s="88">
        <v>5.16</v>
      </c>
      <c r="I14" s="91">
        <f>H14*F14*E14</f>
        <v>189.19139999999999</v>
      </c>
      <c r="J14" s="99"/>
    </row>
    <row r="15" spans="1:10" ht="15.75" hidden="1">
      <c r="A15" s="128" t="s">
        <v>30</v>
      </c>
      <c r="B15" s="107"/>
      <c r="C15" s="126" t="s">
        <v>31</v>
      </c>
      <c r="D15" s="107"/>
      <c r="E15" s="196"/>
      <c r="F15" s="107"/>
      <c r="G15" s="107"/>
      <c r="H15" s="123"/>
      <c r="I15" s="100">
        <v>0</v>
      </c>
      <c r="J15" s="99"/>
    </row>
    <row r="16" spans="1:10" ht="15.75" hidden="1">
      <c r="A16" s="129" t="s">
        <v>32</v>
      </c>
      <c r="B16" s="108"/>
      <c r="C16" s="127" t="s">
        <v>33</v>
      </c>
      <c r="D16" s="108"/>
      <c r="E16" s="197"/>
      <c r="F16" s="108"/>
      <c r="G16" s="108"/>
      <c r="H16" s="124"/>
      <c r="I16" s="101"/>
      <c r="J16" s="99"/>
    </row>
    <row r="17" spans="1:10" ht="28.5" hidden="1">
      <c r="A17" s="106"/>
      <c r="B17" s="80" t="s">
        <v>34</v>
      </c>
      <c r="C17" s="125" t="str">
        <f>VLOOKUP(B17,'Preços de Referência'!$F$74:$J$83,2,FALSE)</f>
        <v>Comercial (2,60% do CMCC - SINAPI)</v>
      </c>
      <c r="D17" s="80" t="str">
        <f>VLOOKUP(B17,'Preços de Referência'!$F$74:$J$83,4,FALSE)</f>
        <v>m² x mês</v>
      </c>
      <c r="E17" s="182">
        <f>12.41*6</f>
        <v>74.460000000000008</v>
      </c>
      <c r="F17" s="81">
        <f>'Preços de Referência'!$O$28*5</f>
        <v>36.664999999999999</v>
      </c>
      <c r="G17" s="89">
        <f>VLOOKUP(B17,'Preços de Referência'!$F$74:$J$83,5,FALSE)</f>
        <v>47.75</v>
      </c>
      <c r="H17" s="88">
        <f>G17/'Preços de Referência'!$O$30</f>
        <v>0.26165817305057809</v>
      </c>
      <c r="I17" s="91">
        <v>0</v>
      </c>
      <c r="J17" s="99"/>
    </row>
    <row r="18" spans="1:10" ht="15.75" hidden="1">
      <c r="A18" s="129" t="s">
        <v>35</v>
      </c>
      <c r="B18" s="108"/>
      <c r="C18" s="127" t="s">
        <v>36</v>
      </c>
      <c r="D18" s="108"/>
      <c r="E18" s="197"/>
      <c r="F18" s="108"/>
      <c r="G18" s="108"/>
      <c r="H18" s="124"/>
      <c r="I18" s="101"/>
      <c r="J18" s="99"/>
    </row>
    <row r="19" spans="1:10" ht="15.75" hidden="1">
      <c r="A19" s="106"/>
      <c r="B19" s="80" t="s">
        <v>37</v>
      </c>
      <c r="C19" s="125" t="str">
        <f>VLOOKUP(B19,'Preços de Referência'!$F$74:$J$83,2,FALSE)</f>
        <v>Escritório</v>
      </c>
      <c r="D19" s="80" t="str">
        <f>VLOOKUP(B19,'Preços de Referência'!$F$74:$J$83,4,FALSE)</f>
        <v>ocupante x mês</v>
      </c>
      <c r="E19" s="182">
        <v>6</v>
      </c>
      <c r="F19" s="81">
        <f>'Preços de Referência'!$O$28*5</f>
        <v>36.664999999999999</v>
      </c>
      <c r="G19" s="89">
        <f>VLOOKUP(B19,'Preços de Referência'!$F$74:$J$83,5,FALSE)</f>
        <v>490.4</v>
      </c>
      <c r="H19" s="88">
        <f>G19/'Preços de Referência'!$O$30</f>
        <v>2.6872705353718009</v>
      </c>
      <c r="I19" s="91">
        <f>H19*F19*E19</f>
        <v>591.17264507644245</v>
      </c>
      <c r="J19" s="99"/>
    </row>
    <row r="20" spans="1:10" ht="15.75" hidden="1">
      <c r="A20" s="129" t="s">
        <v>38</v>
      </c>
      <c r="B20" s="108"/>
      <c r="C20" s="127" t="s">
        <v>39</v>
      </c>
      <c r="D20" s="108"/>
      <c r="E20" s="197"/>
      <c r="F20" s="108"/>
      <c r="G20" s="108"/>
      <c r="H20" s="124"/>
      <c r="I20" s="101"/>
      <c r="J20" s="99"/>
    </row>
    <row r="21" spans="1:10" ht="15.75" hidden="1">
      <c r="A21" s="106"/>
      <c r="B21" s="80" t="s">
        <v>40</v>
      </c>
      <c r="C21" s="125" t="str">
        <f>VLOOKUP(B21,'Preços de Referência'!$F$74:$J$83,2,FALSE)</f>
        <v>Escritório</v>
      </c>
      <c r="D21" s="80" t="str">
        <f>VLOOKUP(B21,'Preços de Referência'!$F$74:$J$83,4,FALSE)</f>
        <v>ocupante x mês</v>
      </c>
      <c r="E21" s="182">
        <v>6</v>
      </c>
      <c r="F21" s="81">
        <f>'Preços de Referência'!$O$28*5</f>
        <v>36.664999999999999</v>
      </c>
      <c r="G21" s="89">
        <f>VLOOKUP(B21,'Preços de Referência'!$F$74:$J$83,5,FALSE)</f>
        <v>135.22</v>
      </c>
      <c r="H21" s="88">
        <f>G21/'Preços de Referência'!$O$30</f>
        <v>0.74097210806071556</v>
      </c>
      <c r="I21" s="91">
        <f>H21*F21*E21</f>
        <v>163.00645405227681</v>
      </c>
      <c r="J21" s="99"/>
    </row>
    <row r="22" spans="1:10" ht="15.75" hidden="1">
      <c r="A22" s="160" t="s">
        <v>361</v>
      </c>
      <c r="B22" s="161"/>
      <c r="C22" s="162" t="s">
        <v>360</v>
      </c>
      <c r="D22" s="161"/>
      <c r="E22" s="198"/>
      <c r="F22" s="161"/>
      <c r="G22" s="161"/>
      <c r="H22" s="161"/>
      <c r="I22" s="163">
        <v>0</v>
      </c>
    </row>
    <row r="23" spans="1:10" ht="42.75" hidden="1">
      <c r="A23" s="164"/>
      <c r="B23" s="169" t="s">
        <v>198</v>
      </c>
      <c r="C23" s="165" t="s">
        <v>199</v>
      </c>
      <c r="D23" s="134" t="s">
        <v>122</v>
      </c>
      <c r="E23" s="199">
        <v>2</v>
      </c>
      <c r="F23" s="192">
        <v>7</v>
      </c>
      <c r="G23" s="166">
        <v>341.02</v>
      </c>
      <c r="H23" s="167"/>
      <c r="I23" s="168">
        <f>E23*F23*G23</f>
        <v>4774.28</v>
      </c>
    </row>
    <row r="24" spans="1:10" ht="28.5" hidden="1">
      <c r="A24" s="164"/>
      <c r="B24" s="169" t="s">
        <v>194</v>
      </c>
      <c r="C24" s="165" t="s">
        <v>195</v>
      </c>
      <c r="D24" s="134" t="s">
        <v>122</v>
      </c>
      <c r="E24" s="199">
        <v>1</v>
      </c>
      <c r="F24" s="192">
        <v>2</v>
      </c>
      <c r="G24" s="166">
        <v>1189.4070999999999</v>
      </c>
      <c r="H24" s="167"/>
      <c r="I24" s="168">
        <f>E24*F24*G24</f>
        <v>2378.8141999999998</v>
      </c>
    </row>
    <row r="25" spans="1:10" ht="15.75">
      <c r="A25" s="359"/>
      <c r="B25" s="193"/>
      <c r="C25" s="82"/>
      <c r="D25" s="82"/>
      <c r="E25" s="82"/>
      <c r="F25" s="82"/>
      <c r="G25" s="82"/>
      <c r="H25" s="475" t="s">
        <v>41</v>
      </c>
      <c r="I25" s="92">
        <f>I7+I12+I15+I10+I22</f>
        <v>97546.775870294266</v>
      </c>
      <c r="J25" s="99"/>
    </row>
    <row r="26" spans="1:10" ht="15.75">
      <c r="A26" s="93"/>
      <c r="B26" s="83"/>
      <c r="C26" s="83"/>
      <c r="D26" s="83"/>
      <c r="E26" s="83"/>
      <c r="F26" s="83"/>
      <c r="G26" s="474" t="s">
        <v>42</v>
      </c>
      <c r="H26" s="252">
        <f>BDI!$D$17</f>
        <v>0.44579999999999997</v>
      </c>
      <c r="I26" s="94">
        <f>I25*H26</f>
        <v>43486.35268297718</v>
      </c>
      <c r="J26" s="99"/>
    </row>
    <row r="27" spans="1:10" ht="16.5" customHeight="1" thickBot="1">
      <c r="A27" s="597"/>
      <c r="B27" s="598"/>
      <c r="C27" s="598"/>
      <c r="D27" s="95"/>
      <c r="E27" s="95"/>
      <c r="F27" s="95"/>
      <c r="G27" s="95"/>
      <c r="H27" s="181" t="s">
        <v>378</v>
      </c>
      <c r="I27" s="96">
        <f>I25+I26</f>
        <v>141033.12855327144</v>
      </c>
      <c r="J27" s="99"/>
    </row>
    <row r="28" spans="1:10" ht="16.5" thickBot="1">
      <c r="A28" s="597"/>
      <c r="B28" s="598"/>
      <c r="C28" s="598"/>
      <c r="D28" s="95"/>
      <c r="E28" s="95"/>
      <c r="F28" s="95"/>
      <c r="G28" s="95"/>
      <c r="H28" s="181" t="s">
        <v>379</v>
      </c>
      <c r="I28" s="96">
        <f>(I27/500)</f>
        <v>282.06625710654288</v>
      </c>
      <c r="J28" s="99"/>
    </row>
    <row r="29" spans="1:10" ht="15.75">
      <c r="A29" s="173"/>
      <c r="F29" s="585" t="s">
        <v>44</v>
      </c>
      <c r="G29" s="586"/>
      <c r="H29" s="586"/>
      <c r="I29" s="594"/>
      <c r="J29" s="99"/>
    </row>
    <row r="30" spans="1:10" ht="15.75">
      <c r="A30" s="173"/>
      <c r="F30" s="109" t="str">
        <f>A2</f>
        <v>Bloco 1</v>
      </c>
      <c r="G30" s="109" t="s">
        <v>45</v>
      </c>
      <c r="H30" s="109" t="s">
        <v>46</v>
      </c>
      <c r="I30" s="174" t="s">
        <v>47</v>
      </c>
      <c r="J30" s="99"/>
    </row>
    <row r="31" spans="1:10" ht="19.5" thickBot="1">
      <c r="A31" s="175"/>
      <c r="B31" s="176"/>
      <c r="C31" s="176"/>
      <c r="D31" s="176"/>
      <c r="E31" s="176"/>
      <c r="F31" s="189">
        <f>A3</f>
        <v>27</v>
      </c>
      <c r="G31" s="189">
        <v>1640</v>
      </c>
      <c r="H31" s="190">
        <f>I28</f>
        <v>282.06625710654288</v>
      </c>
      <c r="I31" s="191">
        <f>G31*H31</f>
        <v>462588.66165473033</v>
      </c>
      <c r="J31" s="99"/>
    </row>
  </sheetData>
  <mergeCells count="10">
    <mergeCell ref="B3:D3"/>
    <mergeCell ref="A27:C27"/>
    <mergeCell ref="A28:C28"/>
    <mergeCell ref="F29:I29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010A5-D654-4C1F-9E26-EE83722CF126}">
  <sheetPr>
    <tabColor theme="9" tint="0.39997558519241921"/>
    <pageSetUpPr fitToPage="1"/>
  </sheetPr>
  <dimension ref="A1:J36"/>
  <sheetViews>
    <sheetView showGridLines="0" zoomScale="90" zoomScaleNormal="90" workbookViewId="0">
      <selection activeCell="G40" sqref="G40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PRODUTOS!A31</f>
        <v>28</v>
      </c>
      <c r="B3" s="599" t="str">
        <f>PRODUTOS!B31</f>
        <v>CARACTERIZAÇÃO AMBIENTAL</v>
      </c>
      <c r="C3" s="599"/>
      <c r="D3" s="599"/>
      <c r="E3" s="119" t="str">
        <f>PRODUTOS!C31</f>
        <v>CAR.AMB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SUM(I8:I13)</f>
        <v>117723.54999999999</v>
      </c>
      <c r="J7" s="99"/>
    </row>
    <row r="8" spans="1:10" ht="15.75">
      <c r="A8" s="106"/>
      <c r="B8" s="80" t="s">
        <v>174</v>
      </c>
      <c r="C8" s="125" t="str">
        <f>VLOOKUP(B8,'Preços de Referência'!$A$5:$C$103,2,FALSE)</f>
        <v>Biólogo júnior</v>
      </c>
      <c r="D8" s="134" t="s">
        <v>15</v>
      </c>
      <c r="E8" s="182">
        <v>1</v>
      </c>
      <c r="F8" s="159">
        <f>'Preços de Referência'!$O$30*1.5</f>
        <v>273.73500000000001</v>
      </c>
      <c r="G8" s="88">
        <f>VLOOKUP(B8,'Preços de Referência'!$A$5:$C$103,3,FALSE)</f>
        <v>6869.32</v>
      </c>
      <c r="H8" s="88">
        <f>G8/'Preços de Referência'!$O$30</f>
        <v>37.642172173817741</v>
      </c>
      <c r="I8" s="91">
        <f t="shared" ref="I8:I13" si="0">H8*F8*E8</f>
        <v>10303.98</v>
      </c>
      <c r="J8" s="99"/>
    </row>
    <row r="9" spans="1:10" ht="15.75">
      <c r="A9" s="106"/>
      <c r="B9" s="80" t="s">
        <v>232</v>
      </c>
      <c r="C9" s="125" t="str">
        <f>VLOOKUP(B9,'Preços de Referência'!$A$5:$C$103,2,FALSE)</f>
        <v>Engenheiro florestal júnior</v>
      </c>
      <c r="D9" s="134" t="s">
        <v>15</v>
      </c>
      <c r="E9" s="182">
        <v>1</v>
      </c>
      <c r="F9" s="159">
        <f>'Preços de Referência'!$O$30*1.5</f>
        <v>273.73500000000001</v>
      </c>
      <c r="G9" s="88">
        <f>VLOOKUP(B9,'Preços de Referência'!$A$5:$C$103,3,FALSE)</f>
        <v>22670.05</v>
      </c>
      <c r="H9" s="88">
        <f>G9/'Preços de Referência'!$O$30</f>
        <v>124.2262589730944</v>
      </c>
      <c r="I9" s="91">
        <f t="shared" si="0"/>
        <v>34005.074999999997</v>
      </c>
      <c r="J9" s="99"/>
    </row>
    <row r="10" spans="1:10" ht="15.75">
      <c r="A10" s="106"/>
      <c r="B10" s="80" t="s">
        <v>240</v>
      </c>
      <c r="C10" s="125" t="str">
        <f>VLOOKUP(B10,'Preços de Referência'!$A$5:$C$103,2,FALSE)</f>
        <v>Geólogo júnior</v>
      </c>
      <c r="D10" s="134" t="s">
        <v>15</v>
      </c>
      <c r="E10" s="182">
        <v>1</v>
      </c>
      <c r="F10" s="159">
        <f>'Preços de Referência'!$O$30*1</f>
        <v>182.49</v>
      </c>
      <c r="G10" s="88">
        <f>VLOOKUP(B10,'Preços de Referência'!$A$5:$C$103,3,FALSE)</f>
        <v>19052.8</v>
      </c>
      <c r="H10" s="88">
        <f>G10/'Preços de Referência'!$O$30</f>
        <v>104.40462491095401</v>
      </c>
      <c r="I10" s="91">
        <f t="shared" si="0"/>
        <v>19052.8</v>
      </c>
      <c r="J10" s="99"/>
    </row>
    <row r="11" spans="1:10" ht="15.75">
      <c r="A11" s="106"/>
      <c r="B11" s="80" t="s">
        <v>236</v>
      </c>
      <c r="C11" s="125" t="str">
        <f>VLOOKUP(B11,'Preços de Referência'!$A$5:$C$103,2,FALSE)</f>
        <v>Geógrafo júnior</v>
      </c>
      <c r="D11" s="134" t="s">
        <v>15</v>
      </c>
      <c r="E11" s="182">
        <v>1</v>
      </c>
      <c r="F11" s="159">
        <f>'Preços de Referência'!$O$30*1</f>
        <v>182.49</v>
      </c>
      <c r="G11" s="88">
        <f>VLOOKUP(B11,'Preços de Referência'!$A$5:$C$103,3,FALSE)</f>
        <v>7935.42</v>
      </c>
      <c r="H11" s="88">
        <f>G11/'Preços de Referência'!$O$30</f>
        <v>43.484136117047505</v>
      </c>
      <c r="I11" s="91">
        <f t="shared" si="0"/>
        <v>7935.42</v>
      </c>
      <c r="J11" s="99"/>
    </row>
    <row r="12" spans="1:10" ht="15.75">
      <c r="A12" s="106"/>
      <c r="B12" s="80" t="s">
        <v>210</v>
      </c>
      <c r="C12" s="125" t="str">
        <f>VLOOKUP(B12,'Preços de Referência'!$A$5:$C$103,2,FALSE)</f>
        <v>Engenheiro ambiental júnior</v>
      </c>
      <c r="D12" s="134" t="s">
        <v>15</v>
      </c>
      <c r="E12" s="182">
        <v>1</v>
      </c>
      <c r="F12" s="159">
        <f>'Preços de Referência'!$O$30*1.5</f>
        <v>273.73500000000001</v>
      </c>
      <c r="G12" s="88">
        <f>VLOOKUP(B12,'Preços de Referência'!$A$5:$C$103,3,FALSE)</f>
        <v>22597.25</v>
      </c>
      <c r="H12" s="88">
        <f>G12/'Preços de Referência'!$O$30</f>
        <v>123.82733300454819</v>
      </c>
      <c r="I12" s="91">
        <f t="shared" si="0"/>
        <v>33895.875</v>
      </c>
      <c r="J12" s="99"/>
    </row>
    <row r="13" spans="1:10" ht="15.75">
      <c r="A13" s="106"/>
      <c r="B13" s="80" t="s">
        <v>299</v>
      </c>
      <c r="C13" s="125" t="str">
        <f>VLOOKUP(B13,'Preços de Referência'!$A$5:$C$103,2,FALSE)</f>
        <v>Sociólogo júnior</v>
      </c>
      <c r="D13" s="134" t="s">
        <v>15</v>
      </c>
      <c r="E13" s="182">
        <v>1</v>
      </c>
      <c r="F13" s="159">
        <f>'Preços de Referência'!$O$30*1.5</f>
        <v>273.73500000000001</v>
      </c>
      <c r="G13" s="88">
        <f>VLOOKUP(B13,'Preços de Referência'!$A$5:$C$103,3,FALSE)</f>
        <v>8353.6</v>
      </c>
      <c r="H13" s="88">
        <f>G13/'Preços de Referência'!$O$30</f>
        <v>45.775658940215905</v>
      </c>
      <c r="I13" s="91">
        <f t="shared" si="0"/>
        <v>12530.400000000001</v>
      </c>
      <c r="J13" s="99"/>
    </row>
    <row r="14" spans="1:10" ht="15.75">
      <c r="A14" s="128" t="s">
        <v>21</v>
      </c>
      <c r="B14" s="107"/>
      <c r="C14" s="126" t="s">
        <v>22</v>
      </c>
      <c r="D14" s="107"/>
      <c r="E14" s="196"/>
      <c r="F14" s="107"/>
      <c r="G14" s="107"/>
      <c r="H14" s="123"/>
      <c r="I14" s="100">
        <f>I15</f>
        <v>4655.1673252000001</v>
      </c>
      <c r="J14" s="99"/>
    </row>
    <row r="15" spans="1:10" ht="28.5" customHeight="1">
      <c r="A15" s="106"/>
      <c r="B15" s="84" t="s">
        <v>23</v>
      </c>
      <c r="C15" s="125" t="str">
        <f>VLOOKUP(B15,'Preços de Referência'!$E$4:$P$5,2,FALSE)</f>
        <v>Veículo leve picape 4 x 4 com capacidade de 1,10 t - 147 kW (sem motorista)</v>
      </c>
      <c r="D15" s="134" t="s">
        <v>15</v>
      </c>
      <c r="E15" s="182">
        <v>2</v>
      </c>
      <c r="F15" s="159">
        <f>'Preços de Referência'!$O$28*7</f>
        <v>51.331000000000003</v>
      </c>
      <c r="G15" s="88">
        <f>VLOOKUP(B15,'Preços de Referência'!$E$4:$P$5,10,FALSE)</f>
        <v>8274.9513000000006</v>
      </c>
      <c r="H15" s="88">
        <f>VLOOKUP(B15,'Preços de Referência'!$E$4:$P$5,12,FALSE)</f>
        <v>45.3446</v>
      </c>
      <c r="I15" s="91">
        <f>H15*F15*E15</f>
        <v>4655.1673252000001</v>
      </c>
      <c r="J15" s="99"/>
    </row>
    <row r="16" spans="1:10" ht="30" hidden="1">
      <c r="A16" s="128" t="s">
        <v>24</v>
      </c>
      <c r="B16" s="107"/>
      <c r="C16" s="126" t="s">
        <v>25</v>
      </c>
      <c r="D16" s="107"/>
      <c r="E16" s="196"/>
      <c r="F16" s="107"/>
      <c r="G16" s="107"/>
      <c r="H16" s="123"/>
      <c r="I16" s="100">
        <v>0</v>
      </c>
      <c r="J16" s="99"/>
    </row>
    <row r="17" spans="1:10" ht="15.75" hidden="1">
      <c r="A17" s="106"/>
      <c r="B17" s="80" t="s">
        <v>26</v>
      </c>
      <c r="C17" s="125" t="s">
        <v>27</v>
      </c>
      <c r="D17" s="134" t="s">
        <v>15</v>
      </c>
      <c r="E17" s="182">
        <v>6</v>
      </c>
      <c r="F17" s="81">
        <f>'Preços de Referência'!$O$28*5</f>
        <v>36.664999999999999</v>
      </c>
      <c r="G17" s="81">
        <v>223.422507</v>
      </c>
      <c r="H17" s="88">
        <v>1.2242999999999999</v>
      </c>
      <c r="I17" s="91">
        <f>H17*F17*E17</f>
        <v>269.33375699999999</v>
      </c>
      <c r="J17" s="99"/>
    </row>
    <row r="18" spans="1:10" ht="15.75" hidden="1">
      <c r="A18" s="106"/>
      <c r="B18" s="80" t="s">
        <v>28</v>
      </c>
      <c r="C18" s="125" t="s">
        <v>29</v>
      </c>
      <c r="D18" s="134" t="s">
        <v>15</v>
      </c>
      <c r="E18" s="182">
        <v>1</v>
      </c>
      <c r="F18" s="81">
        <f>'Preços de Referência'!$O$28*5</f>
        <v>36.664999999999999</v>
      </c>
      <c r="G18" s="81">
        <f>E18*F18</f>
        <v>36.664999999999999</v>
      </c>
      <c r="H18" s="88">
        <v>5.16</v>
      </c>
      <c r="I18" s="91">
        <f>H18*F18*E18</f>
        <v>189.19139999999999</v>
      </c>
      <c r="J18" s="99"/>
    </row>
    <row r="19" spans="1:10" ht="15.75" hidden="1">
      <c r="A19" s="128" t="s">
        <v>30</v>
      </c>
      <c r="B19" s="107"/>
      <c r="C19" s="126" t="s">
        <v>31</v>
      </c>
      <c r="D19" s="107"/>
      <c r="E19" s="196"/>
      <c r="F19" s="107"/>
      <c r="G19" s="107"/>
      <c r="H19" s="123"/>
      <c r="I19" s="100">
        <v>0</v>
      </c>
      <c r="J19" s="99"/>
    </row>
    <row r="20" spans="1:10" ht="15.75" hidden="1">
      <c r="A20" s="129" t="s">
        <v>32</v>
      </c>
      <c r="B20" s="108"/>
      <c r="C20" s="127" t="s">
        <v>33</v>
      </c>
      <c r="D20" s="108"/>
      <c r="E20" s="197"/>
      <c r="F20" s="108"/>
      <c r="G20" s="108"/>
      <c r="H20" s="124"/>
      <c r="I20" s="101"/>
      <c r="J20" s="99"/>
    </row>
    <row r="21" spans="1:10" ht="28.5" hidden="1">
      <c r="A21" s="106"/>
      <c r="B21" s="80" t="s">
        <v>34</v>
      </c>
      <c r="C21" s="125" t="str">
        <f>VLOOKUP(B21,'Preços de Referência'!$F$74:$J$83,2,FALSE)</f>
        <v>Comercial (2,60% do CMCC - SINAPI)</v>
      </c>
      <c r="D21" s="80" t="str">
        <f>VLOOKUP(B21,'Preços de Referência'!$F$74:$J$83,4,FALSE)</f>
        <v>m² x mês</v>
      </c>
      <c r="E21" s="182">
        <f>12.41*6</f>
        <v>74.460000000000008</v>
      </c>
      <c r="F21" s="81">
        <f>'Preços de Referência'!$O$28*5</f>
        <v>36.664999999999999</v>
      </c>
      <c r="G21" s="89">
        <f>VLOOKUP(B21,'Preços de Referência'!$F$74:$J$83,5,FALSE)</f>
        <v>47.75</v>
      </c>
      <c r="H21" s="88">
        <f>G21/'Preços de Referência'!$O$30</f>
        <v>0.26165817305057809</v>
      </c>
      <c r="I21" s="91">
        <v>0</v>
      </c>
      <c r="J21" s="99"/>
    </row>
    <row r="22" spans="1:10" ht="15.75" hidden="1">
      <c r="A22" s="129" t="s">
        <v>35</v>
      </c>
      <c r="B22" s="108"/>
      <c r="C22" s="127" t="s">
        <v>36</v>
      </c>
      <c r="D22" s="108"/>
      <c r="E22" s="197"/>
      <c r="F22" s="108"/>
      <c r="G22" s="108"/>
      <c r="H22" s="124"/>
      <c r="I22" s="101"/>
      <c r="J22" s="99"/>
    </row>
    <row r="23" spans="1:10" ht="15.75" hidden="1">
      <c r="A23" s="106"/>
      <c r="B23" s="80" t="s">
        <v>37</v>
      </c>
      <c r="C23" s="125" t="str">
        <f>VLOOKUP(B23,'Preços de Referência'!$F$74:$J$83,2,FALSE)</f>
        <v>Escritório</v>
      </c>
      <c r="D23" s="80" t="str">
        <f>VLOOKUP(B23,'Preços de Referência'!$F$74:$J$83,4,FALSE)</f>
        <v>ocupante x mês</v>
      </c>
      <c r="E23" s="182">
        <v>6</v>
      </c>
      <c r="F23" s="81">
        <f>'Preços de Referência'!$O$28*5</f>
        <v>36.664999999999999</v>
      </c>
      <c r="G23" s="89">
        <f>VLOOKUP(B23,'Preços de Referência'!$F$74:$J$83,5,FALSE)</f>
        <v>490.4</v>
      </c>
      <c r="H23" s="88">
        <f>G23/'Preços de Referência'!$O$30</f>
        <v>2.6872705353718009</v>
      </c>
      <c r="I23" s="91">
        <f>H23*F23*E23</f>
        <v>591.17264507644245</v>
      </c>
      <c r="J23" s="99"/>
    </row>
    <row r="24" spans="1:10" ht="15.75" hidden="1">
      <c r="A24" s="129" t="s">
        <v>38</v>
      </c>
      <c r="B24" s="108"/>
      <c r="C24" s="127" t="s">
        <v>39</v>
      </c>
      <c r="D24" s="108"/>
      <c r="E24" s="197"/>
      <c r="F24" s="108"/>
      <c r="G24" s="108"/>
      <c r="H24" s="124"/>
      <c r="I24" s="101"/>
      <c r="J24" s="99"/>
    </row>
    <row r="25" spans="1:10" ht="15.75" hidden="1">
      <c r="A25" s="106"/>
      <c r="B25" s="80" t="s">
        <v>40</v>
      </c>
      <c r="C25" s="125" t="str">
        <f>VLOOKUP(B25,'Preços de Referência'!$F$74:$J$83,2,FALSE)</f>
        <v>Escritório</v>
      </c>
      <c r="D25" s="80" t="str">
        <f>VLOOKUP(B25,'Preços de Referência'!$F$74:$J$83,4,FALSE)</f>
        <v>ocupante x mês</v>
      </c>
      <c r="E25" s="182">
        <v>6</v>
      </c>
      <c r="F25" s="81">
        <f>'Preços de Referência'!$O$28*5</f>
        <v>36.664999999999999</v>
      </c>
      <c r="G25" s="89">
        <f>VLOOKUP(B25,'Preços de Referência'!$F$74:$J$83,5,FALSE)</f>
        <v>135.22</v>
      </c>
      <c r="H25" s="88">
        <f>G25/'Preços de Referência'!$O$30</f>
        <v>0.74097210806071556</v>
      </c>
      <c r="I25" s="91">
        <f>H25*F25*E25</f>
        <v>163.00645405227681</v>
      </c>
      <c r="J25" s="99"/>
    </row>
    <row r="26" spans="1:10" ht="15.75">
      <c r="A26" s="160" t="s">
        <v>24</v>
      </c>
      <c r="B26" s="161"/>
      <c r="C26" s="162" t="s">
        <v>360</v>
      </c>
      <c r="D26" s="161"/>
      <c r="E26" s="198"/>
      <c r="F26" s="161"/>
      <c r="G26" s="161"/>
      <c r="H26" s="161"/>
      <c r="I26" s="163">
        <f>SUM(I27:I28)</f>
        <v>24051.9228</v>
      </c>
    </row>
    <row r="27" spans="1:10" ht="28.5">
      <c r="A27" s="164"/>
      <c r="B27" s="169" t="s">
        <v>198</v>
      </c>
      <c r="C27" s="165" t="str">
        <f>VLOOKUP(B27,'Preços de Referência'!$P$69:$W$70,2,FALSE)</f>
        <v>DIÁRIA (CONF. DECRETO 11.117 PR - CUSTO MEDIANO</v>
      </c>
      <c r="D27" s="134" t="s">
        <v>122</v>
      </c>
      <c r="E27" s="199">
        <v>6</v>
      </c>
      <c r="F27" s="135">
        <v>7</v>
      </c>
      <c r="G27" s="330">
        <f>VLOOKUP(B27,'Preços de Referência'!$P$69:$W$70,6,FALSE)</f>
        <v>380</v>
      </c>
      <c r="H27" s="167"/>
      <c r="I27" s="168">
        <f>E27*F27*G27</f>
        <v>15960</v>
      </c>
    </row>
    <row r="28" spans="1:10" ht="28.5">
      <c r="A28" s="164"/>
      <c r="B28" s="169" t="s">
        <v>194</v>
      </c>
      <c r="C28" s="165" t="str">
        <f>VLOOKUP(B28,'Preços de Referência'!$P$69:$W$70,2,FALSE)</f>
        <v>PASSAGEM AÉREA - DESTINO NACIONAL (Cotação JUL/24)*</v>
      </c>
      <c r="D28" s="134" t="s">
        <v>122</v>
      </c>
      <c r="E28" s="199">
        <v>6</v>
      </c>
      <c r="F28" s="135">
        <v>1</v>
      </c>
      <c r="G28" s="330">
        <f>VLOOKUP(B28,'Preços de Referência'!$P$69:$W$70,6,FALSE)</f>
        <v>1348.6538</v>
      </c>
      <c r="H28" s="167"/>
      <c r="I28" s="168">
        <f>E28*F28*G28</f>
        <v>8091.9228000000003</v>
      </c>
    </row>
    <row r="29" spans="1:10" ht="15.75">
      <c r="A29" s="359"/>
      <c r="B29" s="193"/>
      <c r="C29" s="82"/>
      <c r="D29" s="82"/>
      <c r="E29" s="82"/>
      <c r="F29" s="82"/>
      <c r="G29" s="82"/>
      <c r="H29" s="475" t="s">
        <v>41</v>
      </c>
      <c r="I29" s="92">
        <f>I7+I16+I19+I14+I26</f>
        <v>146430.64012519998</v>
      </c>
      <c r="J29" s="99"/>
    </row>
    <row r="30" spans="1:10" ht="16.5" thickBot="1">
      <c r="A30" s="93"/>
      <c r="B30" s="83"/>
      <c r="C30" s="83"/>
      <c r="D30" s="83"/>
      <c r="E30" s="83"/>
      <c r="F30" s="83"/>
      <c r="G30" s="474" t="s">
        <v>42</v>
      </c>
      <c r="H30" s="252">
        <f>BDI!$D$17</f>
        <v>0.44579999999999997</v>
      </c>
      <c r="I30" s="94">
        <f>I29*H30</f>
        <v>65278.779367814146</v>
      </c>
      <c r="J30" s="99"/>
    </row>
    <row r="31" spans="1:10" ht="26.25" thickBot="1">
      <c r="A31" s="476"/>
      <c r="B31" s="477"/>
      <c r="C31" s="477"/>
      <c r="D31" s="477"/>
      <c r="E31" s="477"/>
      <c r="F31" s="477"/>
      <c r="G31" s="478"/>
      <c r="H31" s="479" t="s">
        <v>524</v>
      </c>
      <c r="I31" s="480">
        <f>1.07765625</f>
        <v>1.07765625</v>
      </c>
    </row>
    <row r="32" spans="1:10" ht="16.5" customHeight="1" thickBot="1">
      <c r="A32" s="597"/>
      <c r="B32" s="598"/>
      <c r="C32" s="598"/>
      <c r="D32" s="95"/>
      <c r="E32" s="95"/>
      <c r="F32" s="95"/>
      <c r="G32" s="95"/>
      <c r="H32" s="181" t="s">
        <v>362</v>
      </c>
      <c r="I32" s="96">
        <f>(I29+I30)*I31</f>
        <v>228149.97910051848</v>
      </c>
      <c r="J32" s="99"/>
    </row>
    <row r="33" spans="1:10" ht="16.5" thickBot="1">
      <c r="A33" s="597"/>
      <c r="B33" s="598"/>
      <c r="C33" s="598"/>
      <c r="D33" s="95"/>
      <c r="E33" s="95"/>
      <c r="F33" s="95"/>
      <c r="G33" s="95"/>
      <c r="H33" s="181" t="s">
        <v>43</v>
      </c>
      <c r="I33" s="96">
        <f>(I32/200)</f>
        <v>1140.7498955025924</v>
      </c>
      <c r="J33" s="99"/>
    </row>
    <row r="34" spans="1:10" ht="15.75">
      <c r="A34" s="173"/>
      <c r="F34" s="585" t="s">
        <v>44</v>
      </c>
      <c r="G34" s="586"/>
      <c r="H34" s="586"/>
      <c r="I34" s="594"/>
      <c r="J34" s="99"/>
    </row>
    <row r="35" spans="1:10" ht="15.75">
      <c r="A35" s="173"/>
      <c r="F35" s="109" t="str">
        <f>A2</f>
        <v>Bloco 1</v>
      </c>
      <c r="G35" s="109" t="s">
        <v>45</v>
      </c>
      <c r="H35" s="109" t="s">
        <v>46</v>
      </c>
      <c r="I35" s="174" t="s">
        <v>47</v>
      </c>
      <c r="J35" s="99"/>
    </row>
    <row r="36" spans="1:10" ht="16.5" thickBot="1">
      <c r="A36" s="175"/>
      <c r="B36" s="176"/>
      <c r="C36" s="176"/>
      <c r="D36" s="176"/>
      <c r="E36" s="176"/>
      <c r="F36" s="177">
        <f>A3</f>
        <v>28</v>
      </c>
      <c r="G36" s="177">
        <v>820</v>
      </c>
      <c r="H36" s="178">
        <f>I33</f>
        <v>1140.7498955025924</v>
      </c>
      <c r="I36" s="179">
        <f>G36*H36</f>
        <v>935414.91431212577</v>
      </c>
      <c r="J36" s="99"/>
    </row>
  </sheetData>
  <mergeCells count="10">
    <mergeCell ref="B3:D3"/>
    <mergeCell ref="A32:C32"/>
    <mergeCell ref="A33:C33"/>
    <mergeCell ref="F34:I34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3EE57-01F9-427A-9234-CCEFBE5A8ED2}">
  <sheetPr>
    <tabColor theme="9" tint="0.39997558519241921"/>
    <pageSetUpPr fitToPage="1"/>
  </sheetPr>
  <dimension ref="A1:J34"/>
  <sheetViews>
    <sheetView showGridLines="0" zoomScale="90" zoomScaleNormal="90" workbookViewId="0">
      <selection activeCell="G42" sqref="G42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PRODUTOS!A32</f>
        <v>29</v>
      </c>
      <c r="B3" s="599" t="str">
        <f>PRODUTOS!B32</f>
        <v>ELABORAÇÂO DE PLANO DE MANEJO</v>
      </c>
      <c r="C3" s="599"/>
      <c r="D3" s="599"/>
      <c r="E3" s="119" t="str">
        <f>PRODUTOS!C32</f>
        <v>PLAN.MAN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SUM(I8:I13)</f>
        <v>174956.88</v>
      </c>
      <c r="J7" s="99"/>
    </row>
    <row r="8" spans="1:10" ht="15.75">
      <c r="A8" s="106"/>
      <c r="B8" s="80" t="s">
        <v>174</v>
      </c>
      <c r="C8" s="125" t="str">
        <f>VLOOKUP(B8,'Preços de Referência'!$A$5:$C$103,2,FALSE)</f>
        <v>Biólogo júnior</v>
      </c>
      <c r="D8" s="134" t="s">
        <v>15</v>
      </c>
      <c r="E8" s="182">
        <v>1</v>
      </c>
      <c r="F8" s="159">
        <f>'Preços de Referência'!$O$30*2</f>
        <v>364.98</v>
      </c>
      <c r="G8" s="88">
        <f>VLOOKUP(B8,'Preços de Referência'!$A$5:$C$103,3,FALSE)</f>
        <v>6869.32</v>
      </c>
      <c r="H8" s="88">
        <f>G8/'Preços de Referência'!$O$30</f>
        <v>37.642172173817741</v>
      </c>
      <c r="I8" s="91">
        <f t="shared" ref="I8:I13" si="0">H8*F8*E8</f>
        <v>13738.64</v>
      </c>
      <c r="J8" s="99"/>
    </row>
    <row r="9" spans="1:10" ht="15.75">
      <c r="A9" s="106"/>
      <c r="B9" s="80" t="s">
        <v>232</v>
      </c>
      <c r="C9" s="125" t="str">
        <f>VLOOKUP(B9,'Preços de Referência'!$A$5:$C$103,2,FALSE)</f>
        <v>Engenheiro florestal júnior</v>
      </c>
      <c r="D9" s="134" t="s">
        <v>15</v>
      </c>
      <c r="E9" s="182">
        <v>1</v>
      </c>
      <c r="F9" s="159">
        <f>'Preços de Referência'!$O$30*2</f>
        <v>364.98</v>
      </c>
      <c r="G9" s="88">
        <f>VLOOKUP(B9,'Preços de Referência'!$A$5:$C$103,3,FALSE)</f>
        <v>22670.05</v>
      </c>
      <c r="H9" s="88">
        <f>G9/'Preços de Referência'!$O$30</f>
        <v>124.2262589730944</v>
      </c>
      <c r="I9" s="91">
        <f t="shared" si="0"/>
        <v>45340.1</v>
      </c>
      <c r="J9" s="99"/>
    </row>
    <row r="10" spans="1:10" ht="15.75">
      <c r="A10" s="106"/>
      <c r="B10" s="80" t="s">
        <v>240</v>
      </c>
      <c r="C10" s="125" t="str">
        <f>VLOOKUP(B10,'Preços de Referência'!$A$5:$C$103,2,FALSE)</f>
        <v>Geólogo júnior</v>
      </c>
      <c r="D10" s="134" t="s">
        <v>15</v>
      </c>
      <c r="E10" s="182">
        <v>1</v>
      </c>
      <c r="F10" s="159">
        <f>'Preços de Referência'!$O$30*2</f>
        <v>364.98</v>
      </c>
      <c r="G10" s="88">
        <f>VLOOKUP(B10,'Preços de Referência'!$A$5:$C$103,3,FALSE)</f>
        <v>19052.8</v>
      </c>
      <c r="H10" s="88">
        <f>G10/'Preços de Referência'!$O$30</f>
        <v>104.40462491095401</v>
      </c>
      <c r="I10" s="91">
        <f t="shared" si="0"/>
        <v>38105.599999999999</v>
      </c>
      <c r="J10" s="99"/>
    </row>
    <row r="11" spans="1:10" ht="15.75">
      <c r="A11" s="106"/>
      <c r="B11" s="80" t="s">
        <v>236</v>
      </c>
      <c r="C11" s="125" t="str">
        <f>VLOOKUP(B11,'Preços de Referência'!$A$5:$C$103,2,FALSE)</f>
        <v>Geógrafo júnior</v>
      </c>
      <c r="D11" s="134" t="s">
        <v>15</v>
      </c>
      <c r="E11" s="182">
        <v>1</v>
      </c>
      <c r="F11" s="159">
        <f>'Preços de Referência'!$O$30*2</f>
        <v>364.98</v>
      </c>
      <c r="G11" s="88">
        <f>VLOOKUP(B11,'Preços de Referência'!$A$5:$C$103,3,FALSE)</f>
        <v>7935.42</v>
      </c>
      <c r="H11" s="88">
        <f>G11/'Preços de Referência'!$O$30</f>
        <v>43.484136117047505</v>
      </c>
      <c r="I11" s="91">
        <f t="shared" si="0"/>
        <v>15870.84</v>
      </c>
      <c r="J11" s="99"/>
    </row>
    <row r="12" spans="1:10" ht="15.75">
      <c r="A12" s="106"/>
      <c r="B12" s="80" t="s">
        <v>210</v>
      </c>
      <c r="C12" s="125" t="str">
        <f>VLOOKUP(B12,'Preços de Referência'!$A$5:$C$103,2,FALSE)</f>
        <v>Engenheiro ambiental júnior</v>
      </c>
      <c r="D12" s="134" t="s">
        <v>15</v>
      </c>
      <c r="E12" s="182">
        <v>1</v>
      </c>
      <c r="F12" s="159">
        <f>'Preços de Referência'!$O$30*2</f>
        <v>364.98</v>
      </c>
      <c r="G12" s="88">
        <f>VLOOKUP(B12,'Preços de Referência'!$A$5:$C$103,3,FALSE)</f>
        <v>22597.25</v>
      </c>
      <c r="H12" s="88">
        <f>G12/'Preços de Referência'!$O$30</f>
        <v>123.82733300454819</v>
      </c>
      <c r="I12" s="91">
        <f t="shared" si="0"/>
        <v>45194.5</v>
      </c>
      <c r="J12" s="99"/>
    </row>
    <row r="13" spans="1:10" ht="15.75">
      <c r="A13" s="106"/>
      <c r="B13" s="80" t="s">
        <v>299</v>
      </c>
      <c r="C13" s="125" t="str">
        <f>VLOOKUP(B13,'Preços de Referência'!$A$5:$C$103,2,FALSE)</f>
        <v>Sociólogo júnior</v>
      </c>
      <c r="D13" s="134" t="s">
        <v>15</v>
      </c>
      <c r="E13" s="182">
        <v>1</v>
      </c>
      <c r="F13" s="159">
        <f>'Preços de Referência'!$O$30*2</f>
        <v>364.98</v>
      </c>
      <c r="G13" s="88">
        <f>VLOOKUP(B13,'Preços de Referência'!$A$5:$C$103,3,FALSE)</f>
        <v>8353.6</v>
      </c>
      <c r="H13" s="88">
        <f>G13/'Preços de Referência'!$O$30</f>
        <v>45.775658940215905</v>
      </c>
      <c r="I13" s="91">
        <f t="shared" si="0"/>
        <v>16707.2</v>
      </c>
      <c r="J13" s="99"/>
    </row>
    <row r="14" spans="1:10" ht="15.75" hidden="1">
      <c r="A14" s="128" t="s">
        <v>21</v>
      </c>
      <c r="B14" s="107"/>
      <c r="C14" s="126" t="s">
        <v>22</v>
      </c>
      <c r="D14" s="107"/>
      <c r="E14" s="196"/>
      <c r="F14" s="107"/>
      <c r="G14" s="107"/>
      <c r="H14" s="123"/>
      <c r="I14" s="100">
        <v>0</v>
      </c>
      <c r="J14" s="99"/>
    </row>
    <row r="15" spans="1:10" ht="28.5" hidden="1" customHeight="1">
      <c r="A15" s="106"/>
      <c r="B15" s="84" t="s">
        <v>23</v>
      </c>
      <c r="C15" s="125" t="str">
        <f>VLOOKUP(B15,'Preços de Referência'!$E$4:$P$5,2,FALSE)</f>
        <v>Veículo leve picape 4 x 4 com capacidade de 1,10 t - 147 kW (sem motorista)</v>
      </c>
      <c r="D15" s="134" t="s">
        <v>15</v>
      </c>
      <c r="E15" s="182">
        <v>2</v>
      </c>
      <c r="F15" s="159">
        <f>'Preços de Referência'!$O$28*7</f>
        <v>51.331000000000003</v>
      </c>
      <c r="G15" s="88">
        <f>VLOOKUP(B15,'Preços de Referência'!$E$4:$P$5,10,FALSE)</f>
        <v>8274.9513000000006</v>
      </c>
      <c r="H15" s="88">
        <f>VLOOKUP(B15,'Preços de Referência'!$E$4:$P$5,12,FALSE)</f>
        <v>45.3446</v>
      </c>
      <c r="I15" s="91">
        <f>H15*F15*E15</f>
        <v>4655.1673252000001</v>
      </c>
      <c r="J15" s="99"/>
    </row>
    <row r="16" spans="1:10" ht="30" hidden="1">
      <c r="A16" s="128" t="s">
        <v>24</v>
      </c>
      <c r="B16" s="107"/>
      <c r="C16" s="126" t="s">
        <v>25</v>
      </c>
      <c r="D16" s="107"/>
      <c r="E16" s="196"/>
      <c r="F16" s="107"/>
      <c r="G16" s="107"/>
      <c r="H16" s="123"/>
      <c r="I16" s="100">
        <v>0</v>
      </c>
      <c r="J16" s="99"/>
    </row>
    <row r="17" spans="1:10" ht="15.75" hidden="1">
      <c r="A17" s="106"/>
      <c r="B17" s="80" t="s">
        <v>26</v>
      </c>
      <c r="C17" s="125" t="s">
        <v>27</v>
      </c>
      <c r="D17" s="134" t="s">
        <v>15</v>
      </c>
      <c r="E17" s="182">
        <v>6</v>
      </c>
      <c r="F17" s="81">
        <f>'Preços de Referência'!$O$28*5</f>
        <v>36.664999999999999</v>
      </c>
      <c r="G17" s="81">
        <v>223.422507</v>
      </c>
      <c r="H17" s="88">
        <v>1.2242999999999999</v>
      </c>
      <c r="I17" s="91">
        <f>H17*F17*E17</f>
        <v>269.33375699999999</v>
      </c>
      <c r="J17" s="99"/>
    </row>
    <row r="18" spans="1:10" ht="15.75" hidden="1">
      <c r="A18" s="106"/>
      <c r="B18" s="80" t="s">
        <v>28</v>
      </c>
      <c r="C18" s="125" t="s">
        <v>29</v>
      </c>
      <c r="D18" s="134" t="s">
        <v>15</v>
      </c>
      <c r="E18" s="182">
        <v>1</v>
      </c>
      <c r="F18" s="81">
        <f>'Preços de Referência'!$O$28*5</f>
        <v>36.664999999999999</v>
      </c>
      <c r="G18" s="81">
        <f>E18*F18</f>
        <v>36.664999999999999</v>
      </c>
      <c r="H18" s="88">
        <v>5.16</v>
      </c>
      <c r="I18" s="91">
        <f>H18*F18*E18</f>
        <v>189.19139999999999</v>
      </c>
      <c r="J18" s="99"/>
    </row>
    <row r="19" spans="1:10" ht="15.75" hidden="1">
      <c r="A19" s="128" t="s">
        <v>30</v>
      </c>
      <c r="B19" s="107"/>
      <c r="C19" s="126" t="s">
        <v>31</v>
      </c>
      <c r="D19" s="107"/>
      <c r="E19" s="196"/>
      <c r="F19" s="107"/>
      <c r="G19" s="107"/>
      <c r="H19" s="123"/>
      <c r="I19" s="100">
        <v>0</v>
      </c>
      <c r="J19" s="99"/>
    </row>
    <row r="20" spans="1:10" ht="15.75" hidden="1">
      <c r="A20" s="129" t="s">
        <v>32</v>
      </c>
      <c r="B20" s="108"/>
      <c r="C20" s="127" t="s">
        <v>33</v>
      </c>
      <c r="D20" s="108"/>
      <c r="E20" s="197"/>
      <c r="F20" s="108"/>
      <c r="G20" s="108"/>
      <c r="H20" s="124"/>
      <c r="I20" s="101"/>
      <c r="J20" s="99"/>
    </row>
    <row r="21" spans="1:10" ht="28.5" hidden="1">
      <c r="A21" s="106"/>
      <c r="B21" s="80" t="s">
        <v>34</v>
      </c>
      <c r="C21" s="125" t="str">
        <f>VLOOKUP(B21,'Preços de Referência'!$F$74:$J$83,2,FALSE)</f>
        <v>Comercial (2,60% do CMCC - SINAPI)</v>
      </c>
      <c r="D21" s="80" t="str">
        <f>VLOOKUP(B21,'Preços de Referência'!$F$74:$J$83,4,FALSE)</f>
        <v>m² x mês</v>
      </c>
      <c r="E21" s="182">
        <f>12.41*6</f>
        <v>74.460000000000008</v>
      </c>
      <c r="F21" s="81">
        <f>'Preços de Referência'!$O$28*5</f>
        <v>36.664999999999999</v>
      </c>
      <c r="G21" s="89">
        <f>VLOOKUP(B21,'Preços de Referência'!$F$74:$J$83,5,FALSE)</f>
        <v>47.75</v>
      </c>
      <c r="H21" s="88">
        <f>G21/'Preços de Referência'!$O$30</f>
        <v>0.26165817305057809</v>
      </c>
      <c r="I21" s="91">
        <v>0</v>
      </c>
      <c r="J21" s="99"/>
    </row>
    <row r="22" spans="1:10" ht="15.75" hidden="1">
      <c r="A22" s="129" t="s">
        <v>35</v>
      </c>
      <c r="B22" s="108"/>
      <c r="C22" s="127" t="s">
        <v>36</v>
      </c>
      <c r="D22" s="108"/>
      <c r="E22" s="197"/>
      <c r="F22" s="108"/>
      <c r="G22" s="108"/>
      <c r="H22" s="124"/>
      <c r="I22" s="101"/>
      <c r="J22" s="99"/>
    </row>
    <row r="23" spans="1:10" ht="15.75" hidden="1">
      <c r="A23" s="106"/>
      <c r="B23" s="80" t="s">
        <v>37</v>
      </c>
      <c r="C23" s="125" t="str">
        <f>VLOOKUP(B23,'Preços de Referência'!$F$74:$J$83,2,FALSE)</f>
        <v>Escritório</v>
      </c>
      <c r="D23" s="80" t="str">
        <f>VLOOKUP(B23,'Preços de Referência'!$F$74:$J$83,4,FALSE)</f>
        <v>ocupante x mês</v>
      </c>
      <c r="E23" s="182">
        <v>6</v>
      </c>
      <c r="F23" s="81">
        <f>'Preços de Referência'!$O$28*5</f>
        <v>36.664999999999999</v>
      </c>
      <c r="G23" s="89">
        <f>VLOOKUP(B23,'Preços de Referência'!$F$74:$J$83,5,FALSE)</f>
        <v>490.4</v>
      </c>
      <c r="H23" s="88">
        <f>G23/'Preços de Referência'!$O$30</f>
        <v>2.6872705353718009</v>
      </c>
      <c r="I23" s="91">
        <f>H23*F23*E23</f>
        <v>591.17264507644245</v>
      </c>
      <c r="J23" s="99"/>
    </row>
    <row r="24" spans="1:10" ht="15.75" hidden="1">
      <c r="A24" s="129" t="s">
        <v>38</v>
      </c>
      <c r="B24" s="108"/>
      <c r="C24" s="127" t="s">
        <v>39</v>
      </c>
      <c r="D24" s="108"/>
      <c r="E24" s="197"/>
      <c r="F24" s="108"/>
      <c r="G24" s="108"/>
      <c r="H24" s="124"/>
      <c r="I24" s="101"/>
      <c r="J24" s="99"/>
    </row>
    <row r="25" spans="1:10" ht="15.75" hidden="1">
      <c r="A25" s="106"/>
      <c r="B25" s="80" t="s">
        <v>40</v>
      </c>
      <c r="C25" s="125" t="str">
        <f>VLOOKUP(B25,'Preços de Referência'!$F$74:$J$83,2,FALSE)</f>
        <v>Escritório</v>
      </c>
      <c r="D25" s="80" t="str">
        <f>VLOOKUP(B25,'Preços de Referência'!$F$74:$J$83,4,FALSE)</f>
        <v>ocupante x mês</v>
      </c>
      <c r="E25" s="182">
        <v>6</v>
      </c>
      <c r="F25" s="81">
        <f>'Preços de Referência'!$O$28*5</f>
        <v>36.664999999999999</v>
      </c>
      <c r="G25" s="89">
        <f>VLOOKUP(B25,'Preços de Referência'!$F$74:$J$83,5,FALSE)</f>
        <v>135.22</v>
      </c>
      <c r="H25" s="88">
        <f>G25/'Preços de Referência'!$O$30</f>
        <v>0.74097210806071556</v>
      </c>
      <c r="I25" s="91">
        <f>H25*F25*E25</f>
        <v>163.00645405227681</v>
      </c>
      <c r="J25" s="99"/>
    </row>
    <row r="26" spans="1:10" ht="15.75" hidden="1">
      <c r="A26" s="160" t="s">
        <v>361</v>
      </c>
      <c r="B26" s="161"/>
      <c r="C26" s="162" t="s">
        <v>360</v>
      </c>
      <c r="D26" s="161"/>
      <c r="E26" s="198"/>
      <c r="F26" s="161"/>
      <c r="G26" s="161"/>
      <c r="H26" s="161"/>
      <c r="I26" s="163">
        <v>0</v>
      </c>
    </row>
    <row r="27" spans="1:10" ht="42.75" hidden="1">
      <c r="A27" s="164"/>
      <c r="B27" s="169" t="s">
        <v>198</v>
      </c>
      <c r="C27" s="165" t="s">
        <v>199</v>
      </c>
      <c r="D27" s="134" t="s">
        <v>122</v>
      </c>
      <c r="E27" s="199">
        <v>6</v>
      </c>
      <c r="F27" s="135">
        <v>7</v>
      </c>
      <c r="G27" s="166">
        <v>341.02</v>
      </c>
      <c r="H27" s="167"/>
      <c r="I27" s="168">
        <f>E27*F27*G27</f>
        <v>14322.84</v>
      </c>
    </row>
    <row r="28" spans="1:10" ht="28.5" hidden="1">
      <c r="A28" s="164"/>
      <c r="B28" s="169" t="s">
        <v>194</v>
      </c>
      <c r="C28" s="165" t="s">
        <v>195</v>
      </c>
      <c r="D28" s="134" t="s">
        <v>122</v>
      </c>
      <c r="E28" s="199">
        <v>6</v>
      </c>
      <c r="F28" s="135">
        <v>2</v>
      </c>
      <c r="G28" s="166">
        <v>1189.4070999999999</v>
      </c>
      <c r="H28" s="167"/>
      <c r="I28" s="168">
        <f>E28*F28*G28</f>
        <v>14272.885199999999</v>
      </c>
    </row>
    <row r="29" spans="1:10" ht="15.75">
      <c r="A29" s="359"/>
      <c r="B29" s="193"/>
      <c r="C29" s="82"/>
      <c r="D29" s="82"/>
      <c r="E29" s="82"/>
      <c r="F29" s="82"/>
      <c r="G29" s="82"/>
      <c r="H29" s="475" t="s">
        <v>41</v>
      </c>
      <c r="I29" s="92">
        <f>I7+I16+I19+I14+I26</f>
        <v>174956.88</v>
      </c>
      <c r="J29" s="99"/>
    </row>
    <row r="30" spans="1:10" ht="15.75">
      <c r="A30" s="93"/>
      <c r="B30" s="83"/>
      <c r="C30" s="83"/>
      <c r="D30" s="83"/>
      <c r="E30" s="83"/>
      <c r="F30" s="83"/>
      <c r="G30" s="474" t="s">
        <v>42</v>
      </c>
      <c r="H30" s="252">
        <f>BDI!$D$17</f>
        <v>0.44579999999999997</v>
      </c>
      <c r="I30" s="94">
        <f>I29*H30</f>
        <v>77995.777103999993</v>
      </c>
      <c r="J30" s="99"/>
    </row>
    <row r="31" spans="1:10" ht="16.5" customHeight="1" thickBot="1">
      <c r="A31" s="597"/>
      <c r="B31" s="598"/>
      <c r="C31" s="598"/>
      <c r="D31" s="95"/>
      <c r="E31" s="95"/>
      <c r="F31" s="95"/>
      <c r="G31" s="95"/>
      <c r="H31" s="181" t="s">
        <v>362</v>
      </c>
      <c r="I31" s="96">
        <f>I29+I30</f>
        <v>252952.65710399998</v>
      </c>
      <c r="J31" s="99"/>
    </row>
    <row r="32" spans="1:10" ht="15.75">
      <c r="A32" s="173"/>
      <c r="F32" s="585" t="s">
        <v>44</v>
      </c>
      <c r="G32" s="586"/>
      <c r="H32" s="586"/>
      <c r="I32" s="594"/>
      <c r="J32" s="99"/>
    </row>
    <row r="33" spans="1:10" ht="15.75">
      <c r="A33" s="173"/>
      <c r="F33" s="109" t="str">
        <f>A2</f>
        <v>Bloco 1</v>
      </c>
      <c r="G33" s="109" t="s">
        <v>45</v>
      </c>
      <c r="H33" s="109" t="s">
        <v>46</v>
      </c>
      <c r="I33" s="174" t="s">
        <v>47</v>
      </c>
      <c r="J33" s="99"/>
    </row>
    <row r="34" spans="1:10" ht="16.5" thickBot="1">
      <c r="A34" s="175"/>
      <c r="B34" s="176"/>
      <c r="C34" s="176"/>
      <c r="D34" s="176"/>
      <c r="E34" s="176"/>
      <c r="F34" s="177">
        <f>A3</f>
        <v>29</v>
      </c>
      <c r="G34" s="177">
        <v>3</v>
      </c>
      <c r="H34" s="178">
        <f>I31</f>
        <v>252952.65710399998</v>
      </c>
      <c r="I34" s="179">
        <f>G34*H34</f>
        <v>758857.97131199995</v>
      </c>
      <c r="J34" s="99"/>
    </row>
  </sheetData>
  <mergeCells count="9">
    <mergeCell ref="B3:D3"/>
    <mergeCell ref="A31:C31"/>
    <mergeCell ref="F32:I32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4227A-328C-4A1F-910C-5B848083C410}">
  <sheetPr>
    <tabColor theme="9" tint="0.39997558519241921"/>
    <pageSetUpPr fitToPage="1"/>
  </sheetPr>
  <dimension ref="A1:J34"/>
  <sheetViews>
    <sheetView showGridLines="0" zoomScale="80" zoomScaleNormal="80" workbookViewId="0">
      <selection activeCell="G34" sqref="G34:I34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9.28515625" style="3"/>
    <col min="6" max="6" width="12.28515625" style="3" customWidth="1"/>
    <col min="7" max="7" width="17.42578125" style="3" customWidth="1"/>
    <col min="8" max="8" width="17.5703125" style="3" customWidth="1"/>
    <col min="9" max="9" width="23" style="3" customWidth="1"/>
    <col min="10" max="10" width="20.140625" style="3" bestFit="1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PRODUTOS!A33</f>
        <v>30</v>
      </c>
      <c r="B3" s="599" t="str">
        <f>PRODUTOS!B33</f>
        <v>INVENTÁRIO FLORESTAL</v>
      </c>
      <c r="C3" s="599"/>
      <c r="D3" s="599"/>
      <c r="E3" s="119" t="str">
        <f>PRODUTOS!C33</f>
        <v>INV.FLORA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SUM(I8:I11)</f>
        <v>310063.57483916933</v>
      </c>
      <c r="J7" s="99"/>
    </row>
    <row r="8" spans="1:10" ht="15.75">
      <c r="A8" s="106"/>
      <c r="B8" s="80" t="s">
        <v>16</v>
      </c>
      <c r="C8" s="125" t="str">
        <f>VLOOKUP(B8,'Preços de Referência'!$A$5:$C$103,2,FALSE)</f>
        <v>Engenheiro florestal pleno</v>
      </c>
      <c r="D8" s="134" t="s">
        <v>15</v>
      </c>
      <c r="E8" s="81">
        <v>2</v>
      </c>
      <c r="F8" s="159">
        <f>'Preços de Referência'!$O$28*(60+40)</f>
        <v>733.30000000000007</v>
      </c>
      <c r="G8" s="88">
        <f>VLOOKUP(B8,'Preços de Referência'!$A$5:$C$103,3,FALSE)</f>
        <v>23790.89</v>
      </c>
      <c r="H8" s="88">
        <f>G8/'Preços de Referência'!$O$30</f>
        <v>130.36818455805798</v>
      </c>
      <c r="I8" s="91">
        <f t="shared" ref="I8:I11" si="0">H8*F8*E8</f>
        <v>191197.97947284786</v>
      </c>
      <c r="J8" s="99"/>
    </row>
    <row r="9" spans="1:10" ht="15.75">
      <c r="A9" s="106"/>
      <c r="B9" s="80" t="s">
        <v>14</v>
      </c>
      <c r="C9" s="125" t="str">
        <f>VLOOKUP(B9,'Preços de Referência'!$A$5:$C$103,2,FALSE)</f>
        <v>Biólogo pleno</v>
      </c>
      <c r="D9" s="134" t="s">
        <v>15</v>
      </c>
      <c r="E9" s="81">
        <v>2</v>
      </c>
      <c r="F9" s="159">
        <f>'Preços de Referência'!$O$28*(60+40)</f>
        <v>733.30000000000007</v>
      </c>
      <c r="G9" s="88">
        <f>VLOOKUP(B9,'Preços de Referência'!$A$5:$C$103,3,FALSE)</f>
        <v>8782.2099999999991</v>
      </c>
      <c r="H9" s="88">
        <f>G9/'Preços de Referência'!$O$30</f>
        <v>48.124335580031776</v>
      </c>
      <c r="I9" s="91">
        <f t="shared" ref="I9" si="1">H9*F9*E9</f>
        <v>70579.150561674614</v>
      </c>
      <c r="J9" s="99"/>
    </row>
    <row r="10" spans="1:10" ht="28.5">
      <c r="A10" s="106"/>
      <c r="B10" s="80" t="s">
        <v>17</v>
      </c>
      <c r="C10" s="125" t="str">
        <f>VLOOKUP(B10,'Preços de Referência'!$A$5:$C$103,2,FALSE)</f>
        <v>Técnico em geoprocessamento</v>
      </c>
      <c r="D10" s="134" t="s">
        <v>15</v>
      </c>
      <c r="E10" s="81">
        <v>1</v>
      </c>
      <c r="F10" s="159">
        <f>'Preços de Referência'!$O$28*(40)</f>
        <v>293.32</v>
      </c>
      <c r="G10" s="88">
        <f>VLOOKUP(B10,'Preços de Referência'!$A$5:$C$103,3,FALSE)</f>
        <v>6120.29</v>
      </c>
      <c r="H10" s="88">
        <f>G10/'Preços de Referência'!$O$30</f>
        <v>33.537673297166968</v>
      </c>
      <c r="I10" s="91">
        <f t="shared" ref="I10" si="2">H10*F10*E10</f>
        <v>9837.2703315250146</v>
      </c>
      <c r="J10" s="99"/>
    </row>
    <row r="11" spans="1:10" ht="15">
      <c r="A11" s="106"/>
      <c r="B11" s="80" t="s">
        <v>167</v>
      </c>
      <c r="C11" s="125" t="str">
        <f>VLOOKUP(B11,'Preços de Referência'!$A$5:$C$103,2,FALSE)</f>
        <v>Auxiliar</v>
      </c>
      <c r="D11" s="134" t="s">
        <v>15</v>
      </c>
      <c r="E11" s="81">
        <v>4</v>
      </c>
      <c r="F11" s="159">
        <f>'Preços de Referência'!$O$28*60</f>
        <v>439.98</v>
      </c>
      <c r="G11" s="88">
        <f>VLOOKUP(B11,'Preços de Referência'!$A$5:$C$103,3,FALSE)</f>
        <v>3986.88</v>
      </c>
      <c r="H11" s="88">
        <f>G11/'Preços de Referência'!$O$30</f>
        <v>21.847114910406049</v>
      </c>
      <c r="I11" s="91">
        <f t="shared" si="0"/>
        <v>38449.174473121813</v>
      </c>
    </row>
    <row r="12" spans="1:10" ht="15.75">
      <c r="A12" s="128" t="s">
        <v>21</v>
      </c>
      <c r="B12" s="107"/>
      <c r="C12" s="126" t="s">
        <v>22</v>
      </c>
      <c r="D12" s="107"/>
      <c r="E12" s="107"/>
      <c r="F12" s="107"/>
      <c r="G12" s="107"/>
      <c r="H12" s="123"/>
      <c r="I12" s="100">
        <f>I13</f>
        <v>5441.3519999999999</v>
      </c>
      <c r="J12" s="99"/>
    </row>
    <row r="13" spans="1:10" ht="28.5" customHeight="1">
      <c r="A13" s="106"/>
      <c r="B13" s="84" t="s">
        <v>23</v>
      </c>
      <c r="C13" s="125" t="str">
        <f>VLOOKUP(B13,'Preços de Referência'!$E$4:$P$5,2,FALSE)</f>
        <v>Veículo leve picape 4 x 4 com capacidade de 1,10 t - 147 kW (sem motorista)</v>
      </c>
      <c r="D13" s="134" t="s">
        <v>15</v>
      </c>
      <c r="E13" s="81">
        <v>2</v>
      </c>
      <c r="F13" s="159">
        <v>60</v>
      </c>
      <c r="G13" s="88">
        <f>VLOOKUP(B13,'Preços de Referência'!$E$4:$P$5,10,FALSE)</f>
        <v>8274.9513000000006</v>
      </c>
      <c r="H13" s="88">
        <f>VLOOKUP(B13,'Preços de Referência'!$E$4:$P$5,12,FALSE)</f>
        <v>45.3446</v>
      </c>
      <c r="I13" s="91">
        <f>H13*F13*E13</f>
        <v>5441.3519999999999</v>
      </c>
      <c r="J13" s="99"/>
    </row>
    <row r="14" spans="1:10" ht="30" hidden="1">
      <c r="A14" s="128" t="s">
        <v>24</v>
      </c>
      <c r="B14" s="107"/>
      <c r="C14" s="126" t="s">
        <v>25</v>
      </c>
      <c r="D14" s="107"/>
      <c r="E14" s="107"/>
      <c r="F14" s="107"/>
      <c r="G14" s="107"/>
      <c r="H14" s="123"/>
      <c r="I14" s="100">
        <v>0</v>
      </c>
      <c r="J14" s="99"/>
    </row>
    <row r="15" spans="1:10" ht="15.75" hidden="1">
      <c r="A15" s="106"/>
      <c r="B15" s="80" t="s">
        <v>26</v>
      </c>
      <c r="C15" s="125" t="s">
        <v>27</v>
      </c>
      <c r="D15" s="134" t="s">
        <v>15</v>
      </c>
      <c r="E15" s="81">
        <v>6</v>
      </c>
      <c r="F15" s="81">
        <f>'Preços de Referência'!$O$28*5</f>
        <v>36.664999999999999</v>
      </c>
      <c r="G15" s="81">
        <v>223.422507</v>
      </c>
      <c r="H15" s="88">
        <v>1.2242999999999999</v>
      </c>
      <c r="I15" s="91">
        <f>H15*F15*E15</f>
        <v>269.33375699999999</v>
      </c>
      <c r="J15" s="99"/>
    </row>
    <row r="16" spans="1:10" ht="28.5" hidden="1">
      <c r="A16" s="106"/>
      <c r="B16" s="80" t="s">
        <v>28</v>
      </c>
      <c r="C16" s="125" t="s">
        <v>29</v>
      </c>
      <c r="D16" s="134" t="s">
        <v>15</v>
      </c>
      <c r="E16" s="81">
        <v>1</v>
      </c>
      <c r="F16" s="81">
        <f>'Preços de Referência'!$O$28*5</f>
        <v>36.664999999999999</v>
      </c>
      <c r="G16" s="81">
        <f>E16*F16</f>
        <v>36.664999999999999</v>
      </c>
      <c r="H16" s="88">
        <v>5.16</v>
      </c>
      <c r="I16" s="91">
        <f>H16*F16*E16</f>
        <v>189.19139999999999</v>
      </c>
      <c r="J16" s="99"/>
    </row>
    <row r="17" spans="1:10" ht="15.75" hidden="1">
      <c r="A17" s="128" t="s">
        <v>30</v>
      </c>
      <c r="B17" s="107"/>
      <c r="C17" s="126" t="s">
        <v>31</v>
      </c>
      <c r="D17" s="107"/>
      <c r="E17" s="107"/>
      <c r="F17" s="107"/>
      <c r="G17" s="107"/>
      <c r="H17" s="123"/>
      <c r="I17" s="100">
        <v>0</v>
      </c>
      <c r="J17" s="99"/>
    </row>
    <row r="18" spans="1:10" ht="15.75" hidden="1">
      <c r="A18" s="129" t="s">
        <v>32</v>
      </c>
      <c r="B18" s="108"/>
      <c r="C18" s="127" t="s">
        <v>33</v>
      </c>
      <c r="D18" s="108"/>
      <c r="E18" s="108"/>
      <c r="F18" s="108"/>
      <c r="G18" s="108"/>
      <c r="H18" s="124"/>
      <c r="I18" s="101"/>
      <c r="J18" s="99"/>
    </row>
    <row r="19" spans="1:10" ht="28.5" hidden="1">
      <c r="A19" s="106"/>
      <c r="B19" s="80" t="s">
        <v>34</v>
      </c>
      <c r="C19" s="125" t="str">
        <f>VLOOKUP(B19,'Preços de Referência'!$F$74:$J$83,2,FALSE)</f>
        <v>Comercial (2,60% do CMCC - SINAPI)</v>
      </c>
      <c r="D19" s="80" t="str">
        <f>VLOOKUP(B19,'Preços de Referência'!$F$74:$J$83,4,FALSE)</f>
        <v>m² x mês</v>
      </c>
      <c r="E19" s="81">
        <f>12.41*6</f>
        <v>74.460000000000008</v>
      </c>
      <c r="F19" s="81">
        <f>'Preços de Referência'!$O$28*5</f>
        <v>36.664999999999999</v>
      </c>
      <c r="G19" s="89">
        <f>VLOOKUP(B19,'Preços de Referência'!$F$74:$J$83,5,FALSE)</f>
        <v>47.75</v>
      </c>
      <c r="H19" s="88">
        <f>G19/'Preços de Referência'!$O$30</f>
        <v>0.26165817305057809</v>
      </c>
      <c r="I19" s="91">
        <v>0</v>
      </c>
      <c r="J19" s="99"/>
    </row>
    <row r="20" spans="1:10" ht="15.75" hidden="1">
      <c r="A20" s="129" t="s">
        <v>35</v>
      </c>
      <c r="B20" s="108"/>
      <c r="C20" s="127" t="s">
        <v>36</v>
      </c>
      <c r="D20" s="108"/>
      <c r="E20" s="108"/>
      <c r="F20" s="108"/>
      <c r="G20" s="108"/>
      <c r="H20" s="124"/>
      <c r="I20" s="101"/>
      <c r="J20" s="99"/>
    </row>
    <row r="21" spans="1:10" ht="15.75" hidden="1">
      <c r="A21" s="106"/>
      <c r="B21" s="80" t="s">
        <v>37</v>
      </c>
      <c r="C21" s="125" t="str">
        <f>VLOOKUP(B21,'Preços de Referência'!$F$74:$J$83,2,FALSE)</f>
        <v>Escritório</v>
      </c>
      <c r="D21" s="80" t="str">
        <f>VLOOKUP(B21,'Preços de Referência'!$F$74:$J$83,4,FALSE)</f>
        <v>ocupante x mês</v>
      </c>
      <c r="E21" s="81">
        <v>6</v>
      </c>
      <c r="F21" s="81">
        <f>'Preços de Referência'!$O$28*5</f>
        <v>36.664999999999999</v>
      </c>
      <c r="G21" s="89">
        <f>VLOOKUP(B21,'Preços de Referência'!$F$74:$J$83,5,FALSE)</f>
        <v>490.4</v>
      </c>
      <c r="H21" s="88">
        <f>G21/'Preços de Referência'!$O$30</f>
        <v>2.6872705353718009</v>
      </c>
      <c r="I21" s="91">
        <f>H21*F21*E21</f>
        <v>591.17264507644245</v>
      </c>
      <c r="J21" s="99"/>
    </row>
    <row r="22" spans="1:10" ht="15.75" hidden="1">
      <c r="A22" s="129" t="s">
        <v>38</v>
      </c>
      <c r="B22" s="108"/>
      <c r="C22" s="127" t="s">
        <v>39</v>
      </c>
      <c r="D22" s="108"/>
      <c r="E22" s="108"/>
      <c r="F22" s="108"/>
      <c r="G22" s="108"/>
      <c r="H22" s="124"/>
      <c r="I22" s="101"/>
      <c r="J22" s="99"/>
    </row>
    <row r="23" spans="1:10" ht="15.75" hidden="1">
      <c r="A23" s="106"/>
      <c r="B23" s="80" t="s">
        <v>40</v>
      </c>
      <c r="C23" s="125" t="str">
        <f>VLOOKUP(B23,'Preços de Referência'!$F$74:$J$83,2,FALSE)</f>
        <v>Escritório</v>
      </c>
      <c r="D23" s="80" t="str">
        <f>VLOOKUP(B23,'Preços de Referência'!$F$74:$J$83,4,FALSE)</f>
        <v>ocupante x mês</v>
      </c>
      <c r="E23" s="81">
        <v>6</v>
      </c>
      <c r="F23" s="81">
        <f>'Preços de Referência'!$O$28*5</f>
        <v>36.664999999999999</v>
      </c>
      <c r="G23" s="89">
        <f>VLOOKUP(B23,'Preços de Referência'!$F$74:$J$83,5,FALSE)</f>
        <v>135.22</v>
      </c>
      <c r="H23" s="88">
        <f>G23/'Preços de Referência'!$O$30</f>
        <v>0.74097210806071556</v>
      </c>
      <c r="I23" s="91">
        <f>H23*F23*E23</f>
        <v>163.00645405227681</v>
      </c>
      <c r="J23" s="99"/>
    </row>
    <row r="24" spans="1:10" ht="15.75">
      <c r="A24" s="160" t="s">
        <v>24</v>
      </c>
      <c r="B24" s="161"/>
      <c r="C24" s="162" t="s">
        <v>360</v>
      </c>
      <c r="D24" s="161"/>
      <c r="E24" s="161"/>
      <c r="F24" s="161"/>
      <c r="G24" s="161"/>
      <c r="H24" s="161"/>
      <c r="I24" s="163">
        <f>SUM(I25:I26)</f>
        <v>210594.6152</v>
      </c>
    </row>
    <row r="25" spans="1:10" ht="42.75">
      <c r="A25" s="164"/>
      <c r="B25" s="169" t="s">
        <v>198</v>
      </c>
      <c r="C25" s="165" t="str">
        <f>VLOOKUP(B25,'Preços de Referência'!$P$69:$W$70,2,FALSE)</f>
        <v>DIÁRIA (CONF. DECRETO 11.117 PR - CUSTO MEDIANO</v>
      </c>
      <c r="D25" s="134" t="s">
        <v>122</v>
      </c>
      <c r="E25" s="135">
        <v>9</v>
      </c>
      <c r="F25" s="192">
        <v>60</v>
      </c>
      <c r="G25" s="330">
        <f>VLOOKUP(B25,'Preços de Referência'!$P$69:$W$70,6,FALSE)</f>
        <v>380</v>
      </c>
      <c r="H25" s="167"/>
      <c r="I25" s="168">
        <f>E25*F25*G25</f>
        <v>205200</v>
      </c>
    </row>
    <row r="26" spans="1:10" ht="42.75">
      <c r="A26" s="164"/>
      <c r="B26" s="169" t="s">
        <v>194</v>
      </c>
      <c r="C26" s="165" t="str">
        <f>VLOOKUP(B26,'Preços de Referência'!$P$69:$W$70,2,FALSE)</f>
        <v>PASSAGEM AÉREA - DESTINO NACIONAL (Cotação JUL/24)*</v>
      </c>
      <c r="D26" s="134" t="s">
        <v>122</v>
      </c>
      <c r="E26" s="135">
        <v>4</v>
      </c>
      <c r="F26" s="192">
        <v>1</v>
      </c>
      <c r="G26" s="330">
        <f>VLOOKUP(B26,'Preços de Referência'!$P$69:$W$70,6,FALSE)</f>
        <v>1348.6538</v>
      </c>
      <c r="H26" s="167"/>
      <c r="I26" s="168">
        <f>E26*F26*G26</f>
        <v>5394.6152000000002</v>
      </c>
    </row>
    <row r="27" spans="1:10" ht="15.75">
      <c r="A27" s="359"/>
      <c r="B27" s="193"/>
      <c r="C27" s="82"/>
      <c r="D27" s="82"/>
      <c r="E27" s="82"/>
      <c r="F27" s="82"/>
      <c r="G27" s="82"/>
      <c r="H27" s="475" t="s">
        <v>41</v>
      </c>
      <c r="I27" s="92">
        <f>I7+I14+I17+I12+I24</f>
        <v>526099.54203916935</v>
      </c>
      <c r="J27" s="99"/>
    </row>
    <row r="28" spans="1:10" ht="16.5" thickBot="1">
      <c r="A28" s="93"/>
      <c r="B28" s="83"/>
      <c r="C28" s="83"/>
      <c r="D28" s="83"/>
      <c r="E28" s="83"/>
      <c r="F28" s="83"/>
      <c r="G28" s="474" t="s">
        <v>42</v>
      </c>
      <c r="H28" s="252">
        <f>BDI!$D$17</f>
        <v>0.44579999999999997</v>
      </c>
      <c r="I28" s="94">
        <f>I27*H28</f>
        <v>234535.17584106169</v>
      </c>
      <c r="J28" s="99"/>
    </row>
    <row r="29" spans="1:10" ht="26.25" thickBot="1">
      <c r="A29" s="476"/>
      <c r="B29" s="477"/>
      <c r="C29" s="477"/>
      <c r="D29" s="477"/>
      <c r="E29" s="477"/>
      <c r="F29" s="477"/>
      <c r="G29" s="478"/>
      <c r="H29" s="479" t="s">
        <v>524</v>
      </c>
      <c r="I29" s="480">
        <f>1.07765625</f>
        <v>1.07765625</v>
      </c>
    </row>
    <row r="30" spans="1:10" ht="16.5" customHeight="1" thickBot="1">
      <c r="A30" s="597"/>
      <c r="B30" s="598"/>
      <c r="C30" s="598"/>
      <c r="D30" s="95"/>
      <c r="E30" s="95"/>
      <c r="F30" s="95"/>
      <c r="G30" s="95"/>
      <c r="H30" s="181" t="s">
        <v>392</v>
      </c>
      <c r="I30" s="96">
        <f>(I27+I28)*I29</f>
        <v>819702.75769061781</v>
      </c>
      <c r="J30" s="201"/>
    </row>
    <row r="31" spans="1:10" ht="16.5" thickBot="1">
      <c r="A31" s="597"/>
      <c r="B31" s="598"/>
      <c r="C31" s="598"/>
      <c r="D31" s="95"/>
      <c r="E31" s="95"/>
      <c r="F31" s="95"/>
      <c r="G31" s="95"/>
      <c r="H31" s="181" t="s">
        <v>391</v>
      </c>
      <c r="I31" s="96">
        <f>(I30/4000)</f>
        <v>204.92568942265444</v>
      </c>
      <c r="J31" s="201"/>
    </row>
    <row r="32" spans="1:10" ht="15.75">
      <c r="A32" s="173"/>
      <c r="F32" s="585" t="s">
        <v>44</v>
      </c>
      <c r="G32" s="586"/>
      <c r="H32" s="586"/>
      <c r="I32" s="594"/>
      <c r="J32" s="201"/>
    </row>
    <row r="33" spans="1:10" ht="15.75">
      <c r="A33" s="173"/>
      <c r="F33" s="109" t="str">
        <f>A2</f>
        <v>Bloco 1</v>
      </c>
      <c r="G33" s="109" t="s">
        <v>45</v>
      </c>
      <c r="H33" s="109" t="s">
        <v>46</v>
      </c>
      <c r="I33" s="174" t="s">
        <v>47</v>
      </c>
      <c r="J33" s="201"/>
    </row>
    <row r="34" spans="1:10" ht="19.5" thickBot="1">
      <c r="A34" s="175"/>
      <c r="B34" s="176"/>
      <c r="C34" s="176"/>
      <c r="D34" s="176"/>
      <c r="E34" s="176"/>
      <c r="F34" s="189">
        <f>A3</f>
        <v>30</v>
      </c>
      <c r="G34" s="189">
        <v>12000</v>
      </c>
      <c r="H34" s="190">
        <f>I31</f>
        <v>204.92568942265444</v>
      </c>
      <c r="I34" s="191">
        <f>G34*H34</f>
        <v>2459108.2730718534</v>
      </c>
      <c r="J34" s="183"/>
    </row>
  </sheetData>
  <mergeCells count="10">
    <mergeCell ref="B3:D3"/>
    <mergeCell ref="A30:C30"/>
    <mergeCell ref="A31:C31"/>
    <mergeCell ref="F32:I32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BE640-5EE9-4761-ABF4-2F4638C95576}">
  <sheetPr>
    <tabColor theme="9" tint="0.39997558519241921"/>
    <pageSetUpPr fitToPage="1"/>
  </sheetPr>
  <dimension ref="A1:J31"/>
  <sheetViews>
    <sheetView showGridLines="0" zoomScale="80" zoomScaleNormal="80" workbookViewId="0">
      <selection activeCell="E39" sqref="E39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9.28515625" style="3"/>
    <col min="6" max="6" width="12.28515625" style="3" customWidth="1"/>
    <col min="7" max="7" width="17.42578125" style="3" customWidth="1"/>
    <col min="8" max="8" width="17.5703125" style="3" customWidth="1"/>
    <col min="9" max="9" width="23" style="3" customWidth="1"/>
    <col min="10" max="10" width="20.140625" style="3" bestFit="1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PRODUTOS!A34</f>
        <v>31</v>
      </c>
      <c r="B3" s="599" t="str">
        <f>PRODUTOS!B34</f>
        <v>PRODUÇÃO DE MATERIAL DE DIVULGAÇÃO – MÍDIAS SOCIAIS</v>
      </c>
      <c r="C3" s="599"/>
      <c r="D3" s="599"/>
      <c r="E3" s="119" t="str">
        <f>PRODUTOS!C34</f>
        <v>PMD.MID.SOC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SUM(I8:I9)</f>
        <v>10450.739999999998</v>
      </c>
      <c r="J7" s="99"/>
    </row>
    <row r="8" spans="1:10" ht="15.75">
      <c r="A8" s="106"/>
      <c r="B8" s="80" t="s">
        <v>250</v>
      </c>
      <c r="C8" s="125" t="str">
        <f>VLOOKUP(B8,'Preços de Referência'!$A$5:$C$103,2,FALSE)</f>
        <v>Jornalista júnior</v>
      </c>
      <c r="D8" s="134" t="s">
        <v>15</v>
      </c>
      <c r="E8" s="182">
        <v>1</v>
      </c>
      <c r="F8" s="159">
        <f>'Preços de Referência'!$O$30*1</f>
        <v>182.49</v>
      </c>
      <c r="G8" s="88">
        <f>VLOOKUP(B8,'Preços de Referência'!$A$5:$C$103,3,FALSE)</f>
        <v>6463.86</v>
      </c>
      <c r="H8" s="88">
        <f>G8/'Preços de Referência'!$O$30</f>
        <v>35.420351800098629</v>
      </c>
      <c r="I8" s="91">
        <f t="shared" ref="I8:I9" si="0">H8*F8*E8</f>
        <v>6463.8599999999988</v>
      </c>
      <c r="J8" s="99"/>
    </row>
    <row r="9" spans="1:10" ht="15.75">
      <c r="A9" s="106"/>
      <c r="B9" s="80" t="s">
        <v>167</v>
      </c>
      <c r="C9" s="125" t="str">
        <f>VLOOKUP(B9,'Preços de Referência'!$A$5:$C$103,2,FALSE)</f>
        <v>Auxiliar</v>
      </c>
      <c r="D9" s="134" t="s">
        <v>15</v>
      </c>
      <c r="E9" s="182">
        <v>1</v>
      </c>
      <c r="F9" s="159">
        <f>'Preços de Referência'!$O$30*1</f>
        <v>182.49</v>
      </c>
      <c r="G9" s="88">
        <f>VLOOKUP(B9,'Preços de Referência'!$A$5:$C$103,3,FALSE)</f>
        <v>3986.88</v>
      </c>
      <c r="H9" s="88">
        <f>G9/'Preços de Referência'!$O$30</f>
        <v>21.847114910406049</v>
      </c>
      <c r="I9" s="91">
        <f t="shared" si="0"/>
        <v>3986.88</v>
      </c>
      <c r="J9" s="99"/>
    </row>
    <row r="10" spans="1:10" ht="15.75" hidden="1">
      <c r="A10" s="128" t="s">
        <v>21</v>
      </c>
      <c r="B10" s="107"/>
      <c r="C10" s="126" t="s">
        <v>22</v>
      </c>
      <c r="D10" s="107"/>
      <c r="E10" s="107"/>
      <c r="F10" s="107"/>
      <c r="G10" s="107"/>
      <c r="H10" s="123"/>
      <c r="I10" s="100">
        <v>0</v>
      </c>
      <c r="J10" s="99"/>
    </row>
    <row r="11" spans="1:10" ht="28.5" hidden="1" customHeight="1">
      <c r="A11" s="106"/>
      <c r="B11" s="84" t="s">
        <v>23</v>
      </c>
      <c r="C11" s="125" t="str">
        <f>VLOOKUP(B11,'Preços de Referência'!$E$4:$P$5,2,FALSE)</f>
        <v>Veículo leve picape 4 x 4 com capacidade de 1,10 t - 147 kW (sem motorista)</v>
      </c>
      <c r="D11" s="134" t="s">
        <v>15</v>
      </c>
      <c r="E11" s="81">
        <v>2</v>
      </c>
      <c r="F11" s="159">
        <v>60</v>
      </c>
      <c r="G11" s="88">
        <f>VLOOKUP(B11,'Preços de Referência'!$E$4:$P$5,10,FALSE)</f>
        <v>8274.9513000000006</v>
      </c>
      <c r="H11" s="88">
        <f>VLOOKUP(B11,'Preços de Referência'!$E$4:$P$5,12,FALSE)</f>
        <v>45.3446</v>
      </c>
      <c r="I11" s="91">
        <f>H11*F11*E11</f>
        <v>5441.3519999999999</v>
      </c>
      <c r="J11" s="99"/>
    </row>
    <row r="12" spans="1:10" ht="30" hidden="1">
      <c r="A12" s="128" t="s">
        <v>24</v>
      </c>
      <c r="B12" s="107"/>
      <c r="C12" s="126" t="s">
        <v>25</v>
      </c>
      <c r="D12" s="107"/>
      <c r="E12" s="107"/>
      <c r="F12" s="107"/>
      <c r="G12" s="107"/>
      <c r="H12" s="123"/>
      <c r="I12" s="100">
        <v>0</v>
      </c>
      <c r="J12" s="99"/>
    </row>
    <row r="13" spans="1:10" ht="15.75" hidden="1">
      <c r="A13" s="106"/>
      <c r="B13" s="80" t="s">
        <v>26</v>
      </c>
      <c r="C13" s="125" t="s">
        <v>27</v>
      </c>
      <c r="D13" s="134" t="s">
        <v>15</v>
      </c>
      <c r="E13" s="81">
        <v>6</v>
      </c>
      <c r="F13" s="81">
        <f>'Preços de Referência'!$O$28*5</f>
        <v>36.664999999999999</v>
      </c>
      <c r="G13" s="81">
        <v>223.422507</v>
      </c>
      <c r="H13" s="88">
        <v>1.2242999999999999</v>
      </c>
      <c r="I13" s="91">
        <f>H13*F13*E13</f>
        <v>269.33375699999999</v>
      </c>
      <c r="J13" s="99"/>
    </row>
    <row r="14" spans="1:10" ht="28.5" hidden="1">
      <c r="A14" s="106"/>
      <c r="B14" s="80" t="s">
        <v>28</v>
      </c>
      <c r="C14" s="125" t="s">
        <v>29</v>
      </c>
      <c r="D14" s="134" t="s">
        <v>15</v>
      </c>
      <c r="E14" s="81">
        <v>1</v>
      </c>
      <c r="F14" s="81">
        <f>'Preços de Referência'!$O$28*5</f>
        <v>36.664999999999999</v>
      </c>
      <c r="G14" s="81">
        <f>E14*F14</f>
        <v>36.664999999999999</v>
      </c>
      <c r="H14" s="88">
        <v>5.16</v>
      </c>
      <c r="I14" s="91">
        <f>H14*F14*E14</f>
        <v>189.19139999999999</v>
      </c>
      <c r="J14" s="99"/>
    </row>
    <row r="15" spans="1:10" ht="15.75" hidden="1">
      <c r="A15" s="128" t="s">
        <v>30</v>
      </c>
      <c r="B15" s="107"/>
      <c r="C15" s="126" t="s">
        <v>31</v>
      </c>
      <c r="D15" s="107"/>
      <c r="E15" s="107"/>
      <c r="F15" s="107"/>
      <c r="G15" s="107"/>
      <c r="H15" s="123"/>
      <c r="I15" s="100">
        <v>0</v>
      </c>
      <c r="J15" s="99"/>
    </row>
    <row r="16" spans="1:10" ht="15.75" hidden="1">
      <c r="A16" s="129" t="s">
        <v>32</v>
      </c>
      <c r="B16" s="108"/>
      <c r="C16" s="127" t="s">
        <v>33</v>
      </c>
      <c r="D16" s="108"/>
      <c r="E16" s="108"/>
      <c r="F16" s="108"/>
      <c r="G16" s="108"/>
      <c r="H16" s="124"/>
      <c r="I16" s="101"/>
      <c r="J16" s="99"/>
    </row>
    <row r="17" spans="1:10" ht="28.5" hidden="1">
      <c r="A17" s="106"/>
      <c r="B17" s="80" t="s">
        <v>34</v>
      </c>
      <c r="C17" s="125" t="str">
        <f>VLOOKUP(B17,'Preços de Referência'!$F$74:$J$83,2,FALSE)</f>
        <v>Comercial (2,60% do CMCC - SINAPI)</v>
      </c>
      <c r="D17" s="80" t="str">
        <f>VLOOKUP(B17,'Preços de Referência'!$F$74:$J$83,4,FALSE)</f>
        <v>m² x mês</v>
      </c>
      <c r="E17" s="81">
        <f>12.41*6</f>
        <v>74.460000000000008</v>
      </c>
      <c r="F17" s="81">
        <f>'Preços de Referência'!$O$28*5</f>
        <v>36.664999999999999</v>
      </c>
      <c r="G17" s="89">
        <f>VLOOKUP(B17,'Preços de Referência'!$F$74:$J$83,5,FALSE)</f>
        <v>47.75</v>
      </c>
      <c r="H17" s="88">
        <f>G17/'Preços de Referência'!$O$30</f>
        <v>0.26165817305057809</v>
      </c>
      <c r="I17" s="91">
        <v>0</v>
      </c>
      <c r="J17" s="99"/>
    </row>
    <row r="18" spans="1:10" ht="15.75" hidden="1">
      <c r="A18" s="129" t="s">
        <v>35</v>
      </c>
      <c r="B18" s="108"/>
      <c r="C18" s="127" t="s">
        <v>36</v>
      </c>
      <c r="D18" s="108"/>
      <c r="E18" s="108"/>
      <c r="F18" s="108"/>
      <c r="G18" s="108"/>
      <c r="H18" s="124"/>
      <c r="I18" s="101"/>
      <c r="J18" s="99"/>
    </row>
    <row r="19" spans="1:10" ht="15.75" hidden="1">
      <c r="A19" s="106"/>
      <c r="B19" s="80" t="s">
        <v>37</v>
      </c>
      <c r="C19" s="125" t="str">
        <f>VLOOKUP(B19,'Preços de Referência'!$F$74:$J$83,2,FALSE)</f>
        <v>Escritório</v>
      </c>
      <c r="D19" s="80" t="str">
        <f>VLOOKUP(B19,'Preços de Referência'!$F$74:$J$83,4,FALSE)</f>
        <v>ocupante x mês</v>
      </c>
      <c r="E19" s="81">
        <v>6</v>
      </c>
      <c r="F19" s="81">
        <f>'Preços de Referência'!$O$28*5</f>
        <v>36.664999999999999</v>
      </c>
      <c r="G19" s="89">
        <f>VLOOKUP(B19,'Preços de Referência'!$F$74:$J$83,5,FALSE)</f>
        <v>490.4</v>
      </c>
      <c r="H19" s="88">
        <f>G19/'Preços de Referência'!$O$30</f>
        <v>2.6872705353718009</v>
      </c>
      <c r="I19" s="91">
        <f>H19*F19*E19</f>
        <v>591.17264507644245</v>
      </c>
      <c r="J19" s="99"/>
    </row>
    <row r="20" spans="1:10" ht="15.75" hidden="1">
      <c r="A20" s="129" t="s">
        <v>38</v>
      </c>
      <c r="B20" s="108"/>
      <c r="C20" s="127" t="s">
        <v>39</v>
      </c>
      <c r="D20" s="108"/>
      <c r="E20" s="108"/>
      <c r="F20" s="108"/>
      <c r="G20" s="108"/>
      <c r="H20" s="124"/>
      <c r="I20" s="101"/>
      <c r="J20" s="99"/>
    </row>
    <row r="21" spans="1:10" ht="15.75" hidden="1">
      <c r="A21" s="106"/>
      <c r="B21" s="80" t="s">
        <v>40</v>
      </c>
      <c r="C21" s="125" t="str">
        <f>VLOOKUP(B21,'Preços de Referência'!$F$74:$J$83,2,FALSE)</f>
        <v>Escritório</v>
      </c>
      <c r="D21" s="80" t="str">
        <f>VLOOKUP(B21,'Preços de Referência'!$F$74:$J$83,4,FALSE)</f>
        <v>ocupante x mês</v>
      </c>
      <c r="E21" s="81">
        <v>6</v>
      </c>
      <c r="F21" s="81">
        <f>'Preços de Referência'!$O$28*5</f>
        <v>36.664999999999999</v>
      </c>
      <c r="G21" s="89">
        <f>VLOOKUP(B21,'Preços de Referência'!$F$74:$J$83,5,FALSE)</f>
        <v>135.22</v>
      </c>
      <c r="H21" s="88">
        <f>G21/'Preços de Referência'!$O$30</f>
        <v>0.74097210806071556</v>
      </c>
      <c r="I21" s="91">
        <f>H21*F21*E21</f>
        <v>163.00645405227681</v>
      </c>
      <c r="J21" s="99"/>
    </row>
    <row r="22" spans="1:10" ht="15.75" hidden="1">
      <c r="A22" s="160" t="s">
        <v>361</v>
      </c>
      <c r="B22" s="161"/>
      <c r="C22" s="162" t="s">
        <v>360</v>
      </c>
      <c r="D22" s="161"/>
      <c r="E22" s="161"/>
      <c r="F22" s="161"/>
      <c r="G22" s="161"/>
      <c r="H22" s="161"/>
      <c r="I22" s="163">
        <v>0</v>
      </c>
    </row>
    <row r="23" spans="1:10" ht="42.75" hidden="1">
      <c r="A23" s="164"/>
      <c r="B23" s="169" t="s">
        <v>198</v>
      </c>
      <c r="C23" s="165" t="s">
        <v>199</v>
      </c>
      <c r="D23" s="134" t="s">
        <v>122</v>
      </c>
      <c r="E23" s="135">
        <v>9</v>
      </c>
      <c r="F23" s="192">
        <v>60</v>
      </c>
      <c r="G23" s="166">
        <v>341.02</v>
      </c>
      <c r="H23" s="167"/>
      <c r="I23" s="168">
        <f>E23*F23*G23</f>
        <v>184150.8</v>
      </c>
    </row>
    <row r="24" spans="1:10" ht="28.5" hidden="1">
      <c r="A24" s="164"/>
      <c r="B24" s="169" t="s">
        <v>194</v>
      </c>
      <c r="C24" s="165" t="s">
        <v>195</v>
      </c>
      <c r="D24" s="134" t="s">
        <v>122</v>
      </c>
      <c r="E24" s="135">
        <v>4</v>
      </c>
      <c r="F24" s="192">
        <v>2</v>
      </c>
      <c r="G24" s="166">
        <v>1189.4070999999999</v>
      </c>
      <c r="H24" s="167"/>
      <c r="I24" s="168">
        <f>E24*F24*G24</f>
        <v>9515.2567999999992</v>
      </c>
    </row>
    <row r="25" spans="1:10" ht="15.75">
      <c r="A25" s="359"/>
      <c r="B25" s="193"/>
      <c r="C25" s="82"/>
      <c r="D25" s="82"/>
      <c r="E25" s="82"/>
      <c r="F25" s="82"/>
      <c r="G25" s="82"/>
      <c r="H25" s="475" t="s">
        <v>41</v>
      </c>
      <c r="I25" s="92">
        <f>I7+I12+I15+I10+I22</f>
        <v>10450.739999999998</v>
      </c>
      <c r="J25" s="99"/>
    </row>
    <row r="26" spans="1:10" ht="15.75">
      <c r="A26" s="93"/>
      <c r="B26" s="83"/>
      <c r="C26" s="83"/>
      <c r="D26" s="83"/>
      <c r="E26" s="83"/>
      <c r="F26" s="83"/>
      <c r="G26" s="474" t="s">
        <v>42</v>
      </c>
      <c r="H26" s="252">
        <f>BDI!$D$17</f>
        <v>0.44579999999999997</v>
      </c>
      <c r="I26" s="94">
        <f>I25*H26</f>
        <v>4658.9398919999985</v>
      </c>
      <c r="J26" s="99"/>
    </row>
    <row r="27" spans="1:10" ht="16.5" customHeight="1" thickBot="1">
      <c r="A27" s="597"/>
      <c r="B27" s="598"/>
      <c r="C27" s="598"/>
      <c r="D27" s="95"/>
      <c r="E27" s="95"/>
      <c r="F27" s="95"/>
      <c r="G27" s="95"/>
      <c r="H27" s="181" t="s">
        <v>393</v>
      </c>
      <c r="I27" s="96">
        <f>I25+I26</f>
        <v>15109.679891999996</v>
      </c>
      <c r="J27" s="201"/>
    </row>
    <row r="28" spans="1:10" ht="16.5" customHeight="1" thickBot="1">
      <c r="A28" s="597"/>
      <c r="B28" s="598"/>
      <c r="C28" s="598"/>
      <c r="D28" s="95"/>
      <c r="E28" s="95"/>
      <c r="F28" s="95"/>
      <c r="G28" s="95"/>
      <c r="H28" s="181" t="s">
        <v>395</v>
      </c>
      <c r="I28" s="96">
        <f>I27/30</f>
        <v>503.65599639999988</v>
      </c>
      <c r="J28" s="201"/>
    </row>
    <row r="29" spans="1:10" ht="15.75">
      <c r="A29" s="173"/>
      <c r="F29" s="585" t="s">
        <v>44</v>
      </c>
      <c r="G29" s="586"/>
      <c r="H29" s="586"/>
      <c r="I29" s="594"/>
      <c r="J29" s="201"/>
    </row>
    <row r="30" spans="1:10" ht="15.75">
      <c r="A30" s="173"/>
      <c r="F30" s="109" t="str">
        <f>A2</f>
        <v>Bloco 1</v>
      </c>
      <c r="G30" s="109" t="s">
        <v>45</v>
      </c>
      <c r="H30" s="109" t="s">
        <v>46</v>
      </c>
      <c r="I30" s="174" t="s">
        <v>47</v>
      </c>
      <c r="J30" s="201"/>
    </row>
    <row r="31" spans="1:10" ht="19.5" thickBot="1">
      <c r="A31" s="175"/>
      <c r="B31" s="176"/>
      <c r="C31" s="176"/>
      <c r="D31" s="176"/>
      <c r="E31" s="176"/>
      <c r="F31" s="189">
        <v>34</v>
      </c>
      <c r="G31" s="189">
        <f>6*36</f>
        <v>216</v>
      </c>
      <c r="H31" s="190">
        <f>I28</f>
        <v>503.65599639999988</v>
      </c>
      <c r="I31" s="191">
        <f>G31*H31</f>
        <v>108789.69522239997</v>
      </c>
      <c r="J31" s="183"/>
    </row>
  </sheetData>
  <mergeCells count="10">
    <mergeCell ref="B3:D3"/>
    <mergeCell ref="A28:C28"/>
    <mergeCell ref="F29:I29"/>
    <mergeCell ref="A27:C27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BD589-6D4A-454E-BCEA-81EEFDBE13B0}">
  <sheetPr>
    <tabColor theme="9" tint="0.39997558519241921"/>
    <pageSetUpPr fitToPage="1"/>
  </sheetPr>
  <dimension ref="A1:J29"/>
  <sheetViews>
    <sheetView showGridLines="0" zoomScale="80" zoomScaleNormal="80" workbookViewId="0">
      <selection activeCell="H40" sqref="H40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9.28515625" style="3" bestFit="1"/>
    <col min="6" max="6" width="12.28515625" style="3" customWidth="1"/>
    <col min="7" max="7" width="17.42578125" style="3" customWidth="1"/>
    <col min="8" max="8" width="17.5703125" style="3" customWidth="1"/>
    <col min="9" max="9" width="23" style="3" customWidth="1"/>
    <col min="10" max="10" width="20.140625" style="3" bestFit="1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39.75" customHeight="1" thickBot="1">
      <c r="A3" s="117">
        <f>PRODUTOS!A35</f>
        <v>32</v>
      </c>
      <c r="B3" s="599" t="str">
        <f>PRODUTOS!B35</f>
        <v>PRODUÇÃO DE MATERIAL DE DIVULGAÇÃO – MATÉRIAS JORNALÍSTICAS</v>
      </c>
      <c r="C3" s="599"/>
      <c r="D3" s="599"/>
      <c r="E3" s="119" t="str">
        <f>PRODUTOS!C35</f>
        <v>PMD.MAT.JORN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607" t="s">
        <v>6</v>
      </c>
      <c r="H5" s="589"/>
      <c r="I5" s="614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203" t="s">
        <v>12</v>
      </c>
      <c r="B7" s="86"/>
      <c r="C7" s="204" t="s">
        <v>13</v>
      </c>
      <c r="D7" s="86"/>
      <c r="E7" s="86"/>
      <c r="F7" s="86"/>
      <c r="G7" s="86"/>
      <c r="H7" s="86"/>
      <c r="I7" s="205">
        <f>SUM(I8:I8)</f>
        <v>259.73743975012326</v>
      </c>
      <c r="J7" s="99"/>
    </row>
    <row r="8" spans="1:10" ht="15.75">
      <c r="A8" s="106"/>
      <c r="B8" s="80" t="s">
        <v>250</v>
      </c>
      <c r="C8" s="125" t="str">
        <f>VLOOKUP(B8,'Preços de Referência'!$A$5:$C$103,2,FALSE)</f>
        <v>Jornalista júnior</v>
      </c>
      <c r="D8" s="169" t="s">
        <v>15</v>
      </c>
      <c r="E8" s="206">
        <v>1</v>
      </c>
      <c r="F8" s="206">
        <f>'Preços de Referência'!$O$28*1</f>
        <v>7.3330000000000002</v>
      </c>
      <c r="G8" s="208">
        <f>VLOOKUP(B8,'Preços de Referência'!$A$5:$C$103,3,FALSE)</f>
        <v>6463.86</v>
      </c>
      <c r="H8" s="208">
        <f>G8/'Preços de Referência'!$O$30</f>
        <v>35.420351800098629</v>
      </c>
      <c r="I8" s="209">
        <f>H8*F8*E8</f>
        <v>259.73743975012326</v>
      </c>
      <c r="J8" s="99"/>
    </row>
    <row r="9" spans="1:10" ht="15.75" hidden="1">
      <c r="A9" s="210" t="s">
        <v>21</v>
      </c>
      <c r="B9" s="107"/>
      <c r="C9" s="211" t="s">
        <v>22</v>
      </c>
      <c r="D9" s="107"/>
      <c r="E9" s="107"/>
      <c r="F9" s="107"/>
      <c r="G9" s="107"/>
      <c r="H9" s="123"/>
      <c r="I9" s="205">
        <v>0</v>
      </c>
      <c r="J9" s="99"/>
    </row>
    <row r="10" spans="1:10" ht="28.5" hidden="1" customHeight="1">
      <c r="A10" s="106"/>
      <c r="B10" s="80" t="s">
        <v>23</v>
      </c>
      <c r="C10" s="125" t="str">
        <f>VLOOKUP(B10,'Preços de Referência'!$E$4:$P$5,2,FALSE)</f>
        <v>Veículo leve picape 4 x 4 com capacidade de 1,10 t - 147 kW (sem motorista)</v>
      </c>
      <c r="D10" s="169" t="s">
        <v>15</v>
      </c>
      <c r="E10" s="212">
        <v>2</v>
      </c>
      <c r="F10" s="207">
        <v>60</v>
      </c>
      <c r="G10" s="208">
        <f>VLOOKUP(B10,'Preços de Referência'!$E$4:$P$5,10,FALSE)</f>
        <v>8274.9513000000006</v>
      </c>
      <c r="H10" s="208">
        <f>VLOOKUP(B10,'Preços de Referência'!$E$4:$P$5,12,FALSE)</f>
        <v>45.3446</v>
      </c>
      <c r="I10" s="209">
        <f>H10*F10*E10</f>
        <v>5441.3519999999999</v>
      </c>
      <c r="J10" s="99"/>
    </row>
    <row r="11" spans="1:10" ht="30" hidden="1">
      <c r="A11" s="210" t="s">
        <v>24</v>
      </c>
      <c r="B11" s="107"/>
      <c r="C11" s="211" t="s">
        <v>25</v>
      </c>
      <c r="D11" s="107"/>
      <c r="E11" s="107"/>
      <c r="F11" s="107"/>
      <c r="G11" s="107"/>
      <c r="H11" s="123"/>
      <c r="I11" s="205">
        <v>0</v>
      </c>
      <c r="J11" s="99"/>
    </row>
    <row r="12" spans="1:10" ht="15.75" hidden="1">
      <c r="A12" s="106"/>
      <c r="B12" s="80" t="s">
        <v>26</v>
      </c>
      <c r="C12" s="125" t="s">
        <v>27</v>
      </c>
      <c r="D12" s="169" t="s">
        <v>15</v>
      </c>
      <c r="E12" s="212">
        <v>6</v>
      </c>
      <c r="F12" s="212">
        <f>'Preços de Referência'!$O$28*5</f>
        <v>36.664999999999999</v>
      </c>
      <c r="G12" s="212">
        <v>223.422507</v>
      </c>
      <c r="H12" s="208">
        <v>1.2242999999999999</v>
      </c>
      <c r="I12" s="209">
        <f>H12*F12*E12</f>
        <v>269.33375699999999</v>
      </c>
      <c r="J12" s="99"/>
    </row>
    <row r="13" spans="1:10" ht="28.5" hidden="1">
      <c r="A13" s="106"/>
      <c r="B13" s="80" t="s">
        <v>28</v>
      </c>
      <c r="C13" s="125" t="s">
        <v>29</v>
      </c>
      <c r="D13" s="169" t="s">
        <v>15</v>
      </c>
      <c r="E13" s="212">
        <v>1</v>
      </c>
      <c r="F13" s="212">
        <f>'Preços de Referência'!$O$28*5</f>
        <v>36.664999999999999</v>
      </c>
      <c r="G13" s="212">
        <f>E13*F13</f>
        <v>36.664999999999999</v>
      </c>
      <c r="H13" s="208">
        <v>5.16</v>
      </c>
      <c r="I13" s="209">
        <f>H13*F13*E13</f>
        <v>189.19139999999999</v>
      </c>
      <c r="J13" s="99"/>
    </row>
    <row r="14" spans="1:10" ht="15.75" hidden="1">
      <c r="A14" s="210" t="s">
        <v>30</v>
      </c>
      <c r="B14" s="107"/>
      <c r="C14" s="211" t="s">
        <v>31</v>
      </c>
      <c r="D14" s="107"/>
      <c r="E14" s="107"/>
      <c r="F14" s="107"/>
      <c r="G14" s="107"/>
      <c r="H14" s="123"/>
      <c r="I14" s="205">
        <v>0</v>
      </c>
      <c r="J14" s="99"/>
    </row>
    <row r="15" spans="1:10" ht="15.75" hidden="1">
      <c r="A15" s="129" t="s">
        <v>32</v>
      </c>
      <c r="B15" s="108"/>
      <c r="C15" s="213" t="s">
        <v>33</v>
      </c>
      <c r="D15" s="108"/>
      <c r="E15" s="108"/>
      <c r="F15" s="108"/>
      <c r="G15" s="108"/>
      <c r="H15" s="124"/>
      <c r="I15" s="101"/>
      <c r="J15" s="99"/>
    </row>
    <row r="16" spans="1:10" ht="28.5" hidden="1">
      <c r="A16" s="106"/>
      <c r="B16" s="80" t="s">
        <v>34</v>
      </c>
      <c r="C16" s="125" t="str">
        <f>VLOOKUP(B16,'Preços de Referência'!$F$74:$J$83,2,FALSE)</f>
        <v>Comercial (2,60% do CMCC - SINAPI)</v>
      </c>
      <c r="D16" s="80" t="str">
        <f>VLOOKUP(B16,'Preços de Referência'!$F$74:$J$83,4,FALSE)</f>
        <v>m² x mês</v>
      </c>
      <c r="E16" s="212">
        <f>12.41*6</f>
        <v>74.460000000000008</v>
      </c>
      <c r="F16" s="212">
        <f>'Preços de Referência'!$O$28*5</f>
        <v>36.664999999999999</v>
      </c>
      <c r="G16" s="214">
        <f>VLOOKUP(B16,'Preços de Referência'!$F$74:$J$83,5,FALSE)</f>
        <v>47.75</v>
      </c>
      <c r="H16" s="208">
        <f>G16/'Preços de Referência'!$O$30</f>
        <v>0.26165817305057809</v>
      </c>
      <c r="I16" s="209">
        <v>0</v>
      </c>
      <c r="J16" s="99"/>
    </row>
    <row r="17" spans="1:10" ht="15.75" hidden="1">
      <c r="A17" s="129" t="s">
        <v>35</v>
      </c>
      <c r="B17" s="108"/>
      <c r="C17" s="213" t="s">
        <v>36</v>
      </c>
      <c r="D17" s="108"/>
      <c r="E17" s="108"/>
      <c r="F17" s="108"/>
      <c r="G17" s="108"/>
      <c r="H17" s="124"/>
      <c r="I17" s="101"/>
      <c r="J17" s="99"/>
    </row>
    <row r="18" spans="1:10" ht="15.75" hidden="1">
      <c r="A18" s="106"/>
      <c r="B18" s="80" t="s">
        <v>37</v>
      </c>
      <c r="C18" s="125" t="str">
        <f>VLOOKUP(B18,'Preços de Referência'!$F$74:$J$83,2,FALSE)</f>
        <v>Escritório</v>
      </c>
      <c r="D18" s="80" t="str">
        <f>VLOOKUP(B18,'Preços de Referência'!$F$74:$J$83,4,FALSE)</f>
        <v>ocupante x mês</v>
      </c>
      <c r="E18" s="212">
        <v>6</v>
      </c>
      <c r="F18" s="212">
        <f>'Preços de Referência'!$O$28*5</f>
        <v>36.664999999999999</v>
      </c>
      <c r="G18" s="214">
        <f>VLOOKUP(B18,'Preços de Referência'!$F$74:$J$83,5,FALSE)</f>
        <v>490.4</v>
      </c>
      <c r="H18" s="208">
        <f>G18/'Preços de Referência'!$O$30</f>
        <v>2.6872705353718009</v>
      </c>
      <c r="I18" s="209">
        <f>H18*F18*E18</f>
        <v>591.17264507644245</v>
      </c>
      <c r="J18" s="99"/>
    </row>
    <row r="19" spans="1:10" ht="15.75" hidden="1">
      <c r="A19" s="129" t="s">
        <v>38</v>
      </c>
      <c r="B19" s="108"/>
      <c r="C19" s="213" t="s">
        <v>39</v>
      </c>
      <c r="D19" s="108"/>
      <c r="E19" s="108"/>
      <c r="F19" s="108"/>
      <c r="G19" s="108"/>
      <c r="H19" s="124"/>
      <c r="I19" s="101"/>
      <c r="J19" s="99"/>
    </row>
    <row r="20" spans="1:10" ht="15.75" hidden="1">
      <c r="A20" s="106"/>
      <c r="B20" s="80" t="s">
        <v>40</v>
      </c>
      <c r="C20" s="125" t="str">
        <f>VLOOKUP(B20,'Preços de Referência'!$F$74:$J$83,2,FALSE)</f>
        <v>Escritório</v>
      </c>
      <c r="D20" s="80" t="str">
        <f>VLOOKUP(B20,'Preços de Referência'!$F$74:$J$83,4,FALSE)</f>
        <v>ocupante x mês</v>
      </c>
      <c r="E20" s="212">
        <v>6</v>
      </c>
      <c r="F20" s="212">
        <f>'Preços de Referência'!$O$28*5</f>
        <v>36.664999999999999</v>
      </c>
      <c r="G20" s="214">
        <f>VLOOKUP(B20,'Preços de Referência'!$F$74:$J$83,5,FALSE)</f>
        <v>135.22</v>
      </c>
      <c r="H20" s="208">
        <f>G20/'Preços de Referência'!$O$30</f>
        <v>0.74097210806071556</v>
      </c>
      <c r="I20" s="209">
        <f>H20*F20*E20</f>
        <v>163.00645405227681</v>
      </c>
      <c r="J20" s="99"/>
    </row>
    <row r="21" spans="1:10" ht="15.75" hidden="1">
      <c r="A21" s="215" t="s">
        <v>361</v>
      </c>
      <c r="B21" s="161"/>
      <c r="C21" s="216" t="s">
        <v>360</v>
      </c>
      <c r="D21" s="161"/>
      <c r="E21" s="161"/>
      <c r="F21" s="161"/>
      <c r="G21" s="161"/>
      <c r="H21" s="161"/>
      <c r="I21" s="217">
        <v>0</v>
      </c>
    </row>
    <row r="22" spans="1:10" ht="42.75" hidden="1">
      <c r="A22" s="164"/>
      <c r="B22" s="169" t="s">
        <v>198</v>
      </c>
      <c r="C22" s="165" t="s">
        <v>199</v>
      </c>
      <c r="D22" s="169" t="s">
        <v>122</v>
      </c>
      <c r="E22" s="218">
        <v>9</v>
      </c>
      <c r="F22" s="219">
        <v>60</v>
      </c>
      <c r="G22" s="220">
        <v>341.02</v>
      </c>
      <c r="H22" s="221"/>
      <c r="I22" s="222">
        <f>E22*F22*G22</f>
        <v>184150.8</v>
      </c>
    </row>
    <row r="23" spans="1:10" ht="28.5" hidden="1">
      <c r="A23" s="164"/>
      <c r="B23" s="169" t="s">
        <v>194</v>
      </c>
      <c r="C23" s="165" t="s">
        <v>195</v>
      </c>
      <c r="D23" s="169" t="s">
        <v>122</v>
      </c>
      <c r="E23" s="218">
        <v>4</v>
      </c>
      <c r="F23" s="219">
        <v>2</v>
      </c>
      <c r="G23" s="220">
        <v>1189.4070999999999</v>
      </c>
      <c r="H23" s="221"/>
      <c r="I23" s="222">
        <f>E23*F23*G23</f>
        <v>9515.2567999999992</v>
      </c>
    </row>
    <row r="24" spans="1:10" ht="15.75">
      <c r="A24" s="359"/>
      <c r="B24" s="193"/>
      <c r="C24" s="82"/>
      <c r="D24" s="82"/>
      <c r="E24" s="82"/>
      <c r="F24" s="82"/>
      <c r="G24" s="82"/>
      <c r="H24" s="475" t="s">
        <v>41</v>
      </c>
      <c r="I24" s="224">
        <f>I7+I11+I14+I9+I21</f>
        <v>259.73743975012326</v>
      </c>
      <c r="J24" s="99"/>
    </row>
    <row r="25" spans="1:10" ht="15.75">
      <c r="A25" s="93"/>
      <c r="B25" s="83"/>
      <c r="C25" s="83"/>
      <c r="D25" s="83"/>
      <c r="E25" s="83"/>
      <c r="F25" s="83"/>
      <c r="G25" s="474" t="s">
        <v>42</v>
      </c>
      <c r="H25" s="252">
        <f>BDI!$D$17</f>
        <v>0.44579999999999997</v>
      </c>
      <c r="I25" s="225">
        <f>I24*H25</f>
        <v>115.79095064060495</v>
      </c>
      <c r="J25" s="99"/>
    </row>
    <row r="26" spans="1:10" ht="16.5" customHeight="1" thickBot="1">
      <c r="A26" s="612"/>
      <c r="B26" s="613"/>
      <c r="C26" s="613"/>
      <c r="D26" s="95"/>
      <c r="E26" s="95"/>
      <c r="F26" s="95"/>
      <c r="G26" s="95"/>
      <c r="H26" s="227" t="s">
        <v>393</v>
      </c>
      <c r="I26" s="228">
        <f>I24+I25</f>
        <v>375.52839039072819</v>
      </c>
      <c r="J26" s="201"/>
    </row>
    <row r="27" spans="1:10" ht="15.75">
      <c r="A27" s="173"/>
      <c r="F27" s="585" t="s">
        <v>44</v>
      </c>
      <c r="G27" s="586"/>
      <c r="H27" s="586"/>
      <c r="I27" s="594"/>
      <c r="J27" s="201"/>
    </row>
    <row r="28" spans="1:10" ht="15.75">
      <c r="A28" s="173"/>
      <c r="F28" s="109" t="str">
        <f>A2</f>
        <v>Bloco 1</v>
      </c>
      <c r="G28" s="109" t="s">
        <v>45</v>
      </c>
      <c r="H28" s="109" t="s">
        <v>46</v>
      </c>
      <c r="I28" s="174" t="s">
        <v>47</v>
      </c>
      <c r="J28" s="201"/>
    </row>
    <row r="29" spans="1:10" ht="19.5" thickBot="1">
      <c r="A29" s="175"/>
      <c r="B29" s="176"/>
      <c r="C29" s="176"/>
      <c r="D29" s="176"/>
      <c r="E29" s="176"/>
      <c r="F29" s="189">
        <f>A3</f>
        <v>32</v>
      </c>
      <c r="G29" s="189">
        <f>6*36</f>
        <v>216</v>
      </c>
      <c r="H29" s="190">
        <f>I26</f>
        <v>375.52839039072819</v>
      </c>
      <c r="I29" s="191">
        <f>G29*H29</f>
        <v>81114.132324397287</v>
      </c>
      <c r="J29" s="183"/>
    </row>
  </sheetData>
  <mergeCells count="9">
    <mergeCell ref="B3:D3"/>
    <mergeCell ref="A26:C26"/>
    <mergeCell ref="F27:I27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CE4BE-3518-40B6-B232-04CFE78A164E}">
  <sheetPr>
    <tabColor theme="9" tint="0.39997558519241921"/>
    <pageSetUpPr fitToPage="1"/>
  </sheetPr>
  <dimension ref="A1:J29"/>
  <sheetViews>
    <sheetView showGridLines="0" topLeftCell="A3" zoomScale="80" zoomScaleNormal="80" workbookViewId="0">
      <selection activeCell="G29" sqref="G29:I29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10.85546875" style="3" bestFit="1" customWidth="1"/>
    <col min="6" max="6" width="12.28515625" style="3" customWidth="1"/>
    <col min="7" max="7" width="17.42578125" style="3" customWidth="1"/>
    <col min="8" max="8" width="17.5703125" style="3" customWidth="1"/>
    <col min="9" max="9" width="23" style="3" customWidth="1"/>
    <col min="10" max="10" width="20.140625" style="3" bestFit="1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39.75" customHeight="1" thickBot="1">
      <c r="A3" s="117">
        <f>PRODUTOS!A36</f>
        <v>33</v>
      </c>
      <c r="B3" s="599" t="str">
        <f>PRODUTOS!B36</f>
        <v>PRODUÇÃO DE MATERIAL DE DIVULGAÇÃO – AUDIOVISUAL</v>
      </c>
      <c r="C3" s="599"/>
      <c r="D3" s="599"/>
      <c r="E3" s="119" t="str">
        <f>PRODUTOS!C36</f>
        <v>PMD.AUD.VIS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607" t="s">
        <v>6</v>
      </c>
      <c r="H5" s="589"/>
      <c r="I5" s="614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203" t="s">
        <v>12</v>
      </c>
      <c r="B7" s="86"/>
      <c r="C7" s="204" t="s">
        <v>13</v>
      </c>
      <c r="D7" s="86"/>
      <c r="E7" s="86"/>
      <c r="F7" s="86"/>
      <c r="G7" s="86"/>
      <c r="H7" s="86"/>
      <c r="I7" s="205">
        <f>SUM(I9:I9)</f>
        <v>5776.5427223409497</v>
      </c>
      <c r="J7" s="99"/>
    </row>
    <row r="8" spans="1:10" ht="15.75">
      <c r="A8" s="106"/>
      <c r="B8" s="80" t="s">
        <v>250</v>
      </c>
      <c r="C8" s="125" t="str">
        <f>VLOOKUP(B8,'Preços de Referência'!$A$5:$C$103,2,FALSE)</f>
        <v>Jornalista júnior</v>
      </c>
      <c r="D8" s="169" t="s">
        <v>15</v>
      </c>
      <c r="E8" s="206">
        <v>2</v>
      </c>
      <c r="F8" s="206">
        <f>'Preços de Referência'!$O$28*15</f>
        <v>109.995</v>
      </c>
      <c r="G8" s="208">
        <f>VLOOKUP(B8,'Preços de Referência'!$A$5:$C$103,3,FALSE)</f>
        <v>6463.86</v>
      </c>
      <c r="H8" s="208">
        <f>G8/'Preços de Referência'!$O$30</f>
        <v>35.420351800098629</v>
      </c>
      <c r="I8" s="209">
        <f>H8*F8*E8</f>
        <v>7792.1231925036982</v>
      </c>
      <c r="J8" s="99"/>
    </row>
    <row r="9" spans="1:10" ht="37.5" customHeight="1">
      <c r="A9" s="106"/>
      <c r="B9" s="80" t="s">
        <v>311</v>
      </c>
      <c r="C9" s="125" t="str">
        <f>VLOOKUP(B9,'Preços de Referência'!$A$5:$C$103,2,FALSE)</f>
        <v>Técnico em informática - programador</v>
      </c>
      <c r="D9" s="169" t="s">
        <v>15</v>
      </c>
      <c r="E9" s="206">
        <v>1</v>
      </c>
      <c r="F9" s="206">
        <f>'Preços de Referência'!$O$28*15</f>
        <v>109.995</v>
      </c>
      <c r="G9" s="208">
        <f>VLOOKUP(B9,'Preços de Referência'!$A$5:$C$103,3,FALSE)</f>
        <v>9583.7199999999993</v>
      </c>
      <c r="H9" s="208">
        <f>G9/'Preços de Referência'!$O$30</f>
        <v>52.516411858184007</v>
      </c>
      <c r="I9" s="209">
        <f>H9*F9*E9</f>
        <v>5776.5427223409497</v>
      </c>
      <c r="J9" s="99"/>
    </row>
    <row r="10" spans="1:10" ht="15.75" hidden="1">
      <c r="A10" s="210" t="s">
        <v>21</v>
      </c>
      <c r="B10" s="107"/>
      <c r="C10" s="211" t="s">
        <v>22</v>
      </c>
      <c r="D10" s="107"/>
      <c r="E10" s="107"/>
      <c r="F10" s="107"/>
      <c r="G10" s="107"/>
      <c r="H10" s="123"/>
      <c r="I10" s="205">
        <v>0</v>
      </c>
      <c r="J10" s="99"/>
    </row>
    <row r="11" spans="1:10" ht="28.5" hidden="1" customHeight="1">
      <c r="A11" s="106"/>
      <c r="B11" s="80" t="s">
        <v>23</v>
      </c>
      <c r="C11" s="125" t="str">
        <f>VLOOKUP(B11,'Preços de Referência'!$E$4:$P$5,2,FALSE)</f>
        <v>Veículo leve picape 4 x 4 com capacidade de 1,10 t - 147 kW (sem motorista)</v>
      </c>
      <c r="D11" s="169" t="s">
        <v>15</v>
      </c>
      <c r="E11" s="206">
        <v>2</v>
      </c>
      <c r="F11" s="207">
        <v>60</v>
      </c>
      <c r="G11" s="208">
        <f>VLOOKUP(B11,'Preços de Referência'!$E$4:$P$5,10,FALSE)</f>
        <v>8274.9513000000006</v>
      </c>
      <c r="H11" s="208">
        <f>VLOOKUP(B11,'Preços de Referência'!$E$4:$P$5,12,FALSE)</f>
        <v>45.3446</v>
      </c>
      <c r="I11" s="209">
        <f>H11*F11*E11</f>
        <v>5441.3519999999999</v>
      </c>
      <c r="J11" s="99"/>
    </row>
    <row r="12" spans="1:10" ht="30">
      <c r="A12" s="128" t="s">
        <v>21</v>
      </c>
      <c r="B12" s="107"/>
      <c r="C12" s="211" t="s">
        <v>25</v>
      </c>
      <c r="D12" s="107"/>
      <c r="E12" s="107"/>
      <c r="F12" s="107"/>
      <c r="G12" s="107"/>
      <c r="H12" s="123"/>
      <c r="I12" s="205">
        <f>I13</f>
        <v>80.142076502732237</v>
      </c>
      <c r="J12" s="99"/>
    </row>
    <row r="13" spans="1:10" ht="36.75" customHeight="1">
      <c r="A13" s="106"/>
      <c r="B13" s="80" t="s">
        <v>26</v>
      </c>
      <c r="C13" s="125" t="s">
        <v>396</v>
      </c>
      <c r="D13" s="169" t="s">
        <v>15</v>
      </c>
      <c r="E13" s="206">
        <v>1</v>
      </c>
      <c r="F13" s="206">
        <f>'Preços de Referência'!$O$28*1</f>
        <v>7.3330000000000002</v>
      </c>
      <c r="G13" s="208">
        <f>2000</f>
        <v>2000</v>
      </c>
      <c r="H13" s="208">
        <f>G13/183</f>
        <v>10.928961748633879</v>
      </c>
      <c r="I13" s="209">
        <f>H13*F13*E13</f>
        <v>80.142076502732237</v>
      </c>
      <c r="J13" s="99"/>
    </row>
    <row r="14" spans="1:10" ht="15.75" hidden="1">
      <c r="A14" s="210" t="s">
        <v>30</v>
      </c>
      <c r="B14" s="107"/>
      <c r="C14" s="211" t="s">
        <v>31</v>
      </c>
      <c r="D14" s="107"/>
      <c r="E14" s="107"/>
      <c r="F14" s="107"/>
      <c r="G14" s="107"/>
      <c r="H14" s="123"/>
      <c r="I14" s="205">
        <v>0</v>
      </c>
      <c r="J14" s="99"/>
    </row>
    <row r="15" spans="1:10" ht="15.75" hidden="1">
      <c r="A15" s="129" t="s">
        <v>32</v>
      </c>
      <c r="B15" s="108"/>
      <c r="C15" s="213" t="s">
        <v>33</v>
      </c>
      <c r="D15" s="108"/>
      <c r="E15" s="108"/>
      <c r="F15" s="108"/>
      <c r="G15" s="108"/>
      <c r="H15" s="124"/>
      <c r="I15" s="101"/>
      <c r="J15" s="99"/>
    </row>
    <row r="16" spans="1:10" ht="28.5" hidden="1">
      <c r="A16" s="106"/>
      <c r="B16" s="80" t="s">
        <v>34</v>
      </c>
      <c r="C16" s="125" t="str">
        <f>VLOOKUP(B16,'Preços de Referência'!$F$74:$J$83,2,FALSE)</f>
        <v>Comercial (2,60% do CMCC - SINAPI)</v>
      </c>
      <c r="D16" s="80" t="str">
        <f>VLOOKUP(B16,'Preços de Referência'!$F$74:$J$83,4,FALSE)</f>
        <v>m² x mês</v>
      </c>
      <c r="E16" s="212">
        <f>12.41*6</f>
        <v>74.460000000000008</v>
      </c>
      <c r="F16" s="212">
        <f>'Preços de Referência'!$O$28*5</f>
        <v>36.664999999999999</v>
      </c>
      <c r="G16" s="214">
        <f>VLOOKUP(B16,'Preços de Referência'!$F$74:$J$83,5,FALSE)</f>
        <v>47.75</v>
      </c>
      <c r="H16" s="208">
        <f>G16/'Preços de Referência'!$O$30</f>
        <v>0.26165817305057809</v>
      </c>
      <c r="I16" s="209">
        <v>0</v>
      </c>
      <c r="J16" s="99"/>
    </row>
    <row r="17" spans="1:10" ht="15.75" hidden="1">
      <c r="A17" s="129" t="s">
        <v>35</v>
      </c>
      <c r="B17" s="108"/>
      <c r="C17" s="213" t="s">
        <v>36</v>
      </c>
      <c r="D17" s="108"/>
      <c r="E17" s="108"/>
      <c r="F17" s="108"/>
      <c r="G17" s="108"/>
      <c r="H17" s="124"/>
      <c r="I17" s="101"/>
      <c r="J17" s="99"/>
    </row>
    <row r="18" spans="1:10" ht="15.75" hidden="1">
      <c r="A18" s="106"/>
      <c r="B18" s="80" t="s">
        <v>37</v>
      </c>
      <c r="C18" s="125" t="str">
        <f>VLOOKUP(B18,'Preços de Referência'!$F$74:$J$83,2,FALSE)</f>
        <v>Escritório</v>
      </c>
      <c r="D18" s="80" t="str">
        <f>VLOOKUP(B18,'Preços de Referência'!$F$74:$J$83,4,FALSE)</f>
        <v>ocupante x mês</v>
      </c>
      <c r="E18" s="212">
        <v>6</v>
      </c>
      <c r="F18" s="212">
        <f>'Preços de Referência'!$O$28*5</f>
        <v>36.664999999999999</v>
      </c>
      <c r="G18" s="214">
        <f>VLOOKUP(B18,'Preços de Referência'!$F$74:$J$83,5,FALSE)</f>
        <v>490.4</v>
      </c>
      <c r="H18" s="208">
        <f>G18/'Preços de Referência'!$O$30</f>
        <v>2.6872705353718009</v>
      </c>
      <c r="I18" s="209">
        <f>H18*F18*E18</f>
        <v>591.17264507644245</v>
      </c>
      <c r="J18" s="99"/>
    </row>
    <row r="19" spans="1:10" ht="15.75" hidden="1">
      <c r="A19" s="129" t="s">
        <v>38</v>
      </c>
      <c r="B19" s="108"/>
      <c r="C19" s="213" t="s">
        <v>39</v>
      </c>
      <c r="D19" s="108"/>
      <c r="E19" s="108"/>
      <c r="F19" s="108"/>
      <c r="G19" s="108"/>
      <c r="H19" s="124"/>
      <c r="I19" s="101"/>
      <c r="J19" s="99"/>
    </row>
    <row r="20" spans="1:10" ht="15.75" hidden="1">
      <c r="A20" s="106"/>
      <c r="B20" s="80" t="s">
        <v>40</v>
      </c>
      <c r="C20" s="125" t="str">
        <f>VLOOKUP(B20,'Preços de Referência'!$F$74:$J$83,2,FALSE)</f>
        <v>Escritório</v>
      </c>
      <c r="D20" s="80" t="str">
        <f>VLOOKUP(B20,'Preços de Referência'!$F$74:$J$83,4,FALSE)</f>
        <v>ocupante x mês</v>
      </c>
      <c r="E20" s="212">
        <v>6</v>
      </c>
      <c r="F20" s="212">
        <f>'Preços de Referência'!$O$28*5</f>
        <v>36.664999999999999</v>
      </c>
      <c r="G20" s="214">
        <f>VLOOKUP(B20,'Preços de Referência'!$F$74:$J$83,5,FALSE)</f>
        <v>135.22</v>
      </c>
      <c r="H20" s="208">
        <f>G20/'Preços de Referência'!$O$30</f>
        <v>0.74097210806071556</v>
      </c>
      <c r="I20" s="209">
        <f>H20*F20*E20</f>
        <v>163.00645405227681</v>
      </c>
      <c r="J20" s="99"/>
    </row>
    <row r="21" spans="1:10" ht="15.75" hidden="1">
      <c r="A21" s="215" t="s">
        <v>361</v>
      </c>
      <c r="B21" s="161"/>
      <c r="C21" s="216" t="s">
        <v>360</v>
      </c>
      <c r="D21" s="161"/>
      <c r="E21" s="161"/>
      <c r="F21" s="161"/>
      <c r="G21" s="161"/>
      <c r="H21" s="161"/>
      <c r="I21" s="217">
        <v>0</v>
      </c>
    </row>
    <row r="22" spans="1:10" ht="42.75" hidden="1">
      <c r="A22" s="164"/>
      <c r="B22" s="169" t="s">
        <v>198</v>
      </c>
      <c r="C22" s="165" t="s">
        <v>199</v>
      </c>
      <c r="D22" s="169" t="s">
        <v>122</v>
      </c>
      <c r="E22" s="218">
        <v>9</v>
      </c>
      <c r="F22" s="219">
        <v>60</v>
      </c>
      <c r="G22" s="220">
        <v>341.02</v>
      </c>
      <c r="H22" s="221"/>
      <c r="I22" s="222">
        <f>E22*F22*G22</f>
        <v>184150.8</v>
      </c>
    </row>
    <row r="23" spans="1:10" ht="28.5" hidden="1">
      <c r="A23" s="164"/>
      <c r="B23" s="169" t="s">
        <v>194</v>
      </c>
      <c r="C23" s="165" t="s">
        <v>195</v>
      </c>
      <c r="D23" s="169" t="s">
        <v>122</v>
      </c>
      <c r="E23" s="218">
        <v>4</v>
      </c>
      <c r="F23" s="219">
        <v>2</v>
      </c>
      <c r="G23" s="220">
        <v>1189.4070999999999</v>
      </c>
      <c r="H23" s="221"/>
      <c r="I23" s="222">
        <f>E23*F23*G23</f>
        <v>9515.2567999999992</v>
      </c>
    </row>
    <row r="24" spans="1:10" ht="15.75">
      <c r="A24" s="359"/>
      <c r="B24" s="193"/>
      <c r="C24" s="82"/>
      <c r="D24" s="82"/>
      <c r="E24" s="82"/>
      <c r="F24" s="82"/>
      <c r="G24" s="82"/>
      <c r="H24" s="475" t="s">
        <v>41</v>
      </c>
      <c r="I24" s="224">
        <f>I7+I12+I14+I10+I21</f>
        <v>5856.6847988436821</v>
      </c>
      <c r="J24" s="99"/>
    </row>
    <row r="25" spans="1:10" ht="15.75">
      <c r="A25" s="93"/>
      <c r="B25" s="83"/>
      <c r="C25" s="83"/>
      <c r="D25" s="83"/>
      <c r="E25" s="83"/>
      <c r="F25" s="83"/>
      <c r="G25" s="474" t="s">
        <v>42</v>
      </c>
      <c r="H25" s="252">
        <f>BDI!$D$17</f>
        <v>0.44579999999999997</v>
      </c>
      <c r="I25" s="225">
        <f>I24*H25</f>
        <v>2610.9100833245134</v>
      </c>
      <c r="J25" s="99"/>
    </row>
    <row r="26" spans="1:10" ht="16.5" customHeight="1" thickBot="1">
      <c r="A26" s="612"/>
      <c r="B26" s="613"/>
      <c r="C26" s="613"/>
      <c r="D26" s="95"/>
      <c r="E26" s="95"/>
      <c r="F26" s="95"/>
      <c r="G26" s="95"/>
      <c r="H26" s="227" t="s">
        <v>393</v>
      </c>
      <c r="I26" s="228">
        <f>I24+I25</f>
        <v>8467.5948821681959</v>
      </c>
      <c r="J26" s="201"/>
    </row>
    <row r="27" spans="1:10" ht="15.75">
      <c r="A27" s="173"/>
      <c r="F27" s="585" t="s">
        <v>44</v>
      </c>
      <c r="G27" s="586"/>
      <c r="H27" s="586"/>
      <c r="I27" s="594"/>
      <c r="J27" s="201"/>
    </row>
    <row r="28" spans="1:10" ht="15.75">
      <c r="A28" s="173"/>
      <c r="F28" s="109" t="str">
        <f>A2</f>
        <v>Bloco 1</v>
      </c>
      <c r="G28" s="109" t="s">
        <v>45</v>
      </c>
      <c r="H28" s="109" t="s">
        <v>46</v>
      </c>
      <c r="I28" s="174" t="s">
        <v>47</v>
      </c>
      <c r="J28" s="201"/>
    </row>
    <row r="29" spans="1:10" ht="19.5" thickBot="1">
      <c r="A29" s="175"/>
      <c r="B29" s="176"/>
      <c r="C29" s="176"/>
      <c r="D29" s="176"/>
      <c r="E29" s="176"/>
      <c r="F29" s="189">
        <f>A3</f>
        <v>33</v>
      </c>
      <c r="G29" s="189">
        <f>6*3</f>
        <v>18</v>
      </c>
      <c r="H29" s="190">
        <f>I26</f>
        <v>8467.5948821681959</v>
      </c>
      <c r="I29" s="191">
        <f>G29*H29</f>
        <v>152416.70787902753</v>
      </c>
      <c r="J29" s="183"/>
    </row>
  </sheetData>
  <mergeCells count="9">
    <mergeCell ref="B3:D3"/>
    <mergeCell ref="G5:I5"/>
    <mergeCell ref="A26:C26"/>
    <mergeCell ref="F27:I27"/>
    <mergeCell ref="A5:A6"/>
    <mergeCell ref="B5:B6"/>
    <mergeCell ref="C5:C6"/>
    <mergeCell ref="D5:D6"/>
    <mergeCell ref="E5:F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6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855CB-AB9C-4D03-BA4A-D47C9DE46560}">
  <sheetPr>
    <tabColor theme="9" tint="0.39997558519241921"/>
    <pageSetUpPr fitToPage="1"/>
  </sheetPr>
  <dimension ref="A1:J31"/>
  <sheetViews>
    <sheetView showGridLines="0" zoomScale="90" zoomScaleNormal="90" workbookViewId="0">
      <selection activeCell="I42" sqref="I42"/>
    </sheetView>
  </sheetViews>
  <sheetFormatPr defaultColWidth="9.28515625" defaultRowHeight="12.75"/>
  <cols>
    <col min="1" max="1" width="17" style="3" customWidth="1"/>
    <col min="2" max="2" width="19.7109375" style="3" customWidth="1"/>
    <col min="3" max="3" width="29" style="3" customWidth="1"/>
    <col min="4" max="4" width="19" style="3" customWidth="1"/>
    <col min="5" max="5" width="9.28515625" style="3" bestFit="1"/>
    <col min="6" max="6" width="12.28515625" style="3" customWidth="1"/>
    <col min="7" max="7" width="17.42578125" style="3" customWidth="1"/>
    <col min="8" max="8" width="25" style="3" customWidth="1"/>
    <col min="9" max="9" width="23" style="3" customWidth="1"/>
    <col min="10" max="10" width="20.140625" style="3" bestFit="1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63.75" customHeight="1" thickBot="1">
      <c r="A3" s="117">
        <f>PRODUTOS!A37</f>
        <v>34</v>
      </c>
      <c r="B3" s="599" t="str">
        <f>PRODUTOS!B37</f>
        <v>– PRODUÇÃO DE MATERIAL DE DIVULGAÇÃO – PUBLICAÇÕES - LIVRO</v>
      </c>
      <c r="C3" s="599"/>
      <c r="D3" s="599"/>
      <c r="E3" s="119" t="str">
        <f>PRODUTOS!C37</f>
        <v>PMD.LIVRO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607" t="s">
        <v>6</v>
      </c>
      <c r="H5" s="589"/>
      <c r="I5" s="614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203" t="s">
        <v>12</v>
      </c>
      <c r="B7" s="86"/>
      <c r="C7" s="204" t="s">
        <v>13</v>
      </c>
      <c r="D7" s="86"/>
      <c r="E7" s="86"/>
      <c r="F7" s="86"/>
      <c r="G7" s="86"/>
      <c r="H7" s="86"/>
      <c r="I7" s="205">
        <f>SUM(I8:I10)</f>
        <v>66990.36</v>
      </c>
      <c r="J7" s="99"/>
    </row>
    <row r="8" spans="1:10" ht="15.75">
      <c r="A8" s="106"/>
      <c r="B8" s="80" t="s">
        <v>210</v>
      </c>
      <c r="C8" s="125" t="str">
        <f>VLOOKUP(B8,'Preços de Referência'!$A$5:$C$103,2,FALSE)</f>
        <v>Engenheiro ambiental júnior</v>
      </c>
      <c r="D8" s="169" t="s">
        <v>15</v>
      </c>
      <c r="E8" s="206">
        <v>1</v>
      </c>
      <c r="F8" s="207">
        <f>'Preços de Referência'!$O$30*2</f>
        <v>364.98</v>
      </c>
      <c r="G8" s="208">
        <f>VLOOKUP(B8,'Preços de Referência'!$A$5:$C$103,3,FALSE)</f>
        <v>22597.25</v>
      </c>
      <c r="H8" s="208">
        <f>G8/'Preços de Referência'!$O$30</f>
        <v>123.82733300454819</v>
      </c>
      <c r="I8" s="209">
        <f>H8*F8*E8</f>
        <v>45194.5</v>
      </c>
      <c r="J8" s="99"/>
    </row>
    <row r="9" spans="1:10" ht="15.75">
      <c r="A9" s="106"/>
      <c r="B9" s="80" t="s">
        <v>169</v>
      </c>
      <c r="C9" s="125" t="str">
        <f>VLOOKUP(B9,'Preços de Referência'!$A$5:$C$103,2,FALSE)</f>
        <v>Auxiliar administrativo</v>
      </c>
      <c r="D9" s="169" t="s">
        <v>15</v>
      </c>
      <c r="E9" s="206">
        <v>1</v>
      </c>
      <c r="F9" s="207">
        <f>'Preços de Referência'!$O$30*2</f>
        <v>364.98</v>
      </c>
      <c r="G9" s="208">
        <f>VLOOKUP(B9,'Preços de Referência'!$A$5:$C$103,3,FALSE)</f>
        <v>4434.07</v>
      </c>
      <c r="H9" s="208">
        <f>G9/'Preços de Referência'!$O$30</f>
        <v>24.297605348238257</v>
      </c>
      <c r="I9" s="209">
        <f>H9*F9*E9</f>
        <v>8868.14</v>
      </c>
      <c r="J9" s="99"/>
    </row>
    <row r="10" spans="1:10" ht="15.75">
      <c r="A10" s="106"/>
      <c r="B10" s="80" t="s">
        <v>250</v>
      </c>
      <c r="C10" s="125" t="s">
        <v>397</v>
      </c>
      <c r="D10" s="169" t="s">
        <v>15</v>
      </c>
      <c r="E10" s="206">
        <v>1</v>
      </c>
      <c r="F10" s="207">
        <f>'Preços de Referência'!$O$30*2</f>
        <v>364.98</v>
      </c>
      <c r="G10" s="208">
        <f>VLOOKUP(B10,'Preços de Referência'!$A$5:$C$103,3,FALSE)</f>
        <v>6463.86</v>
      </c>
      <c r="H10" s="208">
        <f>G10/'Preços de Referência'!$O$30</f>
        <v>35.420351800098629</v>
      </c>
      <c r="I10" s="209">
        <f>H10*F10*E10</f>
        <v>12927.719999999998</v>
      </c>
      <c r="J10" s="99"/>
    </row>
    <row r="11" spans="1:10" ht="15.75" hidden="1">
      <c r="A11" s="210" t="s">
        <v>21</v>
      </c>
      <c r="B11" s="107"/>
      <c r="C11" s="211" t="s">
        <v>22</v>
      </c>
      <c r="D11" s="107"/>
      <c r="E11" s="107"/>
      <c r="F11" s="107"/>
      <c r="G11" s="107"/>
      <c r="H11" s="123"/>
      <c r="I11" s="205">
        <v>0</v>
      </c>
      <c r="J11" s="99"/>
    </row>
    <row r="12" spans="1:10" ht="28.5" hidden="1" customHeight="1">
      <c r="A12" s="106"/>
      <c r="B12" s="80" t="s">
        <v>121</v>
      </c>
      <c r="C12" s="125" t="str">
        <f>VLOOKUP(B12,'Preços de Referência'!$E$4:$P$5,2,FALSE)</f>
        <v>Veículo leve - 53 kW (sem motorista)</v>
      </c>
      <c r="D12" s="169" t="s">
        <v>15</v>
      </c>
      <c r="E12" s="206">
        <v>1</v>
      </c>
      <c r="F12" s="207">
        <f>'Preços de Referência'!$O$28*5</f>
        <v>36.664999999999999</v>
      </c>
      <c r="G12" s="208">
        <f>VLOOKUP(B12,'Preços de Referência'!$E$4:$P$5,10,FALSE)</f>
        <v>2959.4861999999998</v>
      </c>
      <c r="H12" s="208">
        <f>VLOOKUP(B12,'Preços de Referência'!$E$4:$P$5,12,FALSE)</f>
        <v>16.217199999999998</v>
      </c>
      <c r="I12" s="209">
        <f>H12*F12*E12</f>
        <v>594.60363799999993</v>
      </c>
      <c r="J12" s="99"/>
    </row>
    <row r="13" spans="1:10" ht="30">
      <c r="A13" s="128" t="s">
        <v>21</v>
      </c>
      <c r="B13" s="107"/>
      <c r="C13" s="211" t="s">
        <v>25</v>
      </c>
      <c r="D13" s="107"/>
      <c r="E13" s="107"/>
      <c r="F13" s="107"/>
      <c r="G13" s="107"/>
      <c r="H13" s="123"/>
      <c r="I13" s="205">
        <f>I14</f>
        <v>885718.24389475002</v>
      </c>
      <c r="J13" s="99"/>
    </row>
    <row r="14" spans="1:10" ht="15.75">
      <c r="A14" s="106"/>
      <c r="B14" s="80" t="s">
        <v>26</v>
      </c>
      <c r="C14" s="125" t="s">
        <v>398</v>
      </c>
      <c r="D14" s="169" t="s">
        <v>15</v>
      </c>
      <c r="E14" s="206">
        <v>500</v>
      </c>
      <c r="F14" s="212">
        <v>1</v>
      </c>
      <c r="G14" s="208">
        <f>I14/E14</f>
        <v>1771.4364877895</v>
      </c>
      <c r="H14" s="208"/>
      <c r="I14" s="209">
        <f>'Preços de Referência'!H94</f>
        <v>885718.24389475002</v>
      </c>
      <c r="J14" s="99"/>
    </row>
    <row r="15" spans="1:10" ht="15.75" hidden="1">
      <c r="A15" s="210" t="s">
        <v>30</v>
      </c>
      <c r="B15" s="107"/>
      <c r="C15" s="211" t="s">
        <v>31</v>
      </c>
      <c r="D15" s="107"/>
      <c r="E15" s="107"/>
      <c r="F15" s="107"/>
      <c r="G15" s="107"/>
      <c r="H15" s="123"/>
      <c r="I15" s="205">
        <v>0</v>
      </c>
      <c r="J15" s="99"/>
    </row>
    <row r="16" spans="1:10" ht="15.75" hidden="1">
      <c r="A16" s="129" t="s">
        <v>32</v>
      </c>
      <c r="B16" s="108"/>
      <c r="C16" s="213" t="s">
        <v>33</v>
      </c>
      <c r="D16" s="108"/>
      <c r="E16" s="108"/>
      <c r="F16" s="108"/>
      <c r="G16" s="108"/>
      <c r="H16" s="124"/>
      <c r="I16" s="101"/>
      <c r="J16" s="99"/>
    </row>
    <row r="17" spans="1:10" ht="28.5" hidden="1">
      <c r="A17" s="106"/>
      <c r="B17" s="80" t="s">
        <v>34</v>
      </c>
      <c r="C17" s="125" t="str">
        <f>VLOOKUP(B17,'Preços de Referência'!$F$74:$J$83,2,FALSE)</f>
        <v>Comercial (2,60% do CMCC - SINAPI)</v>
      </c>
      <c r="D17" s="80" t="str">
        <f>VLOOKUP(B17,'Preços de Referência'!$F$74:$J$83,4,FALSE)</f>
        <v>m² x mês</v>
      </c>
      <c r="E17" s="212">
        <f>12.41*6</f>
        <v>74.460000000000008</v>
      </c>
      <c r="F17" s="212">
        <f>'Preços de Referência'!$O$28*5</f>
        <v>36.664999999999999</v>
      </c>
      <c r="G17" s="214">
        <f>VLOOKUP(B17,'Preços de Referência'!$F$74:$J$83,5,FALSE)</f>
        <v>47.75</v>
      </c>
      <c r="H17" s="208">
        <f>G17/'Preços de Referência'!$O$30</f>
        <v>0.26165817305057809</v>
      </c>
      <c r="I17" s="209">
        <v>0</v>
      </c>
      <c r="J17" s="99"/>
    </row>
    <row r="18" spans="1:10" ht="15.75" hidden="1">
      <c r="A18" s="129" t="s">
        <v>35</v>
      </c>
      <c r="B18" s="108"/>
      <c r="C18" s="213" t="s">
        <v>36</v>
      </c>
      <c r="D18" s="108"/>
      <c r="E18" s="108"/>
      <c r="F18" s="108"/>
      <c r="G18" s="108"/>
      <c r="H18" s="124"/>
      <c r="I18" s="101"/>
      <c r="J18" s="99"/>
    </row>
    <row r="19" spans="1:10" ht="15.75" hidden="1">
      <c r="A19" s="106"/>
      <c r="B19" s="80" t="s">
        <v>37</v>
      </c>
      <c r="C19" s="125" t="str">
        <f>VLOOKUP(B19,'Preços de Referência'!$F$74:$J$83,2,FALSE)</f>
        <v>Escritório</v>
      </c>
      <c r="D19" s="80" t="str">
        <f>VLOOKUP(B19,'Preços de Referência'!$F$74:$J$83,4,FALSE)</f>
        <v>ocupante x mês</v>
      </c>
      <c r="E19" s="212">
        <v>6</v>
      </c>
      <c r="F19" s="212">
        <f>'Preços de Referência'!$O$28*5</f>
        <v>36.664999999999999</v>
      </c>
      <c r="G19" s="214">
        <f>VLOOKUP(B19,'Preços de Referência'!$F$74:$J$83,5,FALSE)</f>
        <v>490.4</v>
      </c>
      <c r="H19" s="208">
        <f>G19/'Preços de Referência'!$O$30</f>
        <v>2.6872705353718009</v>
      </c>
      <c r="I19" s="209">
        <f>H19*F19*E19</f>
        <v>591.17264507644245</v>
      </c>
      <c r="J19" s="99"/>
    </row>
    <row r="20" spans="1:10" ht="15.75" hidden="1">
      <c r="A20" s="129" t="s">
        <v>38</v>
      </c>
      <c r="B20" s="108"/>
      <c r="C20" s="213" t="s">
        <v>39</v>
      </c>
      <c r="D20" s="108"/>
      <c r="E20" s="108"/>
      <c r="F20" s="108"/>
      <c r="G20" s="108"/>
      <c r="H20" s="124"/>
      <c r="I20" s="101"/>
      <c r="J20" s="99"/>
    </row>
    <row r="21" spans="1:10" ht="15.75" hidden="1">
      <c r="A21" s="106"/>
      <c r="B21" s="80" t="s">
        <v>40</v>
      </c>
      <c r="C21" s="125" t="str">
        <f>VLOOKUP(B21,'Preços de Referência'!$F$74:$J$83,2,FALSE)</f>
        <v>Escritório</v>
      </c>
      <c r="D21" s="80" t="str">
        <f>VLOOKUP(B21,'Preços de Referência'!$F$74:$J$83,4,FALSE)</f>
        <v>ocupante x mês</v>
      </c>
      <c r="E21" s="212">
        <v>6</v>
      </c>
      <c r="F21" s="212">
        <f>'Preços de Referência'!$O$28*5</f>
        <v>36.664999999999999</v>
      </c>
      <c r="G21" s="214">
        <f>VLOOKUP(B21,'Preços de Referência'!$F$74:$J$83,5,FALSE)</f>
        <v>135.22</v>
      </c>
      <c r="H21" s="208">
        <f>G21/'Preços de Referência'!$O$30</f>
        <v>0.74097210806071556</v>
      </c>
      <c r="I21" s="209">
        <f>H21*F21*E21</f>
        <v>163.00645405227681</v>
      </c>
      <c r="J21" s="99"/>
    </row>
    <row r="22" spans="1:10" ht="15.75" hidden="1">
      <c r="A22" s="215" t="s">
        <v>361</v>
      </c>
      <c r="B22" s="161"/>
      <c r="C22" s="216" t="s">
        <v>360</v>
      </c>
      <c r="D22" s="161"/>
      <c r="E22" s="161"/>
      <c r="F22" s="161"/>
      <c r="G22" s="161"/>
      <c r="H22" s="161"/>
      <c r="I22" s="217">
        <v>0</v>
      </c>
    </row>
    <row r="23" spans="1:10" ht="42.75" hidden="1">
      <c r="A23" s="164"/>
      <c r="B23" s="169" t="s">
        <v>198</v>
      </c>
      <c r="C23" s="165" t="s">
        <v>199</v>
      </c>
      <c r="D23" s="169" t="s">
        <v>122</v>
      </c>
      <c r="E23" s="218">
        <v>2</v>
      </c>
      <c r="F23" s="207">
        <v>1</v>
      </c>
      <c r="G23" s="220">
        <v>341.02</v>
      </c>
      <c r="H23" s="221"/>
      <c r="I23" s="222">
        <f>E23*F23*G23</f>
        <v>682.04</v>
      </c>
    </row>
    <row r="24" spans="1:10" ht="28.5" hidden="1">
      <c r="A24" s="164"/>
      <c r="B24" s="169" t="s">
        <v>194</v>
      </c>
      <c r="C24" s="165" t="s">
        <v>195</v>
      </c>
      <c r="D24" s="169" t="s">
        <v>122</v>
      </c>
      <c r="E24" s="218">
        <v>2</v>
      </c>
      <c r="F24" s="219">
        <v>2</v>
      </c>
      <c r="G24" s="220">
        <v>1189.4070999999999</v>
      </c>
      <c r="H24" s="221"/>
      <c r="I24" s="222">
        <f>E24*F24*G24</f>
        <v>4757.6283999999996</v>
      </c>
    </row>
    <row r="25" spans="1:10" ht="15.75">
      <c r="A25" s="359"/>
      <c r="B25" s="193"/>
      <c r="C25" s="82"/>
      <c r="D25" s="82"/>
      <c r="E25" s="82"/>
      <c r="F25" s="82"/>
      <c r="G25" s="82"/>
      <c r="H25" s="475" t="s">
        <v>41</v>
      </c>
      <c r="I25" s="224">
        <f>I7+I13+I15+I11+I22</f>
        <v>952708.60389475001</v>
      </c>
      <c r="J25" s="99"/>
    </row>
    <row r="26" spans="1:10" ht="15.75">
      <c r="A26" s="93"/>
      <c r="B26" s="83"/>
      <c r="C26" s="83"/>
      <c r="D26" s="83"/>
      <c r="E26" s="83"/>
      <c r="F26" s="83"/>
      <c r="G26" s="474" t="s">
        <v>42</v>
      </c>
      <c r="H26" s="252">
        <f>BDI!$D$17</f>
        <v>0.44579999999999997</v>
      </c>
      <c r="I26" s="225">
        <f>I25*H26</f>
        <v>424717.49561627954</v>
      </c>
      <c r="J26" s="99"/>
    </row>
    <row r="27" spans="1:10" ht="16.5" customHeight="1" thickBot="1">
      <c r="A27" s="612"/>
      <c r="B27" s="613"/>
      <c r="C27" s="613"/>
      <c r="D27" s="95"/>
      <c r="E27" s="95"/>
      <c r="F27" s="95"/>
      <c r="G27" s="95"/>
      <c r="H27" s="227" t="s">
        <v>399</v>
      </c>
      <c r="I27" s="228">
        <f>I25+I26</f>
        <v>1377426.0995110297</v>
      </c>
      <c r="J27" s="201"/>
    </row>
    <row r="28" spans="1:10" ht="16.5" customHeight="1" thickBot="1">
      <c r="A28" s="612"/>
      <c r="B28" s="613"/>
      <c r="C28" s="613"/>
      <c r="D28" s="95"/>
      <c r="E28" s="95"/>
      <c r="F28" s="95"/>
      <c r="G28" s="95"/>
      <c r="H28" s="227" t="s">
        <v>400</v>
      </c>
      <c r="I28" s="228">
        <f>I27/500*50</f>
        <v>137742.60995110296</v>
      </c>
      <c r="J28" s="201"/>
    </row>
    <row r="29" spans="1:10" ht="15.75">
      <c r="A29" s="173"/>
      <c r="F29" s="585" t="s">
        <v>44</v>
      </c>
      <c r="G29" s="586"/>
      <c r="H29" s="586"/>
      <c r="I29" s="594"/>
      <c r="J29" s="201"/>
    </row>
    <row r="30" spans="1:10" ht="15.75">
      <c r="A30" s="173"/>
      <c r="F30" s="109" t="str">
        <f>A2</f>
        <v>Bloco 1</v>
      </c>
      <c r="G30" s="109" t="s">
        <v>45</v>
      </c>
      <c r="H30" s="109" t="s">
        <v>46</v>
      </c>
      <c r="I30" s="174" t="s">
        <v>47</v>
      </c>
      <c r="J30" s="201"/>
    </row>
    <row r="31" spans="1:10" ht="19.5" thickBot="1">
      <c r="A31" s="175"/>
      <c r="B31" s="176"/>
      <c r="C31" s="176"/>
      <c r="D31" s="176"/>
      <c r="E31" s="176"/>
      <c r="F31" s="189">
        <v>34</v>
      </c>
      <c r="G31" s="189">
        <v>12</v>
      </c>
      <c r="H31" s="190">
        <f>I28</f>
        <v>137742.60995110296</v>
      </c>
      <c r="I31" s="191">
        <f>G31*H31</f>
        <v>1652911.3194132354</v>
      </c>
      <c r="J31" s="183"/>
    </row>
  </sheetData>
  <mergeCells count="10">
    <mergeCell ref="B3:D3"/>
    <mergeCell ref="G5:I5"/>
    <mergeCell ref="A27:C27"/>
    <mergeCell ref="A28:C28"/>
    <mergeCell ref="F29:I29"/>
    <mergeCell ref="E5:F5"/>
    <mergeCell ref="A5:A6"/>
    <mergeCell ref="B5:B6"/>
    <mergeCell ref="C5:C6"/>
    <mergeCell ref="D5:D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3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803F0-0E0A-4A1E-8155-CF224731F782}">
  <sheetPr>
    <tabColor theme="9" tint="0.39997558519241921"/>
    <pageSetUpPr fitToPage="1"/>
  </sheetPr>
  <dimension ref="A1:J39"/>
  <sheetViews>
    <sheetView showGridLines="0" zoomScale="90" zoomScaleNormal="90" workbookViewId="0">
      <selection activeCell="G43" sqref="G43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7.7109375" style="3" bestFit="1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PRODUTOS!A38</f>
        <v>35</v>
      </c>
      <c r="B3" s="599" t="str">
        <f>PRODUTOS!B38</f>
        <v>REVISÃO/ATUALIZAÇÃO DE ESTUDO DE IMPACTO AMBIENTAL/RELATÓRIO DE IMPACTO AMBIENTAL – EIA/RIMA</v>
      </c>
      <c r="C3" s="599"/>
      <c r="D3" s="599"/>
      <c r="E3" s="119" t="str">
        <f>PRODUTOS!C38</f>
        <v>REV.EIA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SUM(I8:I16)</f>
        <v>230539.36567154358</v>
      </c>
      <c r="J7" s="99"/>
    </row>
    <row r="8" spans="1:10" ht="15.75">
      <c r="A8" s="106"/>
      <c r="B8" s="80" t="s">
        <v>186</v>
      </c>
      <c r="C8" s="125" t="str">
        <f>VLOOKUP(B8,'Preços de Referência'!$A$5:$C$103,2,FALSE)</f>
        <v xml:space="preserve">Coordenador ambiental </v>
      </c>
      <c r="D8" s="134" t="s">
        <v>15</v>
      </c>
      <c r="E8" s="182">
        <v>1</v>
      </c>
      <c r="F8" s="159">
        <f>('Preços de Referência'!$O$30*3)/2</f>
        <v>273.73500000000001</v>
      </c>
      <c r="G8" s="88">
        <f>VLOOKUP(B8,'Preços de Referência'!$A$5:$C$103,3,FALSE)</f>
        <v>34290.74</v>
      </c>
      <c r="H8" s="88">
        <f>G8/'Preços de Referência'!$O$30</f>
        <v>187.9047619047619</v>
      </c>
      <c r="I8" s="91">
        <f t="shared" ref="I8:I16" si="0">H8*F8*E8</f>
        <v>51436.11</v>
      </c>
      <c r="J8" s="99"/>
    </row>
    <row r="9" spans="1:10" ht="15.75">
      <c r="A9" s="106"/>
      <c r="B9" s="80" t="s">
        <v>167</v>
      </c>
      <c r="C9" s="125" t="str">
        <f>VLOOKUP(B9,'Preços de Referência'!$A$5:$C$103,2,FALSE)</f>
        <v>Auxiliar</v>
      </c>
      <c r="D9" s="134" t="s">
        <v>15</v>
      </c>
      <c r="E9" s="182">
        <f>3+1+2</f>
        <v>6</v>
      </c>
      <c r="F9" s="159">
        <f>('Preços de Referência'!$O$28*((20*3)+(10*3))/6)/2</f>
        <v>54.997500000000002</v>
      </c>
      <c r="G9" s="88">
        <f>VLOOKUP(B9,'Preços de Referência'!$A$5:$C$103,3,FALSE)</f>
        <v>3986.88</v>
      </c>
      <c r="H9" s="88">
        <f>G9/'Preços de Referência'!$O$30</f>
        <v>21.847114910406049</v>
      </c>
      <c r="I9" s="91">
        <f t="shared" si="0"/>
        <v>7209.2202137103395</v>
      </c>
      <c r="J9" s="99"/>
    </row>
    <row r="10" spans="1:10" ht="15.75">
      <c r="A10" s="106"/>
      <c r="B10" s="80" t="s">
        <v>14</v>
      </c>
      <c r="C10" s="125" t="str">
        <f>VLOOKUP(B10,'Preços de Referência'!$A$5:$C$103,2,FALSE)</f>
        <v>Biólogo pleno</v>
      </c>
      <c r="D10" s="134" t="s">
        <v>15</v>
      </c>
      <c r="E10" s="182">
        <v>4</v>
      </c>
      <c r="F10" s="159">
        <f>('Preços de Referência'!$O$30*3)/2</f>
        <v>273.73500000000001</v>
      </c>
      <c r="G10" s="88">
        <f>VLOOKUP(B10,'Preços de Referência'!$A$5:$C$103,3,FALSE)</f>
        <v>8782.2099999999991</v>
      </c>
      <c r="H10" s="88">
        <f>G10/'Preços de Referência'!$O$30</f>
        <v>48.124335580031776</v>
      </c>
      <c r="I10" s="91">
        <f t="shared" si="0"/>
        <v>52693.259999999995</v>
      </c>
      <c r="J10" s="99"/>
    </row>
    <row r="11" spans="1:10" ht="15.75">
      <c r="A11" s="106"/>
      <c r="B11" s="80" t="s">
        <v>234</v>
      </c>
      <c r="C11" s="125" t="str">
        <f>VLOOKUP(B11,'Preços de Referência'!$A$5:$C$103,2,FALSE)</f>
        <v>Engenheiro florestal sênior</v>
      </c>
      <c r="D11" s="134" t="s">
        <v>15</v>
      </c>
      <c r="E11" s="182">
        <v>1</v>
      </c>
      <c r="F11" s="159">
        <f>('Preços de Referência'!$O$30*2)/2</f>
        <v>182.49</v>
      </c>
      <c r="G11" s="88">
        <f>VLOOKUP(B11,'Preços de Referência'!$A$5:$C$103,3,FALSE)</f>
        <v>30388.799999999999</v>
      </c>
      <c r="H11" s="88">
        <f>G11/'Preços de Referência'!$O$30</f>
        <v>166.52309715600853</v>
      </c>
      <c r="I11" s="91">
        <f t="shared" si="0"/>
        <v>30388.799999999999</v>
      </c>
      <c r="J11" s="99"/>
    </row>
    <row r="12" spans="1:10" ht="15.75">
      <c r="A12" s="106"/>
      <c r="B12" s="80" t="s">
        <v>242</v>
      </c>
      <c r="C12" s="125" t="str">
        <f>VLOOKUP(B12,'Preços de Referência'!$A$5:$C$103,2,FALSE)</f>
        <v>Geólogo sênior</v>
      </c>
      <c r="D12" s="134" t="s">
        <v>15</v>
      </c>
      <c r="E12" s="182">
        <v>1</v>
      </c>
      <c r="F12" s="159">
        <f>('Preços de Referência'!$O$28*45)/2</f>
        <v>164.99250000000001</v>
      </c>
      <c r="G12" s="88">
        <f>VLOOKUP(B12,'Preços de Referência'!$A$5:$C$103,3,FALSE)</f>
        <v>25667.7</v>
      </c>
      <c r="H12" s="88">
        <f>G12/'Preços de Referência'!$O$30</f>
        <v>140.65263850073976</v>
      </c>
      <c r="I12" s="91">
        <f t="shared" si="0"/>
        <v>23206.630457833304</v>
      </c>
      <c r="J12" s="99"/>
    </row>
    <row r="13" spans="1:10" ht="15.75">
      <c r="A13" s="106"/>
      <c r="B13" s="80" t="s">
        <v>238</v>
      </c>
      <c r="C13" s="125" t="str">
        <f>VLOOKUP(B13,'Preços de Referência'!$A$5:$C$103,2,FALSE)</f>
        <v>Geógrafo sênior</v>
      </c>
      <c r="D13" s="134" t="s">
        <v>15</v>
      </c>
      <c r="E13" s="182">
        <v>1</v>
      </c>
      <c r="F13" s="159">
        <f>('Preços de Referência'!$O$30*2)/2</f>
        <v>182.49</v>
      </c>
      <c r="G13" s="88">
        <f>VLOOKUP(B13,'Preços de Referência'!$A$5:$C$103,3,FALSE)</f>
        <v>18696.3</v>
      </c>
      <c r="H13" s="88">
        <f>G13/'Preços de Referência'!$O$30</f>
        <v>102.45109321058688</v>
      </c>
      <c r="I13" s="91">
        <f t="shared" si="0"/>
        <v>18696.3</v>
      </c>
      <c r="J13" s="99"/>
    </row>
    <row r="14" spans="1:10" ht="15.75">
      <c r="A14" s="106"/>
      <c r="B14" s="80" t="s">
        <v>17</v>
      </c>
      <c r="C14" s="125" t="str">
        <f>VLOOKUP(B14,'Preços de Referência'!$A$5:$C$103,2,FALSE)</f>
        <v>Técnico em geoprocessamento</v>
      </c>
      <c r="D14" s="134" t="s">
        <v>15</v>
      </c>
      <c r="E14" s="182">
        <v>1</v>
      </c>
      <c r="F14" s="159">
        <f>('Preços de Referência'!$O$30*1)/2</f>
        <v>91.245000000000005</v>
      </c>
      <c r="G14" s="88">
        <f>VLOOKUP(B14,'Preços de Referência'!$A$5:$C$103,3,FALSE)</f>
        <v>6120.29</v>
      </c>
      <c r="H14" s="88">
        <f>G14/'Preços de Referência'!$O$30</f>
        <v>33.537673297166968</v>
      </c>
      <c r="I14" s="91">
        <f t="shared" si="0"/>
        <v>3060.145</v>
      </c>
      <c r="J14" s="99"/>
    </row>
    <row r="15" spans="1:10" ht="15.75">
      <c r="A15" s="106"/>
      <c r="B15" s="80" t="s">
        <v>213</v>
      </c>
      <c r="C15" s="125" t="str">
        <f>VLOOKUP(B15,'Preços de Referência'!$A$5:$C$103,2,FALSE)</f>
        <v>Engenheiro ambiental sênior</v>
      </c>
      <c r="D15" s="134" t="s">
        <v>15</v>
      </c>
      <c r="E15" s="182">
        <v>1</v>
      </c>
      <c r="F15" s="159">
        <f>('Preços de Referência'!$O$30*2)/2</f>
        <v>182.49</v>
      </c>
      <c r="G15" s="88">
        <f>VLOOKUP(B15,'Preços de Referência'!$A$5:$C$103,3,FALSE)</f>
        <v>27331.69</v>
      </c>
      <c r="H15" s="88">
        <f>G15/'Preços de Referência'!$O$30</f>
        <v>149.77089155570167</v>
      </c>
      <c r="I15" s="91">
        <f t="shared" si="0"/>
        <v>27331.69</v>
      </c>
      <c r="J15" s="99"/>
    </row>
    <row r="16" spans="1:10" ht="15.75">
      <c r="A16" s="106"/>
      <c r="B16" s="80" t="s">
        <v>302</v>
      </c>
      <c r="C16" s="125" t="str">
        <f>VLOOKUP(B16,'Preços de Referência'!$A$5:$C$103,2,FALSE)</f>
        <v>Sociólogo sênior</v>
      </c>
      <c r="D16" s="134" t="s">
        <v>15</v>
      </c>
      <c r="E16" s="182">
        <v>1</v>
      </c>
      <c r="F16" s="159">
        <f>('Preços de Referência'!$O$30*2)/2</f>
        <v>182.49</v>
      </c>
      <c r="G16" s="88">
        <f>VLOOKUP(B16,'Preços de Referência'!$A$5:$C$103,3,FALSE)</f>
        <v>16517.21</v>
      </c>
      <c r="H16" s="88">
        <f>G16/'Preços de Referência'!$O$30</f>
        <v>90.510219738067832</v>
      </c>
      <c r="I16" s="91">
        <f t="shared" si="0"/>
        <v>16517.21</v>
      </c>
      <c r="J16" s="99"/>
    </row>
    <row r="17" spans="1:10" ht="15.75">
      <c r="A17" s="128" t="s">
        <v>21</v>
      </c>
      <c r="B17" s="107"/>
      <c r="C17" s="126" t="s">
        <v>22</v>
      </c>
      <c r="D17" s="107"/>
      <c r="E17" s="107"/>
      <c r="F17" s="107"/>
      <c r="G17" s="107"/>
      <c r="H17" s="123"/>
      <c r="I17" s="100">
        <f>I18</f>
        <v>9975.3585540000004</v>
      </c>
      <c r="J17" s="99"/>
    </row>
    <row r="18" spans="1:10" ht="28.5" customHeight="1">
      <c r="A18" s="106"/>
      <c r="B18" s="84" t="s">
        <v>23</v>
      </c>
      <c r="C18" s="125" t="str">
        <f>VLOOKUP(B18,'Preços de Referência'!$E$4:$P$5,2,FALSE)</f>
        <v>Veículo leve picape 4 x 4 com capacidade de 1,10 t - 147 kW (sem motorista)</v>
      </c>
      <c r="D18" s="134" t="s">
        <v>15</v>
      </c>
      <c r="E18" s="81">
        <v>4</v>
      </c>
      <c r="F18" s="159">
        <f>('Preços de Referência'!$O$28*15)/2</f>
        <v>54.997500000000002</v>
      </c>
      <c r="G18" s="88">
        <f>VLOOKUP(B18,'Preços de Referência'!$E$4:$P$5,10,FALSE)</f>
        <v>8274.9513000000006</v>
      </c>
      <c r="H18" s="88">
        <f>VLOOKUP(B18,'Preços de Referência'!$E$4:$P$5,12,FALSE)</f>
        <v>45.3446</v>
      </c>
      <c r="I18" s="91">
        <f>H18*F18*E18</f>
        <v>9975.3585540000004</v>
      </c>
      <c r="J18" s="99"/>
    </row>
    <row r="19" spans="1:10" ht="30" hidden="1">
      <c r="A19" s="128" t="s">
        <v>24</v>
      </c>
      <c r="B19" s="107"/>
      <c r="C19" s="126" t="s">
        <v>25</v>
      </c>
      <c r="D19" s="107"/>
      <c r="E19" s="107"/>
      <c r="F19" s="107"/>
      <c r="G19" s="107"/>
      <c r="H19" s="123"/>
      <c r="I19" s="100">
        <v>0</v>
      </c>
      <c r="J19" s="99"/>
    </row>
    <row r="20" spans="1:10" ht="15.75" hidden="1">
      <c r="A20" s="106"/>
      <c r="B20" s="80" t="s">
        <v>26</v>
      </c>
      <c r="C20" s="125" t="s">
        <v>27</v>
      </c>
      <c r="D20" s="134" t="s">
        <v>15</v>
      </c>
      <c r="E20" s="81">
        <v>6</v>
      </c>
      <c r="F20" s="81">
        <f>'Preços de Referência'!$O$28*5</f>
        <v>36.664999999999999</v>
      </c>
      <c r="G20" s="81">
        <v>223.422507</v>
      </c>
      <c r="H20" s="88">
        <v>1.2242999999999999</v>
      </c>
      <c r="I20" s="91">
        <f>H20*F20*E20</f>
        <v>269.33375699999999</v>
      </c>
      <c r="J20" s="99"/>
    </row>
    <row r="21" spans="1:10" ht="15.75" hidden="1">
      <c r="A21" s="106"/>
      <c r="B21" s="80" t="s">
        <v>28</v>
      </c>
      <c r="C21" s="125" t="s">
        <v>29</v>
      </c>
      <c r="D21" s="134" t="s">
        <v>15</v>
      </c>
      <c r="E21" s="81">
        <v>1</v>
      </c>
      <c r="F21" s="81">
        <f>'Preços de Referência'!$O$28*5</f>
        <v>36.664999999999999</v>
      </c>
      <c r="G21" s="81">
        <f>E21*F21</f>
        <v>36.664999999999999</v>
      </c>
      <c r="H21" s="88">
        <v>5.16</v>
      </c>
      <c r="I21" s="91">
        <f>H21*F21*E21</f>
        <v>189.19139999999999</v>
      </c>
      <c r="J21" s="99"/>
    </row>
    <row r="22" spans="1:10" ht="15.75" hidden="1">
      <c r="A22" s="128" t="s">
        <v>30</v>
      </c>
      <c r="B22" s="107"/>
      <c r="C22" s="126" t="s">
        <v>31</v>
      </c>
      <c r="D22" s="107"/>
      <c r="E22" s="107"/>
      <c r="F22" s="107"/>
      <c r="G22" s="107"/>
      <c r="H22" s="123"/>
      <c r="I22" s="100">
        <v>0</v>
      </c>
      <c r="J22" s="99"/>
    </row>
    <row r="23" spans="1:10" ht="15.75" hidden="1">
      <c r="A23" s="129" t="s">
        <v>32</v>
      </c>
      <c r="B23" s="108"/>
      <c r="C23" s="127" t="s">
        <v>33</v>
      </c>
      <c r="D23" s="108"/>
      <c r="E23" s="108"/>
      <c r="F23" s="108"/>
      <c r="G23" s="108"/>
      <c r="H23" s="124"/>
      <c r="I23" s="101"/>
      <c r="J23" s="99"/>
    </row>
    <row r="24" spans="1:10" ht="28.5" hidden="1">
      <c r="A24" s="106"/>
      <c r="B24" s="80" t="s">
        <v>34</v>
      </c>
      <c r="C24" s="125" t="str">
        <f>VLOOKUP(B24,'Preços de Referência'!$F$74:$J$83,2,FALSE)</f>
        <v>Comercial (2,60% do CMCC - SINAPI)</v>
      </c>
      <c r="D24" s="80" t="str">
        <f>VLOOKUP(B24,'Preços de Referência'!$F$74:$J$83,4,FALSE)</f>
        <v>m² x mês</v>
      </c>
      <c r="E24" s="81">
        <f>12.41*6</f>
        <v>74.460000000000008</v>
      </c>
      <c r="F24" s="81">
        <f>'Preços de Referência'!$O$28*5</f>
        <v>36.664999999999999</v>
      </c>
      <c r="G24" s="89">
        <f>VLOOKUP(B24,'Preços de Referência'!$F$74:$J$83,5,FALSE)</f>
        <v>47.75</v>
      </c>
      <c r="H24" s="88">
        <f>G24/'Preços de Referência'!$O$30</f>
        <v>0.26165817305057809</v>
      </c>
      <c r="I24" s="91">
        <v>0</v>
      </c>
      <c r="J24" s="99"/>
    </row>
    <row r="25" spans="1:10" ht="15.75" hidden="1">
      <c r="A25" s="129" t="s">
        <v>35</v>
      </c>
      <c r="B25" s="108"/>
      <c r="C25" s="127" t="s">
        <v>36</v>
      </c>
      <c r="D25" s="108"/>
      <c r="E25" s="108"/>
      <c r="F25" s="108"/>
      <c r="G25" s="108"/>
      <c r="H25" s="124"/>
      <c r="I25" s="101"/>
      <c r="J25" s="99"/>
    </row>
    <row r="26" spans="1:10" ht="15.75" hidden="1">
      <c r="A26" s="106"/>
      <c r="B26" s="80" t="s">
        <v>37</v>
      </c>
      <c r="C26" s="125" t="str">
        <f>VLOOKUP(B26,'Preços de Referência'!$F$74:$J$83,2,FALSE)</f>
        <v>Escritório</v>
      </c>
      <c r="D26" s="80" t="str">
        <f>VLOOKUP(B26,'Preços de Referência'!$F$74:$J$83,4,FALSE)</f>
        <v>ocupante x mês</v>
      </c>
      <c r="E26" s="81">
        <v>6</v>
      </c>
      <c r="F26" s="81">
        <f>'Preços de Referência'!$O$28*5</f>
        <v>36.664999999999999</v>
      </c>
      <c r="G26" s="89">
        <f>VLOOKUP(B26,'Preços de Referência'!$F$74:$J$83,5,FALSE)</f>
        <v>490.4</v>
      </c>
      <c r="H26" s="88">
        <f>G26/'Preços de Referência'!$O$30</f>
        <v>2.6872705353718009</v>
      </c>
      <c r="I26" s="91">
        <f>H26*F26*E26</f>
        <v>591.17264507644245</v>
      </c>
      <c r="J26" s="99"/>
    </row>
    <row r="27" spans="1:10" ht="15.75" hidden="1">
      <c r="A27" s="129" t="s">
        <v>38</v>
      </c>
      <c r="B27" s="108"/>
      <c r="C27" s="127" t="s">
        <v>39</v>
      </c>
      <c r="D27" s="108"/>
      <c r="E27" s="108"/>
      <c r="F27" s="108"/>
      <c r="G27" s="108"/>
      <c r="H27" s="124"/>
      <c r="I27" s="101"/>
      <c r="J27" s="99"/>
    </row>
    <row r="28" spans="1:10" ht="15.75" hidden="1">
      <c r="A28" s="106"/>
      <c r="B28" s="80" t="s">
        <v>40</v>
      </c>
      <c r="C28" s="125" t="str">
        <f>VLOOKUP(B28,'Preços de Referência'!$F$74:$J$83,2,FALSE)</f>
        <v>Escritório</v>
      </c>
      <c r="D28" s="80" t="str">
        <f>VLOOKUP(B28,'Preços de Referência'!$F$74:$J$83,4,FALSE)</f>
        <v>ocupante x mês</v>
      </c>
      <c r="E28" s="81">
        <v>6</v>
      </c>
      <c r="F28" s="81">
        <f>'Preços de Referência'!$O$28*5</f>
        <v>36.664999999999999</v>
      </c>
      <c r="G28" s="89">
        <f>VLOOKUP(B28,'Preços de Referência'!$F$74:$J$83,5,FALSE)</f>
        <v>135.22</v>
      </c>
      <c r="H28" s="88">
        <f>G28/'Preços de Referência'!$O$30</f>
        <v>0.74097210806071556</v>
      </c>
      <c r="I28" s="91">
        <f>H28*F28*E28</f>
        <v>163.00645405227681</v>
      </c>
      <c r="J28" s="99"/>
    </row>
    <row r="29" spans="1:10" ht="15.75">
      <c r="A29" s="160" t="s">
        <v>24</v>
      </c>
      <c r="B29" s="161"/>
      <c r="C29" s="162" t="s">
        <v>360</v>
      </c>
      <c r="D29" s="161"/>
      <c r="E29" s="161"/>
      <c r="F29" s="161"/>
      <c r="G29" s="161"/>
      <c r="H29" s="161"/>
      <c r="I29" s="163">
        <f>SUM(I30:I31)</f>
        <v>59027.114600000001</v>
      </c>
    </row>
    <row r="30" spans="1:10" ht="28.5">
      <c r="A30" s="164"/>
      <c r="B30" s="169" t="s">
        <v>198</v>
      </c>
      <c r="C30" s="165" t="str">
        <f>VLOOKUP(B30,'Preços de Referência'!$P$69:$W$70,2,FALSE)</f>
        <v>DIÁRIA (CONF. DECRETO 11.117 PR - CUSTO MEDIANO</v>
      </c>
      <c r="D30" s="134" t="s">
        <v>122</v>
      </c>
      <c r="E30" s="135">
        <f>13+6</f>
        <v>19</v>
      </c>
      <c r="F30" s="135">
        <f>10/2</f>
        <v>5</v>
      </c>
      <c r="G30" s="330">
        <f>VLOOKUP(B30,'Preços de Referência'!$P$69:$W$70,6,FALSE)</f>
        <v>380</v>
      </c>
      <c r="H30" s="167"/>
      <c r="I30" s="168">
        <f>E30*F30*G30</f>
        <v>36100</v>
      </c>
    </row>
    <row r="31" spans="1:10" ht="28.5">
      <c r="A31" s="164"/>
      <c r="B31" s="169" t="s">
        <v>194</v>
      </c>
      <c r="C31" s="165" t="str">
        <f>VLOOKUP(B31,'Preços de Referência'!$P$69:$W$70,2,FALSE)</f>
        <v>PASSAGEM AÉREA - DESTINO NACIONAL (Cotação JUL/24)*</v>
      </c>
      <c r="D31" s="134" t="s">
        <v>122</v>
      </c>
      <c r="E31" s="135">
        <f>13+4</f>
        <v>17</v>
      </c>
      <c r="F31" s="135">
        <f>2/2</f>
        <v>1</v>
      </c>
      <c r="G31" s="330">
        <f>VLOOKUP(B31,'Preços de Referência'!$P$69:$W$70,6,FALSE)</f>
        <v>1348.6538</v>
      </c>
      <c r="H31" s="167"/>
      <c r="I31" s="168">
        <f>E31*F31*G31</f>
        <v>22927.114600000001</v>
      </c>
    </row>
    <row r="32" spans="1:10" ht="15.75">
      <c r="A32" s="359"/>
      <c r="B32" s="193"/>
      <c r="C32" s="82"/>
      <c r="D32" s="82"/>
      <c r="E32" s="82"/>
      <c r="F32" s="82"/>
      <c r="G32" s="82"/>
      <c r="H32" s="475" t="s">
        <v>41</v>
      </c>
      <c r="I32" s="92">
        <f>I7+I19+I22+I17+I29</f>
        <v>299541.83882554359</v>
      </c>
      <c r="J32" s="99"/>
    </row>
    <row r="33" spans="1:10" ht="16.5" thickBot="1">
      <c r="A33" s="93"/>
      <c r="B33" s="83"/>
      <c r="C33" s="83"/>
      <c r="D33" s="83"/>
      <c r="E33" s="83"/>
      <c r="F33" s="83"/>
      <c r="G33" s="474" t="s">
        <v>42</v>
      </c>
      <c r="H33" s="252">
        <f>BDI!$D$17</f>
        <v>0.44579999999999997</v>
      </c>
      <c r="I33" s="94">
        <f>I32*H33</f>
        <v>133535.75174842731</v>
      </c>
      <c r="J33" s="99"/>
    </row>
    <row r="34" spans="1:10" ht="26.25" thickBot="1">
      <c r="A34" s="476"/>
      <c r="B34" s="477"/>
      <c r="C34" s="477"/>
      <c r="D34" s="477"/>
      <c r="E34" s="477"/>
      <c r="F34" s="477"/>
      <c r="G34" s="478"/>
      <c r="H34" s="479" t="s">
        <v>524</v>
      </c>
      <c r="I34" s="480">
        <f>1.07765625</f>
        <v>1.07765625</v>
      </c>
    </row>
    <row r="35" spans="1:10" ht="16.5" customHeight="1" thickBot="1">
      <c r="A35" s="180"/>
      <c r="B35" s="180"/>
      <c r="C35" s="180"/>
      <c r="D35" s="95"/>
      <c r="E35" s="95"/>
      <c r="F35" s="95"/>
      <c r="G35" s="95"/>
      <c r="H35" s="181" t="s">
        <v>362</v>
      </c>
      <c r="I35" s="96">
        <f>(I32+I33)*I34</f>
        <v>466708.77221698087</v>
      </c>
      <c r="J35" s="99"/>
    </row>
    <row r="36" spans="1:10" ht="30.75" customHeight="1" thickBot="1">
      <c r="A36" s="597"/>
      <c r="B36" s="598"/>
      <c r="C36" s="598"/>
      <c r="D36" s="95"/>
      <c r="E36" s="95"/>
      <c r="F36" s="95"/>
      <c r="G36" s="95"/>
      <c r="H36" s="181" t="s">
        <v>43</v>
      </c>
      <c r="I36" s="96">
        <f>(I35/200)</f>
        <v>2333.5438610849042</v>
      </c>
      <c r="J36" s="183"/>
    </row>
    <row r="37" spans="1:10" ht="15.75">
      <c r="A37" s="173"/>
      <c r="F37" s="585" t="s">
        <v>44</v>
      </c>
      <c r="G37" s="586"/>
      <c r="H37" s="586"/>
      <c r="I37" s="594"/>
      <c r="J37" s="99"/>
    </row>
    <row r="38" spans="1:10" ht="15.75">
      <c r="A38" s="173"/>
      <c r="F38" s="109" t="str">
        <f>A2</f>
        <v>Bloco 1</v>
      </c>
      <c r="G38" s="109" t="s">
        <v>45</v>
      </c>
      <c r="H38" s="109" t="s">
        <v>46</v>
      </c>
      <c r="I38" s="174" t="s">
        <v>47</v>
      </c>
      <c r="J38" s="99"/>
    </row>
    <row r="39" spans="1:10" ht="16.5" thickBot="1">
      <c r="A39" s="175"/>
      <c r="B39" s="176"/>
      <c r="C39" s="176"/>
      <c r="D39" s="176"/>
      <c r="E39" s="176"/>
      <c r="F39" s="177">
        <f>A3</f>
        <v>35</v>
      </c>
      <c r="G39" s="184">
        <f>32795*0.05</f>
        <v>1639.75</v>
      </c>
      <c r="H39" s="178">
        <f>I36</f>
        <v>2333.5438610849042</v>
      </c>
      <c r="I39" s="179">
        <f>G39*H39</f>
        <v>3826428.5462139715</v>
      </c>
      <c r="J39" s="99"/>
    </row>
  </sheetData>
  <mergeCells count="9">
    <mergeCell ref="B3:D3"/>
    <mergeCell ref="A36:C36"/>
    <mergeCell ref="F37:I37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35879-20D3-4A68-9D6A-1E87F701BF01}">
  <sheetPr codeName="Planilha31">
    <tabColor theme="8" tint="-0.249977111117893"/>
  </sheetPr>
  <dimension ref="A1:J55"/>
  <sheetViews>
    <sheetView showGridLines="0" zoomScaleNormal="100" workbookViewId="0">
      <pane ySplit="3" topLeftCell="A28" activePane="bottomLeft" state="frozen"/>
      <selection pane="bottomLeft" activeCell="D48" sqref="D48"/>
    </sheetView>
  </sheetViews>
  <sheetFormatPr defaultColWidth="9.140625" defaultRowHeight="12.75"/>
  <cols>
    <col min="1" max="1" width="9.5703125" style="2" bestFit="1" customWidth="1"/>
    <col min="2" max="2" width="31.28515625" style="2" customWidth="1"/>
    <col min="3" max="3" width="14.140625" style="2" customWidth="1"/>
    <col min="4" max="4" width="14" style="2" customWidth="1"/>
    <col min="5" max="5" width="16.42578125" style="2" bestFit="1" customWidth="1"/>
    <col min="6" max="6" width="11" style="72" customWidth="1"/>
    <col min="7" max="7" width="16.5703125" style="3" bestFit="1" customWidth="1"/>
    <col min="8" max="8" width="26.140625" style="3" bestFit="1" customWidth="1"/>
    <col min="9" max="9" width="12" style="3" customWidth="1"/>
    <col min="10" max="10" width="12" style="2" customWidth="1"/>
    <col min="11" max="11" width="9.140625" style="3" customWidth="1"/>
    <col min="12" max="12" width="8.140625" style="3" customWidth="1"/>
    <col min="13" max="13" width="19.28515625" style="3" customWidth="1"/>
    <col min="14" max="14" width="16.5703125" style="3" customWidth="1"/>
    <col min="15" max="16384" width="9.140625" style="3"/>
  </cols>
  <sheetData>
    <row r="1" spans="1:8" ht="19.5" thickBot="1">
      <c r="A1" s="583" t="s">
        <v>343</v>
      </c>
      <c r="B1" s="583"/>
      <c r="C1" s="583"/>
      <c r="D1" s="583"/>
      <c r="E1" s="583"/>
      <c r="F1" s="583"/>
      <c r="G1" s="583"/>
      <c r="H1" s="584"/>
    </row>
    <row r="2" spans="1:8" ht="19.5" thickBot="1">
      <c r="A2" s="130" t="s">
        <v>344</v>
      </c>
      <c r="B2" s="131" t="s">
        <v>345</v>
      </c>
      <c r="C2" s="131"/>
      <c r="D2" s="131"/>
      <c r="E2" s="131"/>
      <c r="F2" s="131"/>
      <c r="G2" s="232" t="s">
        <v>433</v>
      </c>
      <c r="H2" s="481">
        <f>SUM(H4:H41)</f>
        <v>48385612.08304631</v>
      </c>
    </row>
    <row r="3" spans="1:8" ht="13.5" thickBot="1">
      <c r="A3" s="241" t="s">
        <v>315</v>
      </c>
      <c r="B3" s="242" t="s">
        <v>346</v>
      </c>
      <c r="C3" s="242" t="s">
        <v>107</v>
      </c>
      <c r="D3" s="242" t="s">
        <v>347</v>
      </c>
      <c r="E3" s="242" t="s">
        <v>434</v>
      </c>
      <c r="F3" s="243" t="s">
        <v>435</v>
      </c>
      <c r="G3" s="242" t="s">
        <v>348</v>
      </c>
      <c r="H3" s="256" t="s">
        <v>349</v>
      </c>
    </row>
    <row r="4" spans="1:8" ht="24">
      <c r="A4" s="233">
        <v>1</v>
      </c>
      <c r="B4" s="244" t="s">
        <v>402</v>
      </c>
      <c r="C4" s="234" t="s">
        <v>350</v>
      </c>
      <c r="D4" s="235" t="s">
        <v>403</v>
      </c>
      <c r="E4" s="235" t="s">
        <v>403</v>
      </c>
      <c r="F4" s="236">
        <f>'1. GERE'!G29</f>
        <v>36</v>
      </c>
      <c r="G4" s="257">
        <f>'1. GERE'!H29</f>
        <v>63099.693020659426</v>
      </c>
      <c r="H4" s="261">
        <f>F4*G4</f>
        <v>2271588.9487437392</v>
      </c>
    </row>
    <row r="5" spans="1:8" ht="24">
      <c r="A5" s="230">
        <v>2</v>
      </c>
      <c r="B5" s="245" t="s">
        <v>406</v>
      </c>
      <c r="C5" s="138" t="s">
        <v>522</v>
      </c>
      <c r="D5" s="132" t="s">
        <v>351</v>
      </c>
      <c r="E5" s="132" t="s">
        <v>411</v>
      </c>
      <c r="F5" s="140">
        <f>'2. CONS.PUB-I'!G33</f>
        <v>18</v>
      </c>
      <c r="G5" s="258">
        <f>'2. CONS.PUB-I'!H33</f>
        <v>6464.7376005213509</v>
      </c>
      <c r="H5" s="262">
        <f t="shared" ref="H5:H39" si="0">F5*G5</f>
        <v>116365.27680938432</v>
      </c>
    </row>
    <row r="6" spans="1:8" ht="24">
      <c r="A6" s="230">
        <v>3</v>
      </c>
      <c r="B6" s="245" t="s">
        <v>407</v>
      </c>
      <c r="C6" s="138" t="s">
        <v>521</v>
      </c>
      <c r="D6" s="132" t="s">
        <v>351</v>
      </c>
      <c r="E6" s="132" t="s">
        <v>411</v>
      </c>
      <c r="F6" s="140">
        <f>'3. CONS.PUB-II'!G34</f>
        <v>18</v>
      </c>
      <c r="G6" s="258">
        <f>'3. CONS.PUB-II'!H34</f>
        <v>16140.845428815752</v>
      </c>
      <c r="H6" s="262">
        <f t="shared" si="0"/>
        <v>290535.21771868353</v>
      </c>
    </row>
    <row r="7" spans="1:8" ht="15.75">
      <c r="A7" s="230">
        <v>4</v>
      </c>
      <c r="B7" s="245" t="s">
        <v>408</v>
      </c>
      <c r="C7" s="138" t="s">
        <v>352</v>
      </c>
      <c r="D7" s="132" t="s">
        <v>351</v>
      </c>
      <c r="E7" s="132" t="s">
        <v>411</v>
      </c>
      <c r="F7" s="140">
        <f>'4. AUD.PUB'!G34</f>
        <v>18</v>
      </c>
      <c r="G7" s="258">
        <f>'4. AUD.PUB'!H34</f>
        <v>31510.422283663531</v>
      </c>
      <c r="H7" s="262">
        <f t="shared" si="0"/>
        <v>567187.60110594356</v>
      </c>
    </row>
    <row r="8" spans="1:8" ht="48">
      <c r="A8" s="230">
        <v>5</v>
      </c>
      <c r="B8" s="246" t="s">
        <v>404</v>
      </c>
      <c r="C8" s="136" t="s">
        <v>405</v>
      </c>
      <c r="D8" s="71" t="s">
        <v>351</v>
      </c>
      <c r="E8" s="231" t="s">
        <v>412</v>
      </c>
      <c r="F8" s="139">
        <f>'5. EIA.PONTUAL'!G39</f>
        <v>1</v>
      </c>
      <c r="G8" s="258">
        <f>'5. EIA.PONTUAL'!H39</f>
        <v>976042.54374849342</v>
      </c>
      <c r="H8" s="262">
        <f t="shared" si="0"/>
        <v>976042.54374849342</v>
      </c>
    </row>
    <row r="9" spans="1:8" ht="24">
      <c r="A9" s="230">
        <v>6</v>
      </c>
      <c r="B9" s="246" t="s">
        <v>409</v>
      </c>
      <c r="C9" s="136" t="s">
        <v>520</v>
      </c>
      <c r="D9" s="71" t="s">
        <v>351</v>
      </c>
      <c r="E9" s="231" t="s">
        <v>412</v>
      </c>
      <c r="F9" s="139">
        <f>'6. EA.PONTUAL TIPO I'!G36</f>
        <v>1</v>
      </c>
      <c r="G9" s="258">
        <f>'6. EA.PONTUAL TIPO I'!H36</f>
        <v>218791.28024599998</v>
      </c>
      <c r="H9" s="262">
        <f t="shared" si="0"/>
        <v>218791.28024599998</v>
      </c>
    </row>
    <row r="10" spans="1:8" ht="24">
      <c r="A10" s="230">
        <v>7</v>
      </c>
      <c r="B10" s="246" t="s">
        <v>410</v>
      </c>
      <c r="C10" s="136" t="s">
        <v>519</v>
      </c>
      <c r="D10" s="71" t="s">
        <v>351</v>
      </c>
      <c r="E10" s="231" t="s">
        <v>412</v>
      </c>
      <c r="F10" s="139">
        <f>'7. EA.PONTUAL TIPO II'!G37</f>
        <v>1</v>
      </c>
      <c r="G10" s="258">
        <f>'7. EA.PONTUAL TIPO II'!H37</f>
        <v>274263.81681372918</v>
      </c>
      <c r="H10" s="262">
        <f t="shared" si="0"/>
        <v>274263.81681372918</v>
      </c>
    </row>
    <row r="11" spans="1:8" ht="48">
      <c r="A11" s="230">
        <v>8</v>
      </c>
      <c r="B11" s="246" t="s">
        <v>413</v>
      </c>
      <c r="C11" s="136" t="s">
        <v>414</v>
      </c>
      <c r="D11" s="71" t="s">
        <v>351</v>
      </c>
      <c r="E11" s="71" t="s">
        <v>415</v>
      </c>
      <c r="F11" s="139">
        <f>'8. EIA.LINEAR'!G39</f>
        <v>3280</v>
      </c>
      <c r="G11" s="259">
        <f>'8. EIA.LINEAR'!H39</f>
        <v>4745.8274420057978</v>
      </c>
      <c r="H11" s="262">
        <f t="shared" si="0"/>
        <v>15566314.009779017</v>
      </c>
    </row>
    <row r="12" spans="1:8" ht="24">
      <c r="A12" s="230">
        <v>9</v>
      </c>
      <c r="B12" s="246" t="s">
        <v>416</v>
      </c>
      <c r="C12" s="136" t="s">
        <v>518</v>
      </c>
      <c r="D12" s="71" t="s">
        <v>351</v>
      </c>
      <c r="E12" s="71" t="s">
        <v>415</v>
      </c>
      <c r="F12" s="139">
        <f>'9. EA.LINEAR_TIPO I'!G37</f>
        <v>820</v>
      </c>
      <c r="G12" s="259">
        <f>'9. EA.LINEAR_TIPO I'!H37</f>
        <v>1246.6142665549999</v>
      </c>
      <c r="H12" s="262">
        <f t="shared" si="0"/>
        <v>1022223.6985750999</v>
      </c>
    </row>
    <row r="13" spans="1:8" ht="24">
      <c r="A13" s="230">
        <v>10</v>
      </c>
      <c r="B13" s="246" t="s">
        <v>417</v>
      </c>
      <c r="C13" s="136" t="s">
        <v>517</v>
      </c>
      <c r="D13" s="71" t="s">
        <v>351</v>
      </c>
      <c r="E13" s="71" t="s">
        <v>415</v>
      </c>
      <c r="F13" s="139">
        <f>'10. EA.LINEAR_TIPO II'!G38</f>
        <v>820</v>
      </c>
      <c r="G13" s="259">
        <f>'10. EA.LINEAR_TIPO II'!H38</f>
        <v>1638.4568773492113</v>
      </c>
      <c r="H13" s="262">
        <f t="shared" si="0"/>
        <v>1343534.6394263532</v>
      </c>
    </row>
    <row r="14" spans="1:8" ht="15.75">
      <c r="A14" s="230">
        <v>11</v>
      </c>
      <c r="B14" s="246" t="s">
        <v>418</v>
      </c>
      <c r="C14" s="137" t="s">
        <v>516</v>
      </c>
      <c r="D14" s="71" t="s">
        <v>351</v>
      </c>
      <c r="E14" s="231" t="s">
        <v>412</v>
      </c>
      <c r="F14" s="139">
        <f>'11. EST.IMP.SINERG'!G35</f>
        <v>3</v>
      </c>
      <c r="G14" s="259">
        <f>'11. EST.IMP.SINERG'!H35</f>
        <v>218555.347373</v>
      </c>
      <c r="H14" s="262">
        <f t="shared" si="0"/>
        <v>655666.04211899999</v>
      </c>
    </row>
    <row r="15" spans="1:8" ht="15.75">
      <c r="A15" s="230">
        <v>12</v>
      </c>
      <c r="B15" s="246" t="s">
        <v>514</v>
      </c>
      <c r="C15" s="136" t="s">
        <v>515</v>
      </c>
      <c r="D15" s="71" t="s">
        <v>351</v>
      </c>
      <c r="E15" s="132" t="s">
        <v>411</v>
      </c>
      <c r="F15" s="254">
        <v>3</v>
      </c>
      <c r="G15" s="259">
        <f>'12. Estudo Fauna'!H31</f>
        <v>257537.8406867451</v>
      </c>
      <c r="H15" s="262">
        <f t="shared" si="0"/>
        <v>772613.52206023526</v>
      </c>
    </row>
    <row r="16" spans="1:8" ht="15.75">
      <c r="A16" s="230">
        <v>13</v>
      </c>
      <c r="B16" s="246" t="s">
        <v>364</v>
      </c>
      <c r="C16" s="136" t="s">
        <v>365</v>
      </c>
      <c r="D16" s="71" t="s">
        <v>351</v>
      </c>
      <c r="E16" s="231" t="s">
        <v>412</v>
      </c>
      <c r="F16" s="139">
        <f>'13. DDA'!G37</f>
        <v>3</v>
      </c>
      <c r="G16" s="259">
        <f>'13. DDA'!H37</f>
        <v>140506.57416400002</v>
      </c>
      <c r="H16" s="262">
        <f t="shared" si="0"/>
        <v>421519.72249200009</v>
      </c>
    </row>
    <row r="17" spans="1:8" ht="24">
      <c r="A17" s="230">
        <v>14</v>
      </c>
      <c r="B17" s="246" t="s">
        <v>366</v>
      </c>
      <c r="C17" s="136" t="s">
        <v>353</v>
      </c>
      <c r="D17" s="71" t="s">
        <v>351</v>
      </c>
      <c r="E17" s="231" t="s">
        <v>412</v>
      </c>
      <c r="F17" s="139">
        <f>'14. DSAP'!G34</f>
        <v>18</v>
      </c>
      <c r="G17" s="259">
        <f>'14. DSAP'!H34</f>
        <v>37627.704992042985</v>
      </c>
      <c r="H17" s="262">
        <f t="shared" si="0"/>
        <v>677298.68985677371</v>
      </c>
    </row>
    <row r="18" spans="1:8" ht="36">
      <c r="A18" s="230">
        <v>15</v>
      </c>
      <c r="B18" s="246" t="s">
        <v>375</v>
      </c>
      <c r="C18" s="136" t="s">
        <v>513</v>
      </c>
      <c r="D18" s="71" t="s">
        <v>351</v>
      </c>
      <c r="E18" s="71" t="s">
        <v>415</v>
      </c>
      <c r="F18" s="139">
        <v>3280</v>
      </c>
      <c r="G18" s="259">
        <f>'15. PGA_I'!H39</f>
        <v>1887.5787659228986</v>
      </c>
      <c r="H18" s="262">
        <f t="shared" si="0"/>
        <v>6191258.3522271076</v>
      </c>
    </row>
    <row r="19" spans="1:8" ht="36">
      <c r="A19" s="230">
        <v>16</v>
      </c>
      <c r="B19" s="246" t="s">
        <v>376</v>
      </c>
      <c r="C19" s="136" t="s">
        <v>512</v>
      </c>
      <c r="D19" s="71" t="s">
        <v>351</v>
      </c>
      <c r="E19" s="231" t="s">
        <v>412</v>
      </c>
      <c r="F19" s="139">
        <f>'16. PGA_II'!G36</f>
        <v>3</v>
      </c>
      <c r="G19" s="259">
        <f>'16. PGA_II'!H36</f>
        <v>179561.18883200001</v>
      </c>
      <c r="H19" s="262">
        <f t="shared" si="0"/>
        <v>538683.56649600004</v>
      </c>
    </row>
    <row r="20" spans="1:8" ht="15.75">
      <c r="A20" s="230">
        <v>17</v>
      </c>
      <c r="B20" s="246" t="s">
        <v>438</v>
      </c>
      <c r="C20" s="136" t="s">
        <v>368</v>
      </c>
      <c r="D20" s="71" t="s">
        <v>351</v>
      </c>
      <c r="E20" s="132" t="s">
        <v>411</v>
      </c>
      <c r="F20" s="254">
        <v>18</v>
      </c>
      <c r="G20" s="259">
        <f>'17. APM'!H33</f>
        <v>9149.2807910468819</v>
      </c>
      <c r="H20" s="262">
        <f t="shared" si="0"/>
        <v>164687.05423884388</v>
      </c>
    </row>
    <row r="21" spans="1:8" ht="24">
      <c r="A21" s="230">
        <v>18</v>
      </c>
      <c r="B21" s="246" t="s">
        <v>369</v>
      </c>
      <c r="C21" s="136" t="s">
        <v>354</v>
      </c>
      <c r="D21" s="71" t="s">
        <v>351</v>
      </c>
      <c r="E21" s="71" t="s">
        <v>412</v>
      </c>
      <c r="F21" s="254">
        <v>3</v>
      </c>
      <c r="G21" s="259">
        <f>'18.PACM'!H30</f>
        <v>71876.725298999983</v>
      </c>
      <c r="H21" s="262">
        <f t="shared" si="0"/>
        <v>215630.17589699995</v>
      </c>
    </row>
    <row r="22" spans="1:8" ht="24">
      <c r="A22" s="230">
        <v>19</v>
      </c>
      <c r="B22" s="246" t="s">
        <v>370</v>
      </c>
      <c r="C22" s="136" t="s">
        <v>525</v>
      </c>
      <c r="D22" s="71" t="s">
        <v>351</v>
      </c>
      <c r="E22" s="71" t="s">
        <v>412</v>
      </c>
      <c r="F22" s="139">
        <f>'19. EVTEA_SOCIO_PONTUAL'!G35</f>
        <v>3</v>
      </c>
      <c r="G22" s="259">
        <f>'19. EVTEA_SOCIO_PONTUAL'!H35</f>
        <v>168609.75760608775</v>
      </c>
      <c r="H22" s="262">
        <f t="shared" si="0"/>
        <v>505829.27281826327</v>
      </c>
    </row>
    <row r="23" spans="1:8" ht="24">
      <c r="A23" s="230">
        <v>20</v>
      </c>
      <c r="B23" s="246" t="s">
        <v>371</v>
      </c>
      <c r="C23" s="136" t="s">
        <v>526</v>
      </c>
      <c r="D23" s="71" t="s">
        <v>351</v>
      </c>
      <c r="E23" s="71" t="s">
        <v>415</v>
      </c>
      <c r="F23" s="139">
        <f>'20. EVTEA_SOCIO_LINEAR'!G35</f>
        <v>820</v>
      </c>
      <c r="G23" s="259">
        <f>'20. EVTEA_SOCIO_LINEAR'!H35</f>
        <v>969.53305211079146</v>
      </c>
      <c r="H23" s="262">
        <f t="shared" si="0"/>
        <v>795017.10273084894</v>
      </c>
    </row>
    <row r="24" spans="1:8" ht="36">
      <c r="A24" s="230">
        <v>21</v>
      </c>
      <c r="B24" s="246" t="s">
        <v>372</v>
      </c>
      <c r="C24" s="136" t="s">
        <v>523</v>
      </c>
      <c r="D24" s="71" t="s">
        <v>351</v>
      </c>
      <c r="E24" s="71" t="s">
        <v>419</v>
      </c>
      <c r="F24" s="139">
        <f>'21. EPVALT'!G36</f>
        <v>3</v>
      </c>
      <c r="G24" s="259">
        <f>'21. EPVALT'!H36</f>
        <v>356520.06978495687</v>
      </c>
      <c r="H24" s="262">
        <f t="shared" si="0"/>
        <v>1069560.2093548705</v>
      </c>
    </row>
    <row r="25" spans="1:8" ht="24">
      <c r="A25" s="230">
        <v>22</v>
      </c>
      <c r="B25" s="246" t="s">
        <v>373</v>
      </c>
      <c r="C25" s="136" t="s">
        <v>420</v>
      </c>
      <c r="D25" s="71" t="s">
        <v>351</v>
      </c>
      <c r="E25" s="71" t="s">
        <v>421</v>
      </c>
      <c r="F25" s="139">
        <f>'22. PRAD'!G36</f>
        <v>55</v>
      </c>
      <c r="G25" s="259">
        <f>'22. PRAD'!H36</f>
        <v>4158.3796328155913</v>
      </c>
      <c r="H25" s="262">
        <f t="shared" si="0"/>
        <v>228710.87980485751</v>
      </c>
    </row>
    <row r="26" spans="1:8" ht="15.75">
      <c r="A26" s="230">
        <v>23</v>
      </c>
      <c r="B26" s="246" t="s">
        <v>382</v>
      </c>
      <c r="C26" s="136" t="s">
        <v>511</v>
      </c>
      <c r="D26" s="71" t="s">
        <v>351</v>
      </c>
      <c r="E26" s="71" t="s">
        <v>415</v>
      </c>
      <c r="F26" s="139">
        <f>'23. PROJ.BAR.ACUST'!G35</f>
        <v>820</v>
      </c>
      <c r="G26" s="259">
        <f>'23. PROJ.BAR.ACUST'!H35</f>
        <v>472.31924965410036</v>
      </c>
      <c r="H26" s="262">
        <f t="shared" si="0"/>
        <v>387301.78471636231</v>
      </c>
    </row>
    <row r="27" spans="1:8" ht="24">
      <c r="A27" s="230">
        <v>24</v>
      </c>
      <c r="B27" s="246" t="s">
        <v>380</v>
      </c>
      <c r="C27" s="136" t="s">
        <v>510</v>
      </c>
      <c r="D27" s="71" t="s">
        <v>351</v>
      </c>
      <c r="E27" s="71" t="s">
        <v>415</v>
      </c>
      <c r="F27" s="139">
        <f>'24. EAR_LI'!G35</f>
        <v>1640</v>
      </c>
      <c r="G27" s="259">
        <f>'24. EAR_LI'!H35</f>
        <v>403.65251791976345</v>
      </c>
      <c r="H27" s="262">
        <f t="shared" si="0"/>
        <v>661990.12938841211</v>
      </c>
    </row>
    <row r="28" spans="1:8" ht="24">
      <c r="A28" s="230">
        <v>25</v>
      </c>
      <c r="B28" s="246" t="s">
        <v>422</v>
      </c>
      <c r="C28" s="136" t="s">
        <v>509</v>
      </c>
      <c r="D28" s="71" t="s">
        <v>351</v>
      </c>
      <c r="E28" s="71" t="s">
        <v>415</v>
      </c>
      <c r="F28" s="139">
        <f>'25. EAR_LO'!G34</f>
        <v>1640</v>
      </c>
      <c r="G28" s="259">
        <f>'25. EAR_LO'!H34</f>
        <v>668.0058165754424</v>
      </c>
      <c r="H28" s="262">
        <f t="shared" si="0"/>
        <v>1095529.5391837256</v>
      </c>
    </row>
    <row r="29" spans="1:8" ht="24">
      <c r="A29" s="230">
        <v>26</v>
      </c>
      <c r="B29" s="246" t="s">
        <v>383</v>
      </c>
      <c r="C29" s="136" t="s">
        <v>384</v>
      </c>
      <c r="D29" s="71" t="s">
        <v>351</v>
      </c>
      <c r="E29" s="71" t="s">
        <v>415</v>
      </c>
      <c r="F29" s="139">
        <f>'26. PGR'!G31</f>
        <v>1640</v>
      </c>
      <c r="G29" s="259">
        <f>'26. PGR'!H31</f>
        <v>282.06625710654288</v>
      </c>
      <c r="H29" s="262">
        <f t="shared" si="0"/>
        <v>462588.66165473033</v>
      </c>
    </row>
    <row r="30" spans="1:8" ht="15.75">
      <c r="A30" s="230">
        <v>27</v>
      </c>
      <c r="B30" s="246" t="s">
        <v>386</v>
      </c>
      <c r="C30" s="136" t="s">
        <v>387</v>
      </c>
      <c r="D30" s="71" t="s">
        <v>351</v>
      </c>
      <c r="E30" s="71" t="s">
        <v>415</v>
      </c>
      <c r="F30" s="139">
        <f>'27. PAE'!G31</f>
        <v>1640</v>
      </c>
      <c r="G30" s="259">
        <f>'27. PAE'!H31</f>
        <v>282.06625710654288</v>
      </c>
      <c r="H30" s="262">
        <f t="shared" si="0"/>
        <v>462588.66165473033</v>
      </c>
    </row>
    <row r="31" spans="1:8" ht="15.75">
      <c r="A31" s="230">
        <v>28</v>
      </c>
      <c r="B31" s="246" t="s">
        <v>388</v>
      </c>
      <c r="C31" s="136" t="s">
        <v>423</v>
      </c>
      <c r="D31" s="71" t="s">
        <v>351</v>
      </c>
      <c r="E31" s="71" t="s">
        <v>415</v>
      </c>
      <c r="F31" s="139">
        <f>'28. CAR.AMB'!G36</f>
        <v>820</v>
      </c>
      <c r="G31" s="259">
        <f>'28. CAR.AMB'!H36</f>
        <v>1140.7498955025924</v>
      </c>
      <c r="H31" s="262">
        <f t="shared" si="0"/>
        <v>935414.91431212577</v>
      </c>
    </row>
    <row r="32" spans="1:8" ht="15.75">
      <c r="A32" s="230">
        <v>29</v>
      </c>
      <c r="B32" s="246" t="s">
        <v>389</v>
      </c>
      <c r="C32" s="136" t="s">
        <v>508</v>
      </c>
      <c r="D32" s="71" t="s">
        <v>351</v>
      </c>
      <c r="E32" s="71" t="s">
        <v>412</v>
      </c>
      <c r="F32" s="139">
        <f>'29. PLAN.MAN'!G34</f>
        <v>3</v>
      </c>
      <c r="G32" s="259">
        <f>'29. PLAN.MAN'!H34</f>
        <v>252952.65710399998</v>
      </c>
      <c r="H32" s="262">
        <f t="shared" si="0"/>
        <v>758857.97131199995</v>
      </c>
    </row>
    <row r="33" spans="1:10" ht="15.75">
      <c r="A33" s="230">
        <v>30</v>
      </c>
      <c r="B33" s="246" t="s">
        <v>390</v>
      </c>
      <c r="C33" s="136" t="s">
        <v>424</v>
      </c>
      <c r="D33" s="71" t="s">
        <v>351</v>
      </c>
      <c r="E33" s="71" t="s">
        <v>421</v>
      </c>
      <c r="F33" s="139">
        <f>'30. INV.FLORA'!G34</f>
        <v>12000</v>
      </c>
      <c r="G33" s="259">
        <f>'30. INV.FLORA'!H34</f>
        <v>204.92568942265444</v>
      </c>
      <c r="H33" s="262">
        <f t="shared" si="0"/>
        <v>2459108.2730718534</v>
      </c>
    </row>
    <row r="34" spans="1:10" ht="24">
      <c r="A34" s="230">
        <v>31</v>
      </c>
      <c r="B34" s="246" t="s">
        <v>394</v>
      </c>
      <c r="C34" s="136" t="s">
        <v>507</v>
      </c>
      <c r="D34" s="71" t="s">
        <v>351</v>
      </c>
      <c r="E34" s="71" t="s">
        <v>425</v>
      </c>
      <c r="F34" s="139">
        <f>'31.MIDIAS.SOCIAIS'!G31</f>
        <v>216</v>
      </c>
      <c r="G34" s="259">
        <f>'31.MIDIAS.SOCIAIS'!H31</f>
        <v>503.65599639999988</v>
      </c>
      <c r="H34" s="262">
        <f t="shared" si="0"/>
        <v>108789.69522239997</v>
      </c>
    </row>
    <row r="35" spans="1:10" ht="36">
      <c r="A35" s="230">
        <v>32</v>
      </c>
      <c r="B35" s="246" t="s">
        <v>426</v>
      </c>
      <c r="C35" s="136" t="s">
        <v>506</v>
      </c>
      <c r="D35" s="71" t="s">
        <v>351</v>
      </c>
      <c r="E35" s="71" t="s">
        <v>427</v>
      </c>
      <c r="F35" s="139">
        <f>'32. SOCI_JORNAL'!G29</f>
        <v>216</v>
      </c>
      <c r="G35" s="259">
        <f>'32. SOCI_JORNAL'!H29</f>
        <v>375.52839039072819</v>
      </c>
      <c r="H35" s="262">
        <f t="shared" si="0"/>
        <v>81114.132324397287</v>
      </c>
    </row>
    <row r="36" spans="1:10" ht="24">
      <c r="A36" s="230">
        <v>33</v>
      </c>
      <c r="B36" s="246" t="s">
        <v>428</v>
      </c>
      <c r="C36" s="136" t="s">
        <v>505</v>
      </c>
      <c r="D36" s="71" t="s">
        <v>351</v>
      </c>
      <c r="E36" s="71" t="s">
        <v>429</v>
      </c>
      <c r="F36" s="139">
        <f>'33. SOCI_AUDIO_VISIO'!G29</f>
        <v>18</v>
      </c>
      <c r="G36" s="259">
        <f>'33. SOCI_AUDIO_VISIO'!H29</f>
        <v>8467.5948821681959</v>
      </c>
      <c r="H36" s="262">
        <f t="shared" si="0"/>
        <v>152416.70787902753</v>
      </c>
    </row>
    <row r="37" spans="1:10" ht="24">
      <c r="A37" s="230">
        <v>34</v>
      </c>
      <c r="B37" s="246" t="s">
        <v>430</v>
      </c>
      <c r="C37" s="136" t="s">
        <v>504</v>
      </c>
      <c r="D37" s="71" t="s">
        <v>351</v>
      </c>
      <c r="E37" s="71" t="s">
        <v>431</v>
      </c>
      <c r="F37" s="139">
        <f>'34. LIVRO'!G31</f>
        <v>12</v>
      </c>
      <c r="G37" s="259">
        <f>'34. LIVRO'!H31</f>
        <v>137742.60995110296</v>
      </c>
      <c r="H37" s="262">
        <f t="shared" si="0"/>
        <v>1652911.3194132354</v>
      </c>
    </row>
    <row r="38" spans="1:10" ht="36">
      <c r="A38" s="255">
        <v>35</v>
      </c>
      <c r="B38" s="245" t="s">
        <v>432</v>
      </c>
      <c r="C38" s="138" t="s">
        <v>503</v>
      </c>
      <c r="D38" s="132" t="s">
        <v>351</v>
      </c>
      <c r="E38" s="132" t="s">
        <v>415</v>
      </c>
      <c r="F38" s="140">
        <f>'35. REV.EIA'!G39</f>
        <v>1639.75</v>
      </c>
      <c r="G38" s="258">
        <f>'35. REV.EIA'!H39</f>
        <v>2333.5438610849042</v>
      </c>
      <c r="H38" s="262">
        <f t="shared" si="0"/>
        <v>3826428.5462139715</v>
      </c>
    </row>
    <row r="39" spans="1:10" ht="28.5" customHeight="1" thickBot="1">
      <c r="A39" s="237">
        <v>36</v>
      </c>
      <c r="B39" s="247" t="s">
        <v>436</v>
      </c>
      <c r="C39" s="238" t="s">
        <v>437</v>
      </c>
      <c r="D39" s="239" t="s">
        <v>351</v>
      </c>
      <c r="E39" s="239" t="s">
        <v>412</v>
      </c>
      <c r="F39" s="240">
        <v>3</v>
      </c>
      <c r="G39" s="260">
        <f>H36</f>
        <v>152416.70787902753</v>
      </c>
      <c r="H39" s="263">
        <f t="shared" si="0"/>
        <v>457250.12363708258</v>
      </c>
    </row>
    <row r="42" spans="1:10">
      <c r="D42" s="3"/>
      <c r="F42" s="3"/>
      <c r="J42" s="3"/>
    </row>
    <row r="43" spans="1:10">
      <c r="D43" s="3"/>
      <c r="F43" s="3"/>
      <c r="J43" s="3"/>
    </row>
    <row r="44" spans="1:10">
      <c r="D44" s="3"/>
      <c r="F44" s="3"/>
      <c r="J44" s="3"/>
    </row>
    <row r="45" spans="1:10" ht="27.75" customHeight="1">
      <c r="D45" s="3"/>
      <c r="F45" s="3"/>
      <c r="J45" s="3"/>
    </row>
    <row r="46" spans="1:10" ht="36" customHeight="1">
      <c r="D46" s="3"/>
      <c r="F46" s="3"/>
      <c r="J46" s="3"/>
    </row>
    <row r="47" spans="1:10">
      <c r="D47" s="3"/>
      <c r="F47" s="3"/>
      <c r="J47" s="3"/>
    </row>
    <row r="48" spans="1:10">
      <c r="D48" s="3"/>
      <c r="F48" s="3"/>
      <c r="J48" s="3"/>
    </row>
    <row r="49" spans="4:10">
      <c r="D49" s="3"/>
      <c r="F49" s="3"/>
      <c r="J49" s="3"/>
    </row>
    <row r="50" spans="4:10">
      <c r="D50" s="3"/>
      <c r="F50" s="3"/>
      <c r="J50" s="3"/>
    </row>
    <row r="51" spans="4:10">
      <c r="D51" s="3"/>
      <c r="F51" s="3"/>
      <c r="J51" s="3"/>
    </row>
    <row r="52" spans="4:10">
      <c r="D52" s="3"/>
      <c r="F52" s="3"/>
      <c r="J52" s="3"/>
    </row>
    <row r="53" spans="4:10">
      <c r="D53" s="3"/>
      <c r="F53" s="3"/>
      <c r="J53" s="3"/>
    </row>
    <row r="54" spans="4:10">
      <c r="D54" s="3"/>
      <c r="F54" s="3"/>
      <c r="J54" s="3"/>
    </row>
    <row r="55" spans="4:10">
      <c r="D55" s="3"/>
      <c r="F55" s="3"/>
      <c r="J55" s="3"/>
    </row>
  </sheetData>
  <mergeCells count="1">
    <mergeCell ref="A1:H1"/>
  </mergeCells>
  <phoneticPr fontId="3" type="noConversion"/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scale="67" fitToHeight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EDCD0-94CE-4709-867F-8B544535DD30}">
  <sheetPr>
    <tabColor theme="9" tint="0.39997558519241921"/>
    <pageSetUpPr fitToPage="1"/>
  </sheetPr>
  <dimension ref="A1:J34"/>
  <sheetViews>
    <sheetView showGridLines="0" zoomScale="90" zoomScaleNormal="90" workbookViewId="0">
      <selection activeCell="D41" sqref="D41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7.7109375" style="3" bestFit="1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PRODUTOS!A39</f>
        <v>36</v>
      </c>
      <c r="B3" s="599" t="str">
        <f>PRODUTOS!B39</f>
        <v>ELABORAÇÃO DE PLANO DE PLANTIO COMPENSATÓRIO</v>
      </c>
      <c r="C3" s="599"/>
      <c r="D3" s="599"/>
      <c r="E3" s="119" t="str">
        <f>PRODUTOS!C39</f>
        <v>PPCOMP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SUM(I8:I12)</f>
        <v>119182.92340457012</v>
      </c>
      <c r="J7" s="99"/>
    </row>
    <row r="8" spans="1:10" ht="15.75">
      <c r="A8" s="106"/>
      <c r="B8" s="80" t="s">
        <v>167</v>
      </c>
      <c r="C8" s="125" t="str">
        <f>VLOOKUP(B8,'Preços de Referência'!$A$5:$C$103,2,FALSE)</f>
        <v>Auxiliar</v>
      </c>
      <c r="D8" s="134" t="s">
        <v>15</v>
      </c>
      <c r="E8" s="182">
        <v>1</v>
      </c>
      <c r="F8" s="159">
        <f>('Preços de Referência'!$O$28*15)</f>
        <v>109.995</v>
      </c>
      <c r="G8" s="88">
        <f>VLOOKUP(B8,'Preços de Referência'!$A$5:$C$103,3,FALSE)</f>
        <v>3986.88</v>
      </c>
      <c r="H8" s="88">
        <f>G8/'Preços de Referência'!$O$30</f>
        <v>21.847114910406049</v>
      </c>
      <c r="I8" s="91">
        <f t="shared" ref="I8:I12" si="0">H8*F8*E8</f>
        <v>2403.0734045701133</v>
      </c>
      <c r="J8" s="99"/>
    </row>
    <row r="9" spans="1:10" ht="15.75">
      <c r="A9" s="106"/>
      <c r="B9" s="80" t="s">
        <v>14</v>
      </c>
      <c r="C9" s="125" t="str">
        <f>VLOOKUP(B9,'Preços de Referência'!$A$5:$C$103,2,FALSE)</f>
        <v>Biólogo pleno</v>
      </c>
      <c r="D9" s="134" t="s">
        <v>15</v>
      </c>
      <c r="E9" s="182">
        <v>1</v>
      </c>
      <c r="F9" s="159">
        <f>('Preços de Referência'!$O$30*2)</f>
        <v>364.98</v>
      </c>
      <c r="G9" s="88">
        <f>VLOOKUP(B9,'Preços de Referência'!$A$5:$C$103,3,FALSE)</f>
        <v>8782.2099999999991</v>
      </c>
      <c r="H9" s="88">
        <f>G9/'Preços de Referência'!$O$30</f>
        <v>48.124335580031776</v>
      </c>
      <c r="I9" s="91">
        <f t="shared" si="0"/>
        <v>17564.419999999998</v>
      </c>
      <c r="J9" s="99"/>
    </row>
    <row r="10" spans="1:10" ht="15.75">
      <c r="A10" s="106"/>
      <c r="B10" s="80" t="s">
        <v>16</v>
      </c>
      <c r="C10" s="125" t="str">
        <f>VLOOKUP(B10,'Preços de Referência'!$A$5:$C$103,2,FALSE)</f>
        <v>Engenheiro florestal pleno</v>
      </c>
      <c r="D10" s="134" t="s">
        <v>15</v>
      </c>
      <c r="E10" s="182">
        <v>1</v>
      </c>
      <c r="F10" s="159">
        <f>('Preços de Referência'!$O$30*2)</f>
        <v>364.98</v>
      </c>
      <c r="G10" s="88">
        <f>VLOOKUP(B10,'Preços de Referência'!$A$5:$C$103,3,FALSE)</f>
        <v>23790.89</v>
      </c>
      <c r="H10" s="88">
        <f>G10/'Preços de Referência'!$O$30</f>
        <v>130.36818455805798</v>
      </c>
      <c r="I10" s="91">
        <f t="shared" si="0"/>
        <v>47581.780000000006</v>
      </c>
      <c r="J10" s="99"/>
    </row>
    <row r="11" spans="1:10" ht="15.75">
      <c r="A11" s="106"/>
      <c r="B11" s="80" t="s">
        <v>206</v>
      </c>
      <c r="C11" s="125" t="str">
        <f>VLOOKUP(B11,'Preços de Referência'!$A$5:$C$103,2,FALSE)</f>
        <v>Engenheiro agrônomo pleno</v>
      </c>
      <c r="D11" s="134" t="s">
        <v>15</v>
      </c>
      <c r="E11" s="182">
        <v>1</v>
      </c>
      <c r="F11" s="159">
        <f>('Preços de Referência'!$O$30*2)</f>
        <v>364.98</v>
      </c>
      <c r="G11" s="88">
        <f>VLOOKUP(B11,'Preços de Referência'!$A$5:$C$103,3,FALSE)</f>
        <v>22756.68</v>
      </c>
      <c r="H11" s="88">
        <f>G11/'Preços de Referência'!$O$30</f>
        <v>124.70096991615978</v>
      </c>
      <c r="I11" s="91">
        <f t="shared" si="0"/>
        <v>45513.36</v>
      </c>
      <c r="J11" s="99"/>
    </row>
    <row r="12" spans="1:10" ht="15.75">
      <c r="A12" s="106"/>
      <c r="B12" s="80" t="s">
        <v>17</v>
      </c>
      <c r="C12" s="125" t="str">
        <f>VLOOKUP(B12,'Preços de Referência'!$A$5:$C$103,2,FALSE)</f>
        <v>Técnico em geoprocessamento</v>
      </c>
      <c r="D12" s="134" t="s">
        <v>15</v>
      </c>
      <c r="E12" s="182">
        <v>1</v>
      </c>
      <c r="F12" s="159">
        <f>('Preços de Referência'!$O$30*1)</f>
        <v>182.49</v>
      </c>
      <c r="G12" s="88">
        <f>VLOOKUP(B12,'Preços de Referência'!$A$5:$C$103,3,FALSE)</f>
        <v>6120.29</v>
      </c>
      <c r="H12" s="88">
        <f>G12/'Preços de Referência'!$O$30</f>
        <v>33.537673297166968</v>
      </c>
      <c r="I12" s="91">
        <f t="shared" si="0"/>
        <v>6120.29</v>
      </c>
      <c r="J12" s="99"/>
    </row>
    <row r="13" spans="1:10" ht="15.75">
      <c r="A13" s="128" t="s">
        <v>21</v>
      </c>
      <c r="B13" s="107"/>
      <c r="C13" s="126" t="s">
        <v>22</v>
      </c>
      <c r="D13" s="107"/>
      <c r="E13" s="107"/>
      <c r="F13" s="107"/>
      <c r="G13" s="107"/>
      <c r="H13" s="123"/>
      <c r="I13" s="100">
        <f>I14</f>
        <v>4987.6792770000002</v>
      </c>
      <c r="J13" s="99"/>
    </row>
    <row r="14" spans="1:10" ht="28.5" customHeight="1">
      <c r="A14" s="106"/>
      <c r="B14" s="84" t="s">
        <v>23</v>
      </c>
      <c r="C14" s="125" t="str">
        <f>VLOOKUP(B14,'Preços de Referência'!$E$4:$P$5,2,FALSE)</f>
        <v>Veículo leve picape 4 x 4 com capacidade de 1,10 t - 147 kW (sem motorista)</v>
      </c>
      <c r="D14" s="134" t="s">
        <v>15</v>
      </c>
      <c r="E14" s="81">
        <v>1</v>
      </c>
      <c r="F14" s="159">
        <f>('Preços de Referência'!$O$28*15)</f>
        <v>109.995</v>
      </c>
      <c r="G14" s="88">
        <f>VLOOKUP(B14,'Preços de Referência'!$E$4:$P$5,10,FALSE)</f>
        <v>8274.9513000000006</v>
      </c>
      <c r="H14" s="88">
        <f>VLOOKUP(B14,'Preços de Referência'!$E$4:$P$5,12,FALSE)</f>
        <v>45.3446</v>
      </c>
      <c r="I14" s="91">
        <f>H14*F14*E14</f>
        <v>4987.6792770000002</v>
      </c>
      <c r="J14" s="99"/>
    </row>
    <row r="15" spans="1:10" ht="30" hidden="1">
      <c r="A15" s="128" t="s">
        <v>24</v>
      </c>
      <c r="B15" s="107"/>
      <c r="C15" s="126" t="s">
        <v>25</v>
      </c>
      <c r="D15" s="107"/>
      <c r="E15" s="107"/>
      <c r="F15" s="107"/>
      <c r="G15" s="107"/>
      <c r="H15" s="123"/>
      <c r="I15" s="100">
        <v>0</v>
      </c>
      <c r="J15" s="99"/>
    </row>
    <row r="16" spans="1:10" ht="15.75" hidden="1">
      <c r="A16" s="106"/>
      <c r="B16" s="80" t="s">
        <v>26</v>
      </c>
      <c r="C16" s="125" t="s">
        <v>27</v>
      </c>
      <c r="D16" s="134" t="s">
        <v>15</v>
      </c>
      <c r="E16" s="81">
        <v>6</v>
      </c>
      <c r="F16" s="81">
        <f>'Preços de Referência'!$O$28*5</f>
        <v>36.664999999999999</v>
      </c>
      <c r="G16" s="81">
        <v>223.422507</v>
      </c>
      <c r="H16" s="88">
        <v>1.2242999999999999</v>
      </c>
      <c r="I16" s="91">
        <f>H16*F16*E16</f>
        <v>269.33375699999999</v>
      </c>
      <c r="J16" s="99"/>
    </row>
    <row r="17" spans="1:10" ht="15.75" hidden="1">
      <c r="A17" s="106"/>
      <c r="B17" s="80" t="s">
        <v>28</v>
      </c>
      <c r="C17" s="125" t="s">
        <v>29</v>
      </c>
      <c r="D17" s="134" t="s">
        <v>15</v>
      </c>
      <c r="E17" s="81">
        <v>1</v>
      </c>
      <c r="F17" s="81">
        <f>'Preços de Referência'!$O$28*5</f>
        <v>36.664999999999999</v>
      </c>
      <c r="G17" s="81">
        <f>E17*F17</f>
        <v>36.664999999999999</v>
      </c>
      <c r="H17" s="88">
        <v>5.16</v>
      </c>
      <c r="I17" s="91">
        <f>H17*F17*E17</f>
        <v>189.19139999999999</v>
      </c>
      <c r="J17" s="99"/>
    </row>
    <row r="18" spans="1:10" ht="15.75" hidden="1">
      <c r="A18" s="128" t="s">
        <v>30</v>
      </c>
      <c r="B18" s="107"/>
      <c r="C18" s="126" t="s">
        <v>31</v>
      </c>
      <c r="D18" s="107"/>
      <c r="E18" s="107"/>
      <c r="F18" s="107"/>
      <c r="G18" s="107"/>
      <c r="H18" s="123"/>
      <c r="I18" s="100">
        <v>0</v>
      </c>
      <c r="J18" s="99"/>
    </row>
    <row r="19" spans="1:10" ht="15.75" hidden="1">
      <c r="A19" s="129" t="s">
        <v>32</v>
      </c>
      <c r="B19" s="108"/>
      <c r="C19" s="127" t="s">
        <v>33</v>
      </c>
      <c r="D19" s="108"/>
      <c r="E19" s="108"/>
      <c r="F19" s="108"/>
      <c r="G19" s="108"/>
      <c r="H19" s="124"/>
      <c r="I19" s="101"/>
      <c r="J19" s="99"/>
    </row>
    <row r="20" spans="1:10" ht="28.5" hidden="1">
      <c r="A20" s="106"/>
      <c r="B20" s="80" t="s">
        <v>34</v>
      </c>
      <c r="C20" s="125" t="str">
        <f>VLOOKUP(B20,'Preços de Referência'!$F$74:$J$83,2,FALSE)</f>
        <v>Comercial (2,60% do CMCC - SINAPI)</v>
      </c>
      <c r="D20" s="80" t="str">
        <f>VLOOKUP(B20,'Preços de Referência'!$F$74:$J$83,4,FALSE)</f>
        <v>m² x mês</v>
      </c>
      <c r="E20" s="81">
        <f>12.41*6</f>
        <v>74.460000000000008</v>
      </c>
      <c r="F20" s="81">
        <f>'Preços de Referência'!$O$28*5</f>
        <v>36.664999999999999</v>
      </c>
      <c r="G20" s="89">
        <f>VLOOKUP(B20,'Preços de Referência'!$F$74:$J$83,5,FALSE)</f>
        <v>47.75</v>
      </c>
      <c r="H20" s="88">
        <f>G20/'Preços de Referência'!$O$30</f>
        <v>0.26165817305057809</v>
      </c>
      <c r="I20" s="91">
        <v>0</v>
      </c>
      <c r="J20" s="99"/>
    </row>
    <row r="21" spans="1:10" ht="15.75" hidden="1">
      <c r="A21" s="129" t="s">
        <v>35</v>
      </c>
      <c r="B21" s="108"/>
      <c r="C21" s="127" t="s">
        <v>36</v>
      </c>
      <c r="D21" s="108"/>
      <c r="E21" s="108"/>
      <c r="F21" s="108"/>
      <c r="G21" s="108"/>
      <c r="H21" s="124"/>
      <c r="I21" s="101"/>
      <c r="J21" s="99"/>
    </row>
    <row r="22" spans="1:10" ht="15.75" hidden="1">
      <c r="A22" s="106"/>
      <c r="B22" s="80" t="s">
        <v>37</v>
      </c>
      <c r="C22" s="125" t="str">
        <f>VLOOKUP(B22,'Preços de Referência'!$F$74:$J$83,2,FALSE)</f>
        <v>Escritório</v>
      </c>
      <c r="D22" s="80" t="str">
        <f>VLOOKUP(B22,'Preços de Referência'!$F$74:$J$83,4,FALSE)</f>
        <v>ocupante x mês</v>
      </c>
      <c r="E22" s="81">
        <v>6</v>
      </c>
      <c r="F22" s="81">
        <f>'Preços de Referência'!$O$28*5</f>
        <v>36.664999999999999</v>
      </c>
      <c r="G22" s="89">
        <f>VLOOKUP(B22,'Preços de Referência'!$F$74:$J$83,5,FALSE)</f>
        <v>490.4</v>
      </c>
      <c r="H22" s="88">
        <f>G22/'Preços de Referência'!$O$30</f>
        <v>2.6872705353718009</v>
      </c>
      <c r="I22" s="91">
        <f>H22*F22*E22</f>
        <v>591.17264507644245</v>
      </c>
      <c r="J22" s="99"/>
    </row>
    <row r="23" spans="1:10" ht="15.75" hidden="1">
      <c r="A23" s="129" t="s">
        <v>38</v>
      </c>
      <c r="B23" s="108"/>
      <c r="C23" s="127" t="s">
        <v>39</v>
      </c>
      <c r="D23" s="108"/>
      <c r="E23" s="108"/>
      <c r="F23" s="108"/>
      <c r="G23" s="108"/>
      <c r="H23" s="124"/>
      <c r="I23" s="101"/>
      <c r="J23" s="99"/>
    </row>
    <row r="24" spans="1:10" ht="15.75" hidden="1">
      <c r="A24" s="106"/>
      <c r="B24" s="80" t="s">
        <v>40</v>
      </c>
      <c r="C24" s="125" t="str">
        <f>VLOOKUP(B24,'Preços de Referência'!$F$74:$J$83,2,FALSE)</f>
        <v>Escritório</v>
      </c>
      <c r="D24" s="80" t="str">
        <f>VLOOKUP(B24,'Preços de Referência'!$F$74:$J$83,4,FALSE)</f>
        <v>ocupante x mês</v>
      </c>
      <c r="E24" s="81">
        <v>6</v>
      </c>
      <c r="F24" s="81">
        <f>'Preços de Referência'!$O$28*5</f>
        <v>36.664999999999999</v>
      </c>
      <c r="G24" s="89">
        <f>VLOOKUP(B24,'Preços de Referência'!$F$74:$J$83,5,FALSE)</f>
        <v>135.22</v>
      </c>
      <c r="H24" s="88">
        <f>G24/'Preços de Referência'!$O$30</f>
        <v>0.74097210806071556</v>
      </c>
      <c r="I24" s="91">
        <f>H24*F24*E24</f>
        <v>163.00645405227681</v>
      </c>
      <c r="J24" s="99"/>
    </row>
    <row r="25" spans="1:10" ht="15.75">
      <c r="A25" s="160" t="s">
        <v>24</v>
      </c>
      <c r="B25" s="161"/>
      <c r="C25" s="162" t="s">
        <v>360</v>
      </c>
      <c r="D25" s="161"/>
      <c r="E25" s="161"/>
      <c r="F25" s="161"/>
      <c r="G25" s="161"/>
      <c r="H25" s="161"/>
      <c r="I25" s="163">
        <f>SUM(I26:I27)</f>
        <v>28194.6152</v>
      </c>
    </row>
    <row r="26" spans="1:10" ht="28.5">
      <c r="A26" s="164"/>
      <c r="B26" s="169" t="s">
        <v>198</v>
      </c>
      <c r="C26" s="165" t="str">
        <f>VLOOKUP(B26,'Preços de Referência'!$P$69:$W$70,2,FALSE)</f>
        <v>DIÁRIA (CONF. DECRETO 11.117 PR - CUSTO MEDIANO</v>
      </c>
      <c r="D26" s="134" t="s">
        <v>122</v>
      </c>
      <c r="E26" s="135">
        <v>4</v>
      </c>
      <c r="F26" s="135">
        <v>15</v>
      </c>
      <c r="G26" s="330">
        <f>VLOOKUP(B26,'Preços de Referência'!$P$69:$W$70,6,FALSE)</f>
        <v>380</v>
      </c>
      <c r="H26" s="167"/>
      <c r="I26" s="168">
        <f>E26*F26*G26</f>
        <v>22800</v>
      </c>
    </row>
    <row r="27" spans="1:10" ht="28.5">
      <c r="A27" s="164"/>
      <c r="B27" s="169" t="s">
        <v>194</v>
      </c>
      <c r="C27" s="165" t="str">
        <f>VLOOKUP(B27,'Preços de Referência'!$P$69:$W$70,2,FALSE)</f>
        <v>PASSAGEM AÉREA - DESTINO NACIONAL (Cotação JUL/24)*</v>
      </c>
      <c r="D27" s="134" t="s">
        <v>122</v>
      </c>
      <c r="E27" s="135">
        <v>4</v>
      </c>
      <c r="F27" s="135">
        <v>1</v>
      </c>
      <c r="G27" s="330">
        <f>VLOOKUP(B27,'Preços de Referência'!$P$69:$W$70,6,FALSE)</f>
        <v>1348.6538</v>
      </c>
      <c r="H27" s="167"/>
      <c r="I27" s="168">
        <f>E27*F27*G27</f>
        <v>5394.6152000000002</v>
      </c>
    </row>
    <row r="28" spans="1:10" ht="15.75">
      <c r="A28" s="359"/>
      <c r="B28" s="193"/>
      <c r="C28" s="82"/>
      <c r="D28" s="82"/>
      <c r="E28" s="82"/>
      <c r="F28" s="82"/>
      <c r="G28" s="82"/>
      <c r="H28" s="475" t="s">
        <v>41</v>
      </c>
      <c r="I28" s="92">
        <f>I7+I15+I18+I13+I25</f>
        <v>152365.2178815701</v>
      </c>
      <c r="J28" s="99"/>
    </row>
    <row r="29" spans="1:10" ht="16.5" thickBot="1">
      <c r="A29" s="93"/>
      <c r="B29" s="83"/>
      <c r="C29" s="83"/>
      <c r="D29" s="83"/>
      <c r="E29" s="83"/>
      <c r="F29" s="83"/>
      <c r="G29" s="474" t="s">
        <v>42</v>
      </c>
      <c r="H29" s="252">
        <f>BDI!$D$17</f>
        <v>0.44579999999999997</v>
      </c>
      <c r="I29" s="94">
        <f>I28*H29</f>
        <v>67924.414131603946</v>
      </c>
      <c r="J29" s="99"/>
    </row>
    <row r="30" spans="1:10" ht="26.25" thickBot="1">
      <c r="A30" s="476"/>
      <c r="B30" s="477"/>
      <c r="C30" s="477"/>
      <c r="D30" s="477"/>
      <c r="E30" s="477"/>
      <c r="F30" s="477"/>
      <c r="G30" s="478"/>
      <c r="H30" s="479" t="s">
        <v>524</v>
      </c>
      <c r="I30" s="480">
        <f>1.07765625</f>
        <v>1.07765625</v>
      </c>
    </row>
    <row r="31" spans="1:10" ht="16.5" customHeight="1" thickBot="1">
      <c r="A31" s="180"/>
      <c r="B31" s="180"/>
      <c r="C31" s="180"/>
      <c r="D31" s="95"/>
      <c r="E31" s="95"/>
      <c r="F31" s="95"/>
      <c r="G31" s="95"/>
      <c r="H31" s="181" t="s">
        <v>363</v>
      </c>
      <c r="I31" s="96">
        <f>(I28+I29)*I30</f>
        <v>237396.49874919711</v>
      </c>
      <c r="J31" s="99"/>
    </row>
    <row r="32" spans="1:10" ht="15.75">
      <c r="A32" s="173"/>
      <c r="F32" s="585" t="s">
        <v>44</v>
      </c>
      <c r="G32" s="586"/>
      <c r="H32" s="586"/>
      <c r="I32" s="594"/>
      <c r="J32" s="99"/>
    </row>
    <row r="33" spans="1:10" ht="15.75">
      <c r="A33" s="173"/>
      <c r="F33" s="109" t="str">
        <f>A2</f>
        <v>Bloco 1</v>
      </c>
      <c r="G33" s="109" t="s">
        <v>45</v>
      </c>
      <c r="H33" s="109" t="s">
        <v>46</v>
      </c>
      <c r="I33" s="174" t="s">
        <v>47</v>
      </c>
      <c r="J33" s="99"/>
    </row>
    <row r="34" spans="1:10" ht="16.5" thickBot="1">
      <c r="A34" s="175"/>
      <c r="B34" s="176"/>
      <c r="C34" s="176"/>
      <c r="D34" s="176"/>
      <c r="E34" s="176"/>
      <c r="F34" s="177">
        <f>A3</f>
        <v>36</v>
      </c>
      <c r="G34" s="184">
        <v>3</v>
      </c>
      <c r="H34" s="178">
        <f>I31</f>
        <v>237396.49874919711</v>
      </c>
      <c r="I34" s="179">
        <f>G34*H34</f>
        <v>712189.49624759133</v>
      </c>
      <c r="J34" s="99"/>
    </row>
  </sheetData>
  <mergeCells count="8">
    <mergeCell ref="B3:D3"/>
    <mergeCell ref="F32:I32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D9782-FD70-4B7F-A786-CD881D798D89}">
  <sheetPr codeName="Planilha20">
    <tabColor theme="9" tint="0.39997558519241921"/>
    <pageSetUpPr fitToPage="1"/>
  </sheetPr>
  <dimension ref="A1:I29"/>
  <sheetViews>
    <sheetView showGridLines="0" zoomScale="70" zoomScaleNormal="70" workbookViewId="0">
      <selection activeCell="H29" sqref="H29:I29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9.28515625" style="3"/>
    <col min="11" max="11" width="10" style="3" bestFit="1" customWidth="1"/>
    <col min="12" max="12" width="7" style="3" bestFit="1" customWidth="1"/>
    <col min="13" max="16384" width="9.28515625" style="3"/>
  </cols>
  <sheetData>
    <row r="1" spans="1:9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</row>
    <row r="2" spans="1:9" s="6" customFormat="1" ht="15.75">
      <c r="A2" s="152" t="str">
        <f>PRODUTOS!A2</f>
        <v>Bloco 1</v>
      </c>
      <c r="B2" s="141" t="str">
        <f>PRODUTOS!B2</f>
        <v>Estudos para licenciamento e Concessões</v>
      </c>
      <c r="C2" s="142"/>
      <c r="D2" s="142"/>
      <c r="E2" s="142"/>
      <c r="F2" s="142"/>
      <c r="G2" s="142"/>
      <c r="H2" s="142"/>
      <c r="I2" s="143"/>
    </row>
    <row r="3" spans="1:9" s="6" customFormat="1" ht="16.5" thickBot="1">
      <c r="A3" s="144">
        <f>PRODUTOS!A4</f>
        <v>1</v>
      </c>
      <c r="B3" s="145" t="str">
        <f>PRODUTOS!B4</f>
        <v>GERENCIAMENTO DE ESTUDOS E PROJETOS (GER)</v>
      </c>
      <c r="C3" s="146"/>
      <c r="D3" s="147" t="str">
        <f>PRODUTOS!C4</f>
        <v>GERE</v>
      </c>
      <c r="E3" s="147"/>
      <c r="F3" s="148"/>
      <c r="G3" s="149"/>
      <c r="H3" s="150"/>
      <c r="I3" s="151"/>
    </row>
    <row r="4" spans="1:9" s="6" customFormat="1" ht="15.75">
      <c r="A4" s="102"/>
      <c r="B4" s="75"/>
      <c r="C4" s="98"/>
      <c r="D4" s="98"/>
      <c r="E4" s="98"/>
      <c r="F4" s="97"/>
      <c r="G4" s="75"/>
      <c r="H4" s="99"/>
      <c r="I4" s="103"/>
    </row>
    <row r="5" spans="1:9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</row>
    <row r="6" spans="1:9" ht="14.2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</row>
    <row r="7" spans="1:9" ht="15">
      <c r="A7" s="128" t="s">
        <v>12</v>
      </c>
      <c r="B7" s="155"/>
      <c r="C7" s="156" t="s">
        <v>13</v>
      </c>
      <c r="D7" s="155"/>
      <c r="E7" s="155"/>
      <c r="F7" s="155"/>
      <c r="G7" s="155"/>
      <c r="H7" s="155"/>
      <c r="I7" s="100">
        <f>SUM(I8:I10)</f>
        <v>43643.445165762503</v>
      </c>
    </row>
    <row r="8" spans="1:9" ht="15">
      <c r="A8" s="106"/>
      <c r="B8" s="84" t="s">
        <v>186</v>
      </c>
      <c r="C8" s="125" t="str">
        <f>VLOOKUP(B8,'Preços de Referência'!$A$5:$C$103,2,FALSE)</f>
        <v xml:space="preserve">Coordenador ambiental </v>
      </c>
      <c r="D8" s="134" t="s">
        <v>15</v>
      </c>
      <c r="E8" s="202">
        <v>1</v>
      </c>
      <c r="F8" s="202">
        <f>'Preços de Referência'!$O$30</f>
        <v>182.49</v>
      </c>
      <c r="G8" s="88">
        <f>VLOOKUP(B8,'Preços de Referência'!$A$5:$C$103,3,FALSE)</f>
        <v>34290.74</v>
      </c>
      <c r="H8" s="88">
        <f>G8/'Preços de Referência'!$O$30</f>
        <v>187.9047619047619</v>
      </c>
      <c r="I8" s="91">
        <f t="shared" ref="I8:I9" si="0">H8*F8*E8</f>
        <v>34290.74</v>
      </c>
    </row>
    <row r="9" spans="1:9" ht="15">
      <c r="A9" s="106"/>
      <c r="B9" s="84" t="s">
        <v>17</v>
      </c>
      <c r="C9" s="125" t="str">
        <f>VLOOKUP(B9,'Preços de Referência'!$A$5:$C$103,2,FALSE)</f>
        <v>Técnico em geoprocessamento</v>
      </c>
      <c r="D9" s="134" t="s">
        <v>15</v>
      </c>
      <c r="E9" s="202">
        <v>1</v>
      </c>
      <c r="F9" s="202">
        <f>'Preços de Referência'!$O$28*20</f>
        <v>146.66</v>
      </c>
      <c r="G9" s="88">
        <f>VLOOKUP(B9,'Preços de Referência'!$A$5:$C$103,3,FALSE)</f>
        <v>6120.29</v>
      </c>
      <c r="H9" s="88">
        <f>G9/'Preços de Referência'!$O$30</f>
        <v>33.537673297166968</v>
      </c>
      <c r="I9" s="91">
        <f t="shared" si="0"/>
        <v>4918.6351657625073</v>
      </c>
    </row>
    <row r="10" spans="1:9" ht="15">
      <c r="A10" s="106"/>
      <c r="B10" s="80" t="s">
        <v>169</v>
      </c>
      <c r="C10" s="125" t="str">
        <f>VLOOKUP(B10,'Preços de Referência'!$A$5:$C$103,2,FALSE)</f>
        <v>Auxiliar administrativo</v>
      </c>
      <c r="D10" s="134" t="s">
        <v>15</v>
      </c>
      <c r="E10" s="202">
        <v>1</v>
      </c>
      <c r="F10" s="202">
        <f>'Preços de Referência'!$O$30</f>
        <v>182.49</v>
      </c>
      <c r="G10" s="88">
        <f>VLOOKUP(B10,'Preços de Referência'!$A$5:$C$103,3,FALSE)</f>
        <v>4434.07</v>
      </c>
      <c r="H10" s="88">
        <f>G10/'Preços de Referência'!$O$30</f>
        <v>24.297605348238257</v>
      </c>
      <c r="I10" s="91">
        <f t="shared" ref="I10" si="1">H10*F10*E10</f>
        <v>4434.07</v>
      </c>
    </row>
    <row r="11" spans="1:9" ht="15" hidden="1">
      <c r="A11" s="128" t="s">
        <v>21</v>
      </c>
      <c r="B11" s="155"/>
      <c r="C11" s="156" t="s">
        <v>22</v>
      </c>
      <c r="D11" s="155"/>
      <c r="E11" s="155"/>
      <c r="F11" s="155"/>
      <c r="G11" s="155"/>
      <c r="H11" s="155"/>
      <c r="I11" s="100">
        <v>0</v>
      </c>
    </row>
    <row r="12" spans="1:9" ht="28.5" hidden="1" customHeight="1">
      <c r="A12" s="106"/>
      <c r="B12" s="80" t="s">
        <v>355</v>
      </c>
      <c r="C12" s="125" t="str">
        <f>VLOOKUP(B12,'Preços de Referência'!$E$4:$P$5,2,FALSE)</f>
        <v>Veículo leve - 53 kW (sem motorista)</v>
      </c>
      <c r="D12" s="134" t="s">
        <v>15</v>
      </c>
      <c r="E12" s="81">
        <v>1</v>
      </c>
      <c r="F12" s="81">
        <f>'Preços de Referência'!$O$30</f>
        <v>182.49</v>
      </c>
      <c r="G12" s="88">
        <f>VLOOKUP(B12,'Preços de Referência'!$E$4:$P$5,10,FALSE)</f>
        <v>2959.4861999999998</v>
      </c>
      <c r="H12" s="88">
        <f>VLOOKUP(B12,'Preços de Referência'!$E$4:$P$5,12,FALSE)</f>
        <v>16.217199999999998</v>
      </c>
      <c r="I12" s="91">
        <f>H12*F12*E12</f>
        <v>2959.4768279999998</v>
      </c>
    </row>
    <row r="13" spans="1:9" ht="30" hidden="1">
      <c r="A13" s="128" t="s">
        <v>24</v>
      </c>
      <c r="B13" s="155"/>
      <c r="C13" s="156" t="s">
        <v>25</v>
      </c>
      <c r="D13" s="155"/>
      <c r="E13" s="155"/>
      <c r="F13" s="155"/>
      <c r="G13" s="155"/>
      <c r="H13" s="155"/>
      <c r="I13" s="100">
        <v>0</v>
      </c>
    </row>
    <row r="14" spans="1:9" ht="15" hidden="1">
      <c r="A14" s="106"/>
      <c r="B14" s="80" t="s">
        <v>26</v>
      </c>
      <c r="C14" s="125" t="s">
        <v>27</v>
      </c>
      <c r="D14" s="134" t="s">
        <v>15</v>
      </c>
      <c r="E14" s="81">
        <v>2</v>
      </c>
      <c r="F14" s="81">
        <f>'Preços de Referência'!$O$30</f>
        <v>182.49</v>
      </c>
      <c r="G14" s="88">
        <v>223.422507</v>
      </c>
      <c r="H14" s="88">
        <v>1.2242999999999999</v>
      </c>
      <c r="I14" s="91">
        <f>H14*F14*E14</f>
        <v>446.84501399999999</v>
      </c>
    </row>
    <row r="15" spans="1:9" ht="28.5" hidden="1">
      <c r="A15" s="106"/>
      <c r="B15" s="80" t="s">
        <v>28</v>
      </c>
      <c r="C15" s="125" t="s">
        <v>29</v>
      </c>
      <c r="D15" s="134" t="s">
        <v>15</v>
      </c>
      <c r="E15" s="81">
        <v>1</v>
      </c>
      <c r="F15" s="81">
        <f>'Preços de Referência'!$O$30</f>
        <v>182.49</v>
      </c>
      <c r="G15" s="88">
        <f>E15*F15</f>
        <v>182.49</v>
      </c>
      <c r="H15" s="88">
        <v>5.16</v>
      </c>
      <c r="I15" s="91">
        <f>H15*F15*E15</f>
        <v>941.64840000000004</v>
      </c>
    </row>
    <row r="16" spans="1:9" ht="15" hidden="1">
      <c r="A16" s="128" t="s">
        <v>30</v>
      </c>
      <c r="B16" s="155"/>
      <c r="C16" s="156" t="s">
        <v>31</v>
      </c>
      <c r="D16" s="155"/>
      <c r="E16" s="155"/>
      <c r="F16" s="155"/>
      <c r="G16" s="155"/>
      <c r="H16" s="155"/>
      <c r="I16" s="100">
        <v>0</v>
      </c>
    </row>
    <row r="17" spans="1:9" ht="15" hidden="1">
      <c r="A17" s="129" t="s">
        <v>32</v>
      </c>
      <c r="B17" s="108"/>
      <c r="C17" s="127" t="s">
        <v>33</v>
      </c>
      <c r="D17" s="108"/>
      <c r="E17" s="108"/>
      <c r="F17" s="108"/>
      <c r="G17" s="154"/>
      <c r="H17" s="124"/>
      <c r="I17" s="101"/>
    </row>
    <row r="18" spans="1:9" ht="28.5" hidden="1">
      <c r="A18" s="106"/>
      <c r="B18" s="80" t="s">
        <v>34</v>
      </c>
      <c r="C18" s="125" t="str">
        <f>VLOOKUP(B18,'Preços de Referência'!$F$74:$J$83,2,FALSE)</f>
        <v>Comercial (2,60% do CMCC - SINAPI)</v>
      </c>
      <c r="D18" s="80" t="str">
        <f>VLOOKUP(B18,'Preços de Referência'!$F$74:$J$83,4,FALSE)</f>
        <v>m² x mês</v>
      </c>
      <c r="E18" s="81">
        <f>12.41*2</f>
        <v>24.82</v>
      </c>
      <c r="F18" s="81">
        <f>'Preços de Referência'!$O$30</f>
        <v>182.49</v>
      </c>
      <c r="G18" s="88">
        <f>VLOOKUP(B18,'Preços de Referência'!$F$74:$J$83,5,FALSE)</f>
        <v>47.75</v>
      </c>
      <c r="H18" s="88">
        <f>G18/'Preços de Referência'!$O$30</f>
        <v>0.26165817305057809</v>
      </c>
      <c r="I18" s="91">
        <f>H18*F18*E18</f>
        <v>1185.155</v>
      </c>
    </row>
    <row r="19" spans="1:9" ht="15" hidden="1">
      <c r="A19" s="129" t="s">
        <v>35</v>
      </c>
      <c r="B19" s="108"/>
      <c r="C19" s="127" t="s">
        <v>36</v>
      </c>
      <c r="D19" s="108"/>
      <c r="E19" s="108"/>
      <c r="F19" s="108"/>
      <c r="G19" s="154"/>
      <c r="H19" s="124"/>
      <c r="I19" s="101"/>
    </row>
    <row r="20" spans="1:9" ht="15" hidden="1">
      <c r="A20" s="106"/>
      <c r="B20" s="80" t="s">
        <v>37</v>
      </c>
      <c r="C20" s="125" t="str">
        <f>VLOOKUP(B20,'Preços de Referência'!$F$74:$J$83,2,FALSE)</f>
        <v>Escritório</v>
      </c>
      <c r="D20" s="80" t="str">
        <f>VLOOKUP(B20,'Preços de Referência'!$F$74:$J$83,4,FALSE)</f>
        <v>ocupante x mês</v>
      </c>
      <c r="E20" s="81">
        <v>2</v>
      </c>
      <c r="F20" s="81">
        <f>'Preços de Referência'!$O$30</f>
        <v>182.49</v>
      </c>
      <c r="G20" s="88">
        <f>VLOOKUP(B20,'Preços de Referência'!$F$74:$J$83,5,FALSE)</f>
        <v>490.4</v>
      </c>
      <c r="H20" s="88">
        <f>G20/'Preços de Referência'!$O$30</f>
        <v>2.6872705353718009</v>
      </c>
      <c r="I20" s="91">
        <f>H20*F20*E20</f>
        <v>980.8</v>
      </c>
    </row>
    <row r="21" spans="1:9" ht="15" hidden="1">
      <c r="A21" s="129" t="s">
        <v>38</v>
      </c>
      <c r="B21" s="108"/>
      <c r="C21" s="127" t="s">
        <v>39</v>
      </c>
      <c r="D21" s="108"/>
      <c r="E21" s="108"/>
      <c r="F21" s="108"/>
      <c r="G21" s="154"/>
      <c r="H21" s="124"/>
      <c r="I21" s="101"/>
    </row>
    <row r="22" spans="1:9" ht="15" hidden="1">
      <c r="A22" s="106"/>
      <c r="B22" s="80" t="s">
        <v>40</v>
      </c>
      <c r="C22" s="125" t="str">
        <f>VLOOKUP(B22,'Preços de Referência'!$F$74:$J$83,2,FALSE)</f>
        <v>Escritório</v>
      </c>
      <c r="D22" s="80" t="str">
        <f>VLOOKUP(B22,'Preços de Referência'!$F$74:$J$83,4,FALSE)</f>
        <v>ocupante x mês</v>
      </c>
      <c r="E22" s="81">
        <v>2</v>
      </c>
      <c r="F22" s="81">
        <f>'Preços de Referência'!$O$30</f>
        <v>182.49</v>
      </c>
      <c r="G22" s="88">
        <f>VLOOKUP(B22,'Preços de Referência'!$F$74:$J$83,5,FALSE)</f>
        <v>135.22</v>
      </c>
      <c r="H22" s="88">
        <f>G22/'Preços de Referência'!$O$30</f>
        <v>0.74097210806071556</v>
      </c>
      <c r="I22" s="91">
        <f>H22*F22*E22</f>
        <v>270.44</v>
      </c>
    </row>
    <row r="23" spans="1:9" ht="15" customHeight="1">
      <c r="A23" s="471"/>
      <c r="B23" s="472"/>
      <c r="C23" s="82"/>
      <c r="D23" s="82"/>
      <c r="E23" s="82"/>
      <c r="F23" s="82"/>
      <c r="G23" s="82"/>
      <c r="H23" s="248" t="s">
        <v>41</v>
      </c>
      <c r="I23" s="92">
        <f>I7+I11+I13+I16</f>
        <v>43643.445165762503</v>
      </c>
    </row>
    <row r="24" spans="1:9" ht="15">
      <c r="A24" s="83"/>
      <c r="B24" s="83"/>
      <c r="C24" s="83"/>
      <c r="D24" s="83"/>
      <c r="E24" s="83"/>
      <c r="F24" s="83"/>
      <c r="G24" s="249" t="s">
        <v>42</v>
      </c>
      <c r="H24" s="252">
        <f>BDI!$D$17</f>
        <v>0.44579999999999997</v>
      </c>
      <c r="I24" s="94">
        <f>I23*H24</f>
        <v>19456.247854896923</v>
      </c>
    </row>
    <row r="25" spans="1:9" ht="15.75" thickBot="1">
      <c r="A25" s="226"/>
      <c r="B25" s="194"/>
      <c r="C25" s="194"/>
      <c r="D25" s="95"/>
      <c r="E25" s="95"/>
      <c r="F25" s="95"/>
      <c r="G25" s="250"/>
      <c r="H25" s="253" t="s">
        <v>43</v>
      </c>
      <c r="I25" s="96">
        <f>I23+I24</f>
        <v>63099.693020659426</v>
      </c>
    </row>
    <row r="27" spans="1:9">
      <c r="F27" s="585" t="s">
        <v>44</v>
      </c>
      <c r="G27" s="586"/>
      <c r="H27" s="586"/>
      <c r="I27" s="587"/>
    </row>
    <row r="28" spans="1:9">
      <c r="F28" s="109" t="str">
        <f>A2</f>
        <v>Bloco 1</v>
      </c>
      <c r="G28" s="109" t="s">
        <v>45</v>
      </c>
      <c r="H28" s="109" t="s">
        <v>46</v>
      </c>
      <c r="I28" s="109" t="s">
        <v>47</v>
      </c>
    </row>
    <row r="29" spans="1:9">
      <c r="F29" s="4">
        <f>A3</f>
        <v>1</v>
      </c>
      <c r="G29" s="4">
        <v>36</v>
      </c>
      <c r="H29" s="5">
        <f>I25</f>
        <v>63099.693020659426</v>
      </c>
      <c r="I29" s="5">
        <f>G29*H29</f>
        <v>2271588.9487437392</v>
      </c>
    </row>
  </sheetData>
  <mergeCells count="7">
    <mergeCell ref="F27:I27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46C4A-F38A-468E-A4DA-3869E69BE84F}">
  <sheetPr codeName="Planilha23">
    <tabColor theme="9" tint="0.39997558519241921"/>
    <pageSetUpPr fitToPage="1"/>
  </sheetPr>
  <dimension ref="A1:I33"/>
  <sheetViews>
    <sheetView showGridLines="0" zoomScale="80" zoomScaleNormal="80" workbookViewId="0">
      <selection activeCell="H33" sqref="H33:I33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9.28515625" style="3"/>
    <col min="11" max="11" width="10" style="3" bestFit="1" customWidth="1"/>
    <col min="12" max="12" width="7" style="3" bestFit="1" customWidth="1"/>
    <col min="13" max="16384" width="9.28515625" style="3"/>
  </cols>
  <sheetData>
    <row r="1" spans="1:9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</row>
    <row r="2" spans="1:9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</row>
    <row r="3" spans="1:9" s="6" customFormat="1" ht="16.5" thickBot="1">
      <c r="A3" s="117">
        <f>PRODUTOS!A5</f>
        <v>2</v>
      </c>
      <c r="B3" s="118" t="str">
        <f>PRODUTOS!B5</f>
        <v>CONSULTA PÚBLICA/REUNIÃO PÚBLICA/REUNIÃO TÉCNICA – TIPO I</v>
      </c>
      <c r="C3" s="119"/>
      <c r="D3" s="119"/>
      <c r="E3" s="119" t="str">
        <f>PRODUTOS!C5</f>
        <v>CON.PUB.I</v>
      </c>
      <c r="F3" s="120"/>
      <c r="G3" s="118"/>
      <c r="H3" s="121"/>
      <c r="I3" s="122"/>
    </row>
    <row r="4" spans="1:9" s="6" customFormat="1" ht="15.75">
      <c r="A4" s="102"/>
      <c r="B4" s="75"/>
      <c r="C4" s="98"/>
      <c r="D4" s="98"/>
      <c r="E4" s="98"/>
      <c r="F4" s="97"/>
      <c r="G4" s="75"/>
      <c r="H4" s="99"/>
      <c r="I4" s="103"/>
    </row>
    <row r="5" spans="1:9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</row>
    <row r="6" spans="1:9" ht="14.2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</row>
    <row r="7" spans="1:9" ht="1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SUM(I8:I12)</f>
        <v>2768.8679079949584</v>
      </c>
    </row>
    <row r="8" spans="1:9" ht="15">
      <c r="A8" s="106"/>
      <c r="B8" s="80" t="s">
        <v>240</v>
      </c>
      <c r="C8" s="125" t="str">
        <f>VLOOKUP(B8,'Preços de Referência'!$A$5:$C$103,2,FALSE)</f>
        <v>Geólogo júnior</v>
      </c>
      <c r="D8" s="134" t="s">
        <v>15</v>
      </c>
      <c r="E8" s="202">
        <v>1</v>
      </c>
      <c r="F8" s="202">
        <f>'Preços de Referência'!$O$28</f>
        <v>7.3330000000000002</v>
      </c>
      <c r="G8" s="88">
        <f>VLOOKUP(B8,'Preços de Referência'!$A$5:$C$103,3,FALSE)</f>
        <v>19052.8</v>
      </c>
      <c r="H8" s="88">
        <f>G8/'Preços de Referência'!$O$30</f>
        <v>104.40462491095401</v>
      </c>
      <c r="I8" s="91">
        <f>H8*F8*E8</f>
        <v>765.5991144720258</v>
      </c>
    </row>
    <row r="9" spans="1:9" ht="15">
      <c r="A9" s="106"/>
      <c r="B9" s="80" t="s">
        <v>174</v>
      </c>
      <c r="C9" s="125" t="str">
        <f>VLOOKUP(B9,'Preços de Referência'!$A$5:$C$103,2,FALSE)</f>
        <v>Biólogo júnior</v>
      </c>
      <c r="D9" s="134" t="s">
        <v>15</v>
      </c>
      <c r="E9" s="202">
        <v>1</v>
      </c>
      <c r="F9" s="202">
        <f>'Preços de Referência'!$O$28</f>
        <v>7.3330000000000002</v>
      </c>
      <c r="G9" s="88">
        <f>VLOOKUP(B9,'Preços de Referência'!$A$5:$C$103,3,FALSE)</f>
        <v>6869.32</v>
      </c>
      <c r="H9" s="88">
        <f>G9/'Preços de Referência'!$O$30</f>
        <v>37.642172173817741</v>
      </c>
      <c r="I9" s="91">
        <f>H9*F9*E9</f>
        <v>276.0300485506055</v>
      </c>
    </row>
    <row r="10" spans="1:9" ht="15">
      <c r="A10" s="106"/>
      <c r="B10" s="80" t="s">
        <v>299</v>
      </c>
      <c r="C10" s="125" t="str">
        <f>VLOOKUP(B10,'Preços de Referência'!$A$5:$C$103,2,FALSE)</f>
        <v>Sociólogo júnior</v>
      </c>
      <c r="D10" s="134" t="s">
        <v>15</v>
      </c>
      <c r="E10" s="202">
        <v>1</v>
      </c>
      <c r="F10" s="202">
        <f>'Preços de Referência'!$O$28</f>
        <v>7.3330000000000002</v>
      </c>
      <c r="G10" s="88">
        <f>VLOOKUP(B10,'Preços de Referência'!$A$5:$C$103,3,FALSE)</f>
        <v>8353.6</v>
      </c>
      <c r="H10" s="88">
        <f>G10/'Preços de Referência'!$O$30</f>
        <v>45.775658940215905</v>
      </c>
      <c r="I10" s="91">
        <f>H10*F10*E10</f>
        <v>335.67290700860326</v>
      </c>
    </row>
    <row r="11" spans="1:9" ht="15">
      <c r="A11" s="106"/>
      <c r="B11" s="80" t="s">
        <v>232</v>
      </c>
      <c r="C11" s="125" t="str">
        <f>VLOOKUP(B11,'Preços de Referência'!$A$5:$C$103,2,FALSE)</f>
        <v>Engenheiro florestal júnior</v>
      </c>
      <c r="D11" s="134" t="s">
        <v>15</v>
      </c>
      <c r="E11" s="202">
        <v>1</v>
      </c>
      <c r="F11" s="202">
        <f>'Preços de Referência'!$O$28</f>
        <v>7.3330000000000002</v>
      </c>
      <c r="G11" s="88">
        <f>VLOOKUP(B11,'Preços de Referência'!$A$5:$C$103,3,FALSE)</f>
        <v>22670.05</v>
      </c>
      <c r="H11" s="88">
        <f>G11/'Preços de Referência'!$O$30</f>
        <v>124.2262589730944</v>
      </c>
      <c r="I11" s="91">
        <f>H11*F11*E11</f>
        <v>910.95115704970124</v>
      </c>
    </row>
    <row r="12" spans="1:9" ht="15">
      <c r="A12" s="106"/>
      <c r="B12" s="80" t="s">
        <v>167</v>
      </c>
      <c r="C12" s="125" t="str">
        <f>VLOOKUP(B12,'Preços de Referência'!$A$5:$C$103,2,FALSE)</f>
        <v>Auxiliar</v>
      </c>
      <c r="D12" s="134" t="s">
        <v>15</v>
      </c>
      <c r="E12" s="202">
        <v>1</v>
      </c>
      <c r="F12" s="202">
        <f>'Preços de Referência'!$O$28*3</f>
        <v>21.999000000000002</v>
      </c>
      <c r="G12" s="88">
        <f>VLOOKUP(B12,'Preços de Referência'!$A$5:$C$103,3,FALSE)</f>
        <v>3986.88</v>
      </c>
      <c r="H12" s="88">
        <f>G12/'Preços de Referência'!$O$30</f>
        <v>21.847114910406049</v>
      </c>
      <c r="I12" s="91">
        <f>H12*F12*E12</f>
        <v>480.6146809140227</v>
      </c>
    </row>
    <row r="13" spans="1:9" ht="15">
      <c r="A13" s="128" t="s">
        <v>21</v>
      </c>
      <c r="B13" s="107"/>
      <c r="C13" s="126" t="s">
        <v>22</v>
      </c>
      <c r="D13" s="107"/>
      <c r="E13" s="123"/>
      <c r="F13" s="123"/>
      <c r="G13" s="107"/>
      <c r="H13" s="123"/>
      <c r="I13" s="100">
        <f>I14</f>
        <v>356.76218280000001</v>
      </c>
    </row>
    <row r="14" spans="1:9" ht="28.5" customHeight="1">
      <c r="A14" s="106"/>
      <c r="B14" s="80" t="s">
        <v>355</v>
      </c>
      <c r="C14" s="125" t="str">
        <f>VLOOKUP(B14,'Preços de Referência'!$E$4:$P$5,2,FALSE)</f>
        <v>Veículo leve - 53 kW (sem motorista)</v>
      </c>
      <c r="D14" s="134" t="s">
        <v>15</v>
      </c>
      <c r="E14" s="202">
        <v>1</v>
      </c>
      <c r="F14" s="202">
        <f>'Preços de Referência'!$O$28*3</f>
        <v>21.999000000000002</v>
      </c>
      <c r="G14" s="81">
        <f>VLOOKUP(B14,'Preços de Referência'!$E$4:$P$5,10,FALSE)</f>
        <v>2959.4861999999998</v>
      </c>
      <c r="H14" s="88">
        <f>VLOOKUP(B14,'Preços de Referência'!$E$4:$P$5,12,FALSE)</f>
        <v>16.217199999999998</v>
      </c>
      <c r="I14" s="91">
        <f>H14*F14*E14</f>
        <v>356.76218280000001</v>
      </c>
    </row>
    <row r="15" spans="1:9" ht="30">
      <c r="A15" s="128" t="s">
        <v>24</v>
      </c>
      <c r="B15" s="107"/>
      <c r="C15" s="126" t="s">
        <v>476</v>
      </c>
      <c r="D15" s="107"/>
      <c r="E15" s="123" t="s">
        <v>479</v>
      </c>
      <c r="F15" s="123" t="s">
        <v>475</v>
      </c>
      <c r="G15" s="107" t="s">
        <v>477</v>
      </c>
      <c r="H15" s="123" t="s">
        <v>478</v>
      </c>
      <c r="I15" s="100">
        <f>SUM(I16:I17)</f>
        <v>1345.76125</v>
      </c>
    </row>
    <row r="16" spans="1:9" ht="15">
      <c r="A16" s="106"/>
      <c r="B16" s="80" t="s">
        <v>457</v>
      </c>
      <c r="C16" s="125" t="s">
        <v>356</v>
      </c>
      <c r="D16" s="134"/>
      <c r="E16" s="229">
        <v>30</v>
      </c>
      <c r="F16" s="353">
        <v>1</v>
      </c>
      <c r="G16" s="208">
        <f>'Preços de Referência'!$H$54</f>
        <v>30.86</v>
      </c>
      <c r="I16" s="209">
        <f>E16*F16*G16</f>
        <v>925.8</v>
      </c>
    </row>
    <row r="17" spans="1:9" ht="29.25" customHeight="1">
      <c r="A17" s="106"/>
      <c r="B17" s="80" t="s">
        <v>480</v>
      </c>
      <c r="C17" s="125" t="str">
        <f>VLOOKUP(B17,'Preços de Referência'!$E$60:$M$62,2,FALSE)</f>
        <v>Aluguel de espaço até 30 participantes</v>
      </c>
      <c r="D17" s="134"/>
      <c r="E17" s="202">
        <v>1</v>
      </c>
      <c r="F17" s="353">
        <v>3</v>
      </c>
      <c r="G17" s="354">
        <f>VLOOKUP(B17,'Preços de Referência'!$E$60:$M$62,9,FALSE)</f>
        <v>139.98708333333332</v>
      </c>
      <c r="H17" s="315" t="s">
        <v>80</v>
      </c>
      <c r="I17" s="209">
        <f>E17*F17*G17</f>
        <v>419.96124999999995</v>
      </c>
    </row>
    <row r="18" spans="1:9" ht="15" hidden="1">
      <c r="A18" s="128" t="s">
        <v>30</v>
      </c>
      <c r="B18" s="107"/>
      <c r="C18" s="126" t="s">
        <v>31</v>
      </c>
      <c r="D18" s="107"/>
      <c r="E18" s="107"/>
      <c r="F18" s="107"/>
      <c r="G18" s="107"/>
      <c r="H18" s="123"/>
      <c r="I18" s="100">
        <v>0</v>
      </c>
    </row>
    <row r="19" spans="1:9" ht="15" hidden="1">
      <c r="A19" s="129" t="s">
        <v>32</v>
      </c>
      <c r="B19" s="108"/>
      <c r="C19" s="127" t="s">
        <v>33</v>
      </c>
      <c r="D19" s="108"/>
      <c r="E19" s="108"/>
      <c r="F19" s="108"/>
      <c r="G19" s="108"/>
      <c r="H19" s="124"/>
      <c r="I19" s="101"/>
    </row>
    <row r="20" spans="1:9" ht="28.5" hidden="1">
      <c r="A20" s="106"/>
      <c r="B20" s="80" t="s">
        <v>34</v>
      </c>
      <c r="C20" s="125" t="str">
        <f>VLOOKUP(B20,'Preços de Referência'!$F$74:$J$83,2,FALSE)</f>
        <v>Comercial (2,60% do CMCC - SINAPI)</v>
      </c>
      <c r="D20" s="80" t="str">
        <f>VLOOKUP(B20,'Preços de Referência'!$F$74:$J$83,4,FALSE)</f>
        <v>m² x mês</v>
      </c>
      <c r="E20" s="81">
        <f>12.41*3</f>
        <v>37.230000000000004</v>
      </c>
      <c r="F20" s="81">
        <f>'Preços de Referência'!$O$28</f>
        <v>7.3330000000000002</v>
      </c>
      <c r="G20" s="89">
        <f>VLOOKUP(B20,'Preços de Referência'!$F$74:$J$83,5,FALSE)</f>
        <v>47.75</v>
      </c>
      <c r="H20" s="88">
        <f>G20/'Preços de Referência'!$O$30</f>
        <v>0.26165817305057809</v>
      </c>
      <c r="I20" s="91">
        <v>0</v>
      </c>
    </row>
    <row r="21" spans="1:9" ht="15" hidden="1">
      <c r="A21" s="129" t="s">
        <v>35</v>
      </c>
      <c r="B21" s="108"/>
      <c r="C21" s="127" t="s">
        <v>36</v>
      </c>
      <c r="D21" s="108"/>
      <c r="E21" s="108"/>
      <c r="F21" s="108"/>
      <c r="G21" s="108"/>
      <c r="H21" s="124"/>
      <c r="I21" s="101"/>
    </row>
    <row r="22" spans="1:9" ht="15" hidden="1">
      <c r="A22" s="106"/>
      <c r="B22" s="80" t="s">
        <v>37</v>
      </c>
      <c r="C22" s="125" t="str">
        <f>VLOOKUP(B22,'Preços de Referência'!$F$74:$J$83,2,FALSE)</f>
        <v>Escritório</v>
      </c>
      <c r="D22" s="80" t="str">
        <f>VLOOKUP(B22,'Preços de Referência'!$F$74:$J$83,4,FALSE)</f>
        <v>ocupante x mês</v>
      </c>
      <c r="E22" s="81">
        <v>3</v>
      </c>
      <c r="F22" s="81">
        <f>'Preços de Referência'!$O$28</f>
        <v>7.3330000000000002</v>
      </c>
      <c r="G22" s="89">
        <f>VLOOKUP(B22,'Preços de Referência'!$F$74:$J$83,5,FALSE)</f>
        <v>490.4</v>
      </c>
      <c r="H22" s="88">
        <f>G22/'Preços de Referência'!$O$30</f>
        <v>2.6872705353718009</v>
      </c>
      <c r="I22" s="91">
        <f>H22*F22*E22</f>
        <v>59.117264507644251</v>
      </c>
    </row>
    <row r="23" spans="1:9" ht="15" hidden="1">
      <c r="A23" s="129" t="s">
        <v>38</v>
      </c>
      <c r="B23" s="108"/>
      <c r="C23" s="127" t="s">
        <v>39</v>
      </c>
      <c r="D23" s="108"/>
      <c r="E23" s="108"/>
      <c r="F23" s="108"/>
      <c r="G23" s="108"/>
      <c r="H23" s="124"/>
      <c r="I23" s="101"/>
    </row>
    <row r="24" spans="1:9" hidden="1"/>
    <row r="25" spans="1:9" hidden="1"/>
    <row r="26" spans="1:9" ht="15" hidden="1">
      <c r="A26" s="106"/>
      <c r="B26" s="80" t="s">
        <v>40</v>
      </c>
      <c r="C26" s="125" t="str">
        <f>VLOOKUP(B26,'Preços de Referência'!$F$74:$J$83,2,FALSE)</f>
        <v>Escritório</v>
      </c>
      <c r="D26" s="80" t="str">
        <f>VLOOKUP(B26,'Preços de Referência'!$F$74:$J$83,4,FALSE)</f>
        <v>ocupante x mês</v>
      </c>
      <c r="E26" s="81">
        <v>3</v>
      </c>
      <c r="F26" s="81">
        <f>'Preços de Referência'!$O$28</f>
        <v>7.3330000000000002</v>
      </c>
      <c r="G26" s="89">
        <f>VLOOKUP(B26,'Preços de Referência'!$F$74:$J$83,5,FALSE)</f>
        <v>135.22</v>
      </c>
      <c r="H26" s="88">
        <f>G26/'Preços de Referência'!$O$30</f>
        <v>0.74097210806071556</v>
      </c>
      <c r="I26" s="91">
        <f>H26*F26*E26</f>
        <v>16.30064540522768</v>
      </c>
    </row>
    <row r="27" spans="1:9" ht="15">
      <c r="A27" s="223"/>
      <c r="B27" s="193"/>
      <c r="C27" s="82"/>
      <c r="D27" s="82"/>
      <c r="E27" s="82"/>
      <c r="F27" s="82"/>
      <c r="G27" s="248"/>
      <c r="H27" s="251" t="s">
        <v>41</v>
      </c>
      <c r="I27" s="224">
        <f>I7+I13+I15+I18</f>
        <v>4471.3913407949585</v>
      </c>
    </row>
    <row r="28" spans="1:9" ht="15">
      <c r="A28" s="83"/>
      <c r="B28" s="83"/>
      <c r="C28" s="83"/>
      <c r="D28" s="83"/>
      <c r="E28" s="83"/>
      <c r="F28" s="83"/>
      <c r="G28" s="249" t="s">
        <v>42</v>
      </c>
      <c r="H28" s="252">
        <f>BDI!$D$17</f>
        <v>0.44579999999999997</v>
      </c>
      <c r="I28" s="94">
        <f>I27*H28</f>
        <v>1993.3462597263924</v>
      </c>
    </row>
    <row r="29" spans="1:9" ht="15.75" thickBot="1">
      <c r="A29" s="226"/>
      <c r="B29" s="194"/>
      <c r="C29" s="194"/>
      <c r="D29" s="95"/>
      <c r="E29" s="95"/>
      <c r="F29" s="95"/>
      <c r="G29" s="250"/>
      <c r="H29" s="253" t="s">
        <v>43</v>
      </c>
      <c r="I29" s="96">
        <f>I27+I28</f>
        <v>6464.7376005213509</v>
      </c>
    </row>
    <row r="31" spans="1:9">
      <c r="F31" s="585" t="s">
        <v>44</v>
      </c>
      <c r="G31" s="586"/>
      <c r="H31" s="586"/>
      <c r="I31" s="587"/>
    </row>
    <row r="32" spans="1:9">
      <c r="F32" s="109" t="str">
        <f>A2</f>
        <v>Bloco 1</v>
      </c>
      <c r="G32" s="109" t="s">
        <v>45</v>
      </c>
      <c r="H32" s="109" t="s">
        <v>46</v>
      </c>
      <c r="I32" s="109" t="s">
        <v>47</v>
      </c>
    </row>
    <row r="33" spans="6:9">
      <c r="F33" s="4">
        <f>A3</f>
        <v>2</v>
      </c>
      <c r="G33" s="157">
        <v>18</v>
      </c>
      <c r="H33" s="5">
        <f>I29</f>
        <v>6464.7376005213509</v>
      </c>
      <c r="I33" s="5">
        <f>G33*H33</f>
        <v>116365.27680938432</v>
      </c>
    </row>
  </sheetData>
  <mergeCells count="7">
    <mergeCell ref="F31:I31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7D953-35A5-43CB-B91E-125A6B53AEA0}">
  <sheetPr>
    <tabColor theme="9" tint="0.39997558519241921"/>
    <pageSetUpPr fitToPage="1"/>
  </sheetPr>
  <dimension ref="A1:I34"/>
  <sheetViews>
    <sheetView showGridLines="0" topLeftCell="A5" zoomScale="80" zoomScaleNormal="80" workbookViewId="0">
      <selection activeCell="H34" sqref="H34:I34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11.5703125" style="3" customWidth="1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9.28515625" style="3"/>
    <col min="11" max="11" width="10" style="3" bestFit="1" customWidth="1"/>
    <col min="12" max="12" width="7" style="3" bestFit="1" customWidth="1"/>
    <col min="13" max="16384" width="9.28515625" style="3"/>
  </cols>
  <sheetData>
    <row r="1" spans="1:9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</row>
    <row r="2" spans="1:9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</row>
    <row r="3" spans="1:9" s="6" customFormat="1" ht="16.5" thickBot="1">
      <c r="A3" s="117">
        <f>PRODUTOS!A6</f>
        <v>3</v>
      </c>
      <c r="B3" s="118" t="str">
        <f>PRODUTOS!B6</f>
        <v>CONSULTA PÚBLICA/REUNIÃO PÚBLICA/REUNIÃO TÉCNICA – TIPO II</v>
      </c>
      <c r="C3" s="119"/>
      <c r="D3" s="120"/>
      <c r="E3" s="119" t="str">
        <f>PRODUTOS!C6</f>
        <v>CON.PUB.II</v>
      </c>
      <c r="F3" s="120"/>
      <c r="G3" s="118"/>
      <c r="H3" s="121"/>
      <c r="I3" s="122"/>
    </row>
    <row r="4" spans="1:9" s="6" customFormat="1" ht="15.75">
      <c r="A4" s="102"/>
      <c r="B4" s="75"/>
      <c r="C4" s="98"/>
      <c r="D4" s="98"/>
      <c r="E4" s="98"/>
      <c r="F4" s="97"/>
      <c r="G4" s="75"/>
      <c r="H4" s="99"/>
      <c r="I4" s="103"/>
    </row>
    <row r="5" spans="1:9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</row>
    <row r="6" spans="1:9" ht="14.2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</row>
    <row r="7" spans="1:9" ht="1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SUM(I8:I12)</f>
        <v>2768.8679079949584</v>
      </c>
    </row>
    <row r="8" spans="1:9" ht="15">
      <c r="A8" s="106"/>
      <c r="B8" s="80" t="s">
        <v>240</v>
      </c>
      <c r="C8" s="125" t="str">
        <f>VLOOKUP(B8,'Preços de Referência'!$A$5:$C$103,2,FALSE)</f>
        <v>Geólogo júnior</v>
      </c>
      <c r="D8" s="134" t="s">
        <v>15</v>
      </c>
      <c r="E8" s="81">
        <v>1</v>
      </c>
      <c r="F8" s="81">
        <f>'Preços de Referência'!$O$28</f>
        <v>7.3330000000000002</v>
      </c>
      <c r="G8" s="88">
        <f>VLOOKUP(B8,'Preços de Referência'!$A$5:$C$103,3,FALSE)</f>
        <v>19052.8</v>
      </c>
      <c r="H8" s="88">
        <f>G8/'Preços de Referência'!$O$30</f>
        <v>104.40462491095401</v>
      </c>
      <c r="I8" s="91">
        <f>H8*F8*E8</f>
        <v>765.5991144720258</v>
      </c>
    </row>
    <row r="9" spans="1:9" ht="15">
      <c r="A9" s="106"/>
      <c r="B9" s="80" t="s">
        <v>174</v>
      </c>
      <c r="C9" s="125" t="str">
        <f>VLOOKUP(B9,'Preços de Referência'!$A$5:$C$103,2,FALSE)</f>
        <v>Biólogo júnior</v>
      </c>
      <c r="D9" s="134" t="s">
        <v>15</v>
      </c>
      <c r="E9" s="81">
        <v>1</v>
      </c>
      <c r="F9" s="81">
        <f>'Preços de Referência'!$O$28</f>
        <v>7.3330000000000002</v>
      </c>
      <c r="G9" s="88">
        <f>VLOOKUP(B9,'Preços de Referência'!$A$5:$C$103,3,FALSE)</f>
        <v>6869.32</v>
      </c>
      <c r="H9" s="88">
        <f>G9/'Preços de Referência'!$O$30</f>
        <v>37.642172173817741</v>
      </c>
      <c r="I9" s="91">
        <f>H9*F9*E9</f>
        <v>276.0300485506055</v>
      </c>
    </row>
    <row r="10" spans="1:9" ht="15">
      <c r="A10" s="106"/>
      <c r="B10" s="80" t="s">
        <v>299</v>
      </c>
      <c r="C10" s="125" t="str">
        <f>VLOOKUP(B10,'Preços de Referência'!$A$5:$C$103,2,FALSE)</f>
        <v>Sociólogo júnior</v>
      </c>
      <c r="D10" s="134" t="s">
        <v>15</v>
      </c>
      <c r="E10" s="81">
        <v>1</v>
      </c>
      <c r="F10" s="81">
        <f>'Preços de Referência'!$O$28</f>
        <v>7.3330000000000002</v>
      </c>
      <c r="G10" s="88">
        <f>VLOOKUP(B10,'Preços de Referência'!$A$5:$C$103,3,FALSE)</f>
        <v>8353.6</v>
      </c>
      <c r="H10" s="88">
        <f>G10/'Preços de Referência'!$O$30</f>
        <v>45.775658940215905</v>
      </c>
      <c r="I10" s="91">
        <f>H10*F10*E10</f>
        <v>335.67290700860326</v>
      </c>
    </row>
    <row r="11" spans="1:9" ht="15">
      <c r="A11" s="106"/>
      <c r="B11" s="80" t="s">
        <v>232</v>
      </c>
      <c r="C11" s="125" t="str">
        <f>VLOOKUP(B11,'Preços de Referência'!$A$5:$C$103,2,FALSE)</f>
        <v>Engenheiro florestal júnior</v>
      </c>
      <c r="D11" s="134" t="s">
        <v>15</v>
      </c>
      <c r="E11" s="81">
        <v>1</v>
      </c>
      <c r="F11" s="81">
        <f>'Preços de Referência'!$O$28</f>
        <v>7.3330000000000002</v>
      </c>
      <c r="G11" s="88">
        <f>VLOOKUP(B11,'Preços de Referência'!$A$5:$C$103,3,FALSE)</f>
        <v>22670.05</v>
      </c>
      <c r="H11" s="88">
        <f>G11/'Preços de Referência'!$O$30</f>
        <v>124.2262589730944</v>
      </c>
      <c r="I11" s="91">
        <f>H11*F11*E11</f>
        <v>910.95115704970124</v>
      </c>
    </row>
    <row r="12" spans="1:9" ht="15">
      <c r="A12" s="106"/>
      <c r="B12" s="80" t="s">
        <v>167</v>
      </c>
      <c r="C12" s="125" t="str">
        <f>VLOOKUP(B12,'Preços de Referência'!$A$5:$C$103,2,FALSE)</f>
        <v>Auxiliar</v>
      </c>
      <c r="D12" s="134" t="s">
        <v>15</v>
      </c>
      <c r="E12" s="81">
        <v>1</v>
      </c>
      <c r="F12" s="81">
        <f>'Preços de Referência'!$O$28*3</f>
        <v>21.999000000000002</v>
      </c>
      <c r="G12" s="88">
        <f>VLOOKUP(B12,'Preços de Referência'!$A$5:$C$103,3,FALSE)</f>
        <v>3986.88</v>
      </c>
      <c r="H12" s="88">
        <f>G12/'Preços de Referência'!$O$30</f>
        <v>21.847114910406049</v>
      </c>
      <c r="I12" s="91">
        <f>H12*F12*E12</f>
        <v>480.6146809140227</v>
      </c>
    </row>
    <row r="13" spans="1:9" ht="15">
      <c r="A13" s="128" t="s">
        <v>21</v>
      </c>
      <c r="B13" s="107"/>
      <c r="C13" s="126" t="s">
        <v>22</v>
      </c>
      <c r="D13" s="107"/>
      <c r="E13" s="107"/>
      <c r="F13" s="107"/>
      <c r="G13" s="107"/>
      <c r="H13" s="123"/>
      <c r="I13" s="100">
        <f>SUM(I14:I15)</f>
        <v>4554.8753508000009</v>
      </c>
    </row>
    <row r="14" spans="1:9" ht="28.5" customHeight="1">
      <c r="A14" s="106"/>
      <c r="B14" s="80" t="s">
        <v>355</v>
      </c>
      <c r="C14" s="125" t="str">
        <f>VLOOKUP(B14,'Preços de Referência'!$E$4:$P$6,2,FALSE)</f>
        <v>Veículo leve - 53 kW (sem motorista)</v>
      </c>
      <c r="D14" s="134" t="s">
        <v>15</v>
      </c>
      <c r="E14" s="81">
        <v>1</v>
      </c>
      <c r="F14" s="81">
        <f>'Preços de Referência'!$O$28*3</f>
        <v>21.999000000000002</v>
      </c>
      <c r="G14" s="88">
        <f>VLOOKUP(B14,'Preços de Referência'!$E$4:$P$6,10,FALSE)</f>
        <v>2959.4861999999998</v>
      </c>
      <c r="H14" s="88">
        <f>VLOOKUP(B14,'Preços de Referência'!$E$4:$P$6,12,FALSE)</f>
        <v>16.217199999999998</v>
      </c>
      <c r="I14" s="91">
        <f>H14*F14*E14</f>
        <v>356.76218280000001</v>
      </c>
    </row>
    <row r="15" spans="1:9" ht="28.5" customHeight="1">
      <c r="A15" s="106"/>
      <c r="B15" s="80" t="s">
        <v>451</v>
      </c>
      <c r="C15" s="125" t="str">
        <f>VLOOKUP(B15,'Preços de Referência'!$E$4:$P$6,2,FALSE)</f>
        <v>Veículo tipo van furgão com capacidade de 1,38 t - 100 kW (com motorista)</v>
      </c>
      <c r="D15" s="158" t="s">
        <v>15</v>
      </c>
      <c r="E15" s="81">
        <v>10</v>
      </c>
      <c r="F15" s="81">
        <f>'Preços de Referência'!$O$28</f>
        <v>7.3330000000000002</v>
      </c>
      <c r="G15" s="88">
        <f>VLOOKUP(B15,'Preços de Referência'!$E$4:$P$6,10,FALSE)</f>
        <v>10447.483200000001</v>
      </c>
      <c r="H15" s="88">
        <f>VLOOKUP(B15,'Preços de Referência'!$E$4:$P$6,12,FALSE)</f>
        <v>57.249600000000001</v>
      </c>
      <c r="I15" s="91">
        <f>H15*F15*E15</f>
        <v>4198.1131680000008</v>
      </c>
    </row>
    <row r="16" spans="1:9" ht="30">
      <c r="A16" s="128" t="s">
        <v>24</v>
      </c>
      <c r="B16" s="107"/>
      <c r="C16" s="126" t="s">
        <v>476</v>
      </c>
      <c r="D16" s="107"/>
      <c r="E16" s="123" t="s">
        <v>479</v>
      </c>
      <c r="F16" s="123" t="s">
        <v>475</v>
      </c>
      <c r="G16" s="107" t="s">
        <v>477</v>
      </c>
      <c r="H16" s="123" t="s">
        <v>478</v>
      </c>
      <c r="I16" s="100">
        <f>SUM(I17:I18)</f>
        <v>3840.2112499999998</v>
      </c>
    </row>
    <row r="17" spans="1:9" ht="15">
      <c r="A17" s="106"/>
      <c r="B17" s="80" t="s">
        <v>457</v>
      </c>
      <c r="C17" s="125" t="s">
        <v>357</v>
      </c>
      <c r="D17" s="134"/>
      <c r="E17" s="229">
        <v>100</v>
      </c>
      <c r="F17" s="353">
        <v>1</v>
      </c>
      <c r="G17" s="208">
        <f>'Preços de Referência'!$H$54</f>
        <v>30.86</v>
      </c>
      <c r="I17" s="209">
        <f>E17*F17*G17</f>
        <v>3086</v>
      </c>
    </row>
    <row r="18" spans="1:9" ht="28.5">
      <c r="A18" s="106"/>
      <c r="B18" s="80" t="s">
        <v>481</v>
      </c>
      <c r="C18" s="125" t="str">
        <f>VLOOKUP(B18,'Preços de Referência'!$E$60:$M$62,2,FALSE)</f>
        <v>Aluguel de espaço até 100 participantes</v>
      </c>
      <c r="D18" s="134"/>
      <c r="E18" s="202">
        <v>1</v>
      </c>
      <c r="F18" s="353">
        <v>3</v>
      </c>
      <c r="G18" s="354">
        <f>VLOOKUP(B18,'Preços de Referência'!$E$60:$M$62,9,FALSE)</f>
        <v>251.40374999999997</v>
      </c>
      <c r="H18" s="315" t="s">
        <v>80</v>
      </c>
      <c r="I18" s="209">
        <f>E18*F18*G18</f>
        <v>754.21124999999995</v>
      </c>
    </row>
    <row r="19" spans="1:9" ht="15" hidden="1">
      <c r="A19" s="128" t="s">
        <v>30</v>
      </c>
      <c r="B19" s="107"/>
      <c r="C19" s="126" t="s">
        <v>31</v>
      </c>
      <c r="D19" s="107"/>
      <c r="E19" s="107"/>
      <c r="F19" s="107"/>
      <c r="G19" s="107"/>
      <c r="H19" s="123"/>
      <c r="I19" s="100">
        <v>0</v>
      </c>
    </row>
    <row r="20" spans="1:9" ht="15" hidden="1">
      <c r="A20" s="129" t="s">
        <v>32</v>
      </c>
      <c r="B20" s="108"/>
      <c r="C20" s="127" t="s">
        <v>33</v>
      </c>
      <c r="D20" s="108"/>
      <c r="E20" s="108"/>
      <c r="F20" s="108"/>
      <c r="G20" s="108"/>
      <c r="H20" s="124"/>
      <c r="I20" s="101"/>
    </row>
    <row r="21" spans="1:9" ht="28.5" hidden="1">
      <c r="A21" s="106"/>
      <c r="B21" s="80" t="s">
        <v>34</v>
      </c>
      <c r="C21" s="125" t="str">
        <f>VLOOKUP(B21,'Preços de Referência'!$F$74:$J$83,2,FALSE)</f>
        <v>Comercial (2,60% do CMCC - SINAPI)</v>
      </c>
      <c r="D21" s="80" t="str">
        <f>VLOOKUP(B21,'Preços de Referência'!$F$74:$J$83,4,FALSE)</f>
        <v>m² x mês</v>
      </c>
      <c r="E21" s="81">
        <f>12.41*3</f>
        <v>37.230000000000004</v>
      </c>
      <c r="F21" s="81">
        <f>'Preços de Referência'!$O$28</f>
        <v>7.3330000000000002</v>
      </c>
      <c r="G21" s="89">
        <f>VLOOKUP(B21,'Preços de Referência'!$F$74:$J$83,5,FALSE)</f>
        <v>47.75</v>
      </c>
      <c r="H21" s="88">
        <f>G21/'Preços de Referência'!$O$30</f>
        <v>0.26165817305057809</v>
      </c>
      <c r="I21" s="91">
        <v>0</v>
      </c>
    </row>
    <row r="22" spans="1:9" ht="15" hidden="1">
      <c r="A22" s="129" t="s">
        <v>35</v>
      </c>
      <c r="B22" s="108"/>
      <c r="C22" s="127" t="s">
        <v>36</v>
      </c>
      <c r="D22" s="108"/>
      <c r="E22" s="108"/>
      <c r="F22" s="108"/>
      <c r="G22" s="108"/>
      <c r="H22" s="124"/>
      <c r="I22" s="101"/>
    </row>
    <row r="23" spans="1:9" ht="15" hidden="1">
      <c r="A23" s="106"/>
      <c r="B23" s="80" t="s">
        <v>37</v>
      </c>
      <c r="C23" s="125" t="str">
        <f>VLOOKUP(B23,'Preços de Referência'!$F$74:$J$83,2,FALSE)</f>
        <v>Escritório</v>
      </c>
      <c r="D23" s="80" t="str">
        <f>VLOOKUP(B23,'Preços de Referência'!$F$74:$J$83,4,FALSE)</f>
        <v>ocupante x mês</v>
      </c>
      <c r="E23" s="81">
        <v>3</v>
      </c>
      <c r="F23" s="81">
        <f>'Preços de Referência'!$O$28</f>
        <v>7.3330000000000002</v>
      </c>
      <c r="G23" s="89">
        <f>VLOOKUP(B23,'Preços de Referência'!$F$74:$J$83,5,FALSE)</f>
        <v>490.4</v>
      </c>
      <c r="H23" s="88">
        <f>G23/'Preços de Referência'!$O$30</f>
        <v>2.6872705353718009</v>
      </c>
      <c r="I23" s="91">
        <f>H23*F23*E23</f>
        <v>59.117264507644251</v>
      </c>
    </row>
    <row r="24" spans="1:9" ht="15" hidden="1">
      <c r="A24" s="129" t="s">
        <v>38</v>
      </c>
      <c r="B24" s="108"/>
      <c r="C24" s="127" t="s">
        <v>39</v>
      </c>
      <c r="D24" s="108"/>
      <c r="E24" s="108"/>
      <c r="F24" s="108"/>
      <c r="G24" s="108"/>
      <c r="H24" s="124"/>
      <c r="I24" s="101"/>
    </row>
    <row r="25" spans="1:9" hidden="1"/>
    <row r="26" spans="1:9" hidden="1"/>
    <row r="27" spans="1:9" ht="15" hidden="1">
      <c r="A27" s="106"/>
      <c r="B27" s="80" t="s">
        <v>40</v>
      </c>
      <c r="C27" s="125" t="str">
        <f>VLOOKUP(B27,'Preços de Referência'!$F$74:$J$83,2,FALSE)</f>
        <v>Escritório</v>
      </c>
      <c r="D27" s="80" t="str">
        <f>VLOOKUP(B27,'Preços de Referência'!$F$74:$J$83,4,FALSE)</f>
        <v>ocupante x mês</v>
      </c>
      <c r="E27" s="81">
        <v>3</v>
      </c>
      <c r="F27" s="81">
        <f>'Preços de Referência'!$O$28</f>
        <v>7.3330000000000002</v>
      </c>
      <c r="G27" s="89">
        <f>VLOOKUP(B27,'Preços de Referência'!$F$74:$J$83,5,FALSE)</f>
        <v>135.22</v>
      </c>
      <c r="H27" s="88">
        <f>G27/'Preços de Referência'!$O$30</f>
        <v>0.74097210806071556</v>
      </c>
      <c r="I27" s="91">
        <f>H27*F27*E27</f>
        <v>16.30064540522768</v>
      </c>
    </row>
    <row r="28" spans="1:9" ht="15">
      <c r="A28" s="223"/>
      <c r="B28" s="193"/>
      <c r="C28" s="82"/>
      <c r="D28" s="82"/>
      <c r="E28" s="82"/>
      <c r="F28" s="82"/>
      <c r="G28" s="248"/>
      <c r="H28" s="251" t="s">
        <v>41</v>
      </c>
      <c r="I28" s="92">
        <f>I7+I13+I16+I19</f>
        <v>11163.954508794959</v>
      </c>
    </row>
    <row r="29" spans="1:9" ht="15">
      <c r="A29" s="83"/>
      <c r="B29" s="83"/>
      <c r="C29" s="83"/>
      <c r="D29" s="83"/>
      <c r="E29" s="83"/>
      <c r="F29" s="83"/>
      <c r="G29" s="249" t="s">
        <v>42</v>
      </c>
      <c r="H29" s="252">
        <f>BDI!$D$17</f>
        <v>0.44579999999999997</v>
      </c>
      <c r="I29" s="94">
        <f>I28*H29</f>
        <v>4976.8909200207927</v>
      </c>
    </row>
    <row r="30" spans="1:9" ht="15.75" thickBot="1">
      <c r="A30" s="226"/>
      <c r="B30" s="194"/>
      <c r="C30" s="194"/>
      <c r="D30" s="95"/>
      <c r="E30" s="95"/>
      <c r="F30" s="95"/>
      <c r="G30" s="250"/>
      <c r="H30" s="253" t="s">
        <v>43</v>
      </c>
      <c r="I30" s="96">
        <f>I28+I29</f>
        <v>16140.845428815752</v>
      </c>
    </row>
    <row r="32" spans="1:9">
      <c r="F32" s="585" t="s">
        <v>44</v>
      </c>
      <c r="G32" s="586"/>
      <c r="H32" s="586"/>
      <c r="I32" s="587"/>
    </row>
    <row r="33" spans="6:9">
      <c r="F33" s="109" t="str">
        <f>A2</f>
        <v>Bloco 1</v>
      </c>
      <c r="G33" s="109" t="s">
        <v>45</v>
      </c>
      <c r="H33" s="109" t="s">
        <v>46</v>
      </c>
      <c r="I33" s="109" t="s">
        <v>47</v>
      </c>
    </row>
    <row r="34" spans="6:9">
      <c r="F34" s="4">
        <f>A3</f>
        <v>3</v>
      </c>
      <c r="G34" s="157">
        <v>18</v>
      </c>
      <c r="H34" s="5">
        <f>I30</f>
        <v>16140.845428815752</v>
      </c>
      <c r="I34" s="5">
        <f>G34*H34</f>
        <v>290535.21771868353</v>
      </c>
    </row>
  </sheetData>
  <mergeCells count="7">
    <mergeCell ref="F32:I32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4669B-A49F-44C4-ADF6-83D042AC8267}">
  <sheetPr>
    <tabColor theme="9" tint="0.39997558519241921"/>
    <pageSetUpPr fitToPage="1"/>
  </sheetPr>
  <dimension ref="A1:I34"/>
  <sheetViews>
    <sheetView showGridLines="0" zoomScale="80" zoomScaleNormal="80" workbookViewId="0">
      <selection activeCell="H34" sqref="H34:I34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11.5703125" style="3" customWidth="1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9.28515625" style="3"/>
    <col min="11" max="11" width="10" style="3" bestFit="1" customWidth="1"/>
    <col min="12" max="12" width="7" style="3" bestFit="1" customWidth="1"/>
    <col min="13" max="16384" width="9.28515625" style="3"/>
  </cols>
  <sheetData>
    <row r="1" spans="1:9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</row>
    <row r="2" spans="1:9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</row>
    <row r="3" spans="1:9" s="6" customFormat="1" ht="16.5" thickBot="1">
      <c r="A3" s="117">
        <f>PRODUTOS!A7</f>
        <v>4</v>
      </c>
      <c r="B3" s="118" t="str">
        <f>PRODUTOS!B7</f>
        <v>AUDIÊNCIA PÚBLICA</v>
      </c>
      <c r="C3" s="119"/>
      <c r="D3" s="119" t="str">
        <f>PRODUTOS!C7</f>
        <v>AUD.PUB</v>
      </c>
      <c r="E3" s="119"/>
      <c r="F3" s="120"/>
      <c r="G3" s="118"/>
      <c r="H3" s="121"/>
      <c r="I3" s="122"/>
    </row>
    <row r="4" spans="1:9" s="6" customFormat="1" ht="15.75">
      <c r="A4" s="102"/>
      <c r="B4" s="75"/>
      <c r="C4" s="98"/>
      <c r="D4" s="98"/>
      <c r="E4" s="98"/>
      <c r="F4" s="97"/>
      <c r="G4" s="75"/>
      <c r="H4" s="99"/>
      <c r="I4" s="103"/>
    </row>
    <row r="5" spans="1:9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</row>
    <row r="6" spans="1:9" ht="14.2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</row>
    <row r="7" spans="1:9" ht="1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SUM(I8:I12)</f>
        <v>9458.9688619650387</v>
      </c>
    </row>
    <row r="8" spans="1:9" ht="15">
      <c r="A8" s="106"/>
      <c r="B8" s="80" t="s">
        <v>240</v>
      </c>
      <c r="C8" s="125" t="str">
        <f>VLOOKUP(B8,'Preços de Referência'!$A$5:$C$103,2,FALSE)</f>
        <v>Geólogo júnior</v>
      </c>
      <c r="D8" s="134" t="s">
        <v>15</v>
      </c>
      <c r="E8" s="81">
        <v>1</v>
      </c>
      <c r="F8" s="81">
        <f>'Preços de Referência'!$O$28*2</f>
        <v>14.666</v>
      </c>
      <c r="G8" s="88">
        <f>VLOOKUP(B8,'Preços de Referência'!$A$5:$C$103,3,FALSE)</f>
        <v>19052.8</v>
      </c>
      <c r="H8" s="88">
        <f>G8/'Preços de Referência'!$O$30</f>
        <v>104.40462491095401</v>
      </c>
      <c r="I8" s="91">
        <f>H8*F8*E8</f>
        <v>1531.1982289440516</v>
      </c>
    </row>
    <row r="9" spans="1:9" ht="15">
      <c r="A9" s="106"/>
      <c r="B9" s="80" t="s">
        <v>174</v>
      </c>
      <c r="C9" s="125" t="str">
        <f>VLOOKUP(B9,'Preços de Referência'!$A$5:$C$103,2,FALSE)</f>
        <v>Biólogo júnior</v>
      </c>
      <c r="D9" s="134" t="s">
        <v>15</v>
      </c>
      <c r="E9" s="81">
        <v>1</v>
      </c>
      <c r="F9" s="81">
        <f>'Preços de Referência'!$O$28*2</f>
        <v>14.666</v>
      </c>
      <c r="G9" s="88">
        <f>VLOOKUP(B9,'Preços de Referência'!$A$5:$C$103,3,FALSE)</f>
        <v>6869.32</v>
      </c>
      <c r="H9" s="88">
        <f>G9/'Preços de Referência'!$O$30</f>
        <v>37.642172173817741</v>
      </c>
      <c r="I9" s="91">
        <f>H9*F9*E9</f>
        <v>552.060097101211</v>
      </c>
    </row>
    <row r="10" spans="1:9" ht="15">
      <c r="A10" s="106"/>
      <c r="B10" s="80" t="s">
        <v>299</v>
      </c>
      <c r="C10" s="125" t="str">
        <f>VLOOKUP(B10,'Preços de Referência'!$A$5:$C$103,2,FALSE)</f>
        <v>Sociólogo júnior</v>
      </c>
      <c r="D10" s="134" t="s">
        <v>15</v>
      </c>
      <c r="E10" s="81">
        <v>1</v>
      </c>
      <c r="F10" s="81">
        <f>'Preços de Referência'!$O$28*7</f>
        <v>51.331000000000003</v>
      </c>
      <c r="G10" s="88">
        <f>VLOOKUP(B10,'Preços de Referência'!$A$5:$C$103,3,FALSE)</f>
        <v>8353.6</v>
      </c>
      <c r="H10" s="88">
        <f>G10/'Preços de Referência'!$O$30</f>
        <v>45.775658940215905</v>
      </c>
      <c r="I10" s="91">
        <f>H10*F10*E10</f>
        <v>2349.7103490602226</v>
      </c>
    </row>
    <row r="11" spans="1:9" ht="15">
      <c r="A11" s="106"/>
      <c r="B11" s="80" t="s">
        <v>232</v>
      </c>
      <c r="C11" s="125" t="str">
        <f>VLOOKUP(B11,'Preços de Referência'!$A$5:$C$103,2,FALSE)</f>
        <v>Engenheiro florestal júnior</v>
      </c>
      <c r="D11" s="134" t="s">
        <v>15</v>
      </c>
      <c r="E11" s="81">
        <v>1</v>
      </c>
      <c r="F11" s="81">
        <f>'Preços de Referência'!$O$28*2</f>
        <v>14.666</v>
      </c>
      <c r="G11" s="88">
        <f>VLOOKUP(B11,'Preços de Referência'!$A$5:$C$103,3,FALSE)</f>
        <v>22670.05</v>
      </c>
      <c r="H11" s="88">
        <f>G11/'Preços de Referência'!$O$30</f>
        <v>124.2262589730944</v>
      </c>
      <c r="I11" s="91">
        <f>H11*F11*E11</f>
        <v>1821.9023140994025</v>
      </c>
    </row>
    <row r="12" spans="1:9" ht="15">
      <c r="A12" s="106"/>
      <c r="B12" s="80" t="s">
        <v>167</v>
      </c>
      <c r="C12" s="125" t="str">
        <f>VLOOKUP(B12,'Preços de Referência'!$A$5:$C$103,2,FALSE)</f>
        <v>Auxiliar</v>
      </c>
      <c r="D12" s="134" t="s">
        <v>15</v>
      </c>
      <c r="E12" s="81">
        <v>2</v>
      </c>
      <c r="F12" s="81">
        <f>'Preços de Referência'!$O$28*10</f>
        <v>73.33</v>
      </c>
      <c r="G12" s="88">
        <f>VLOOKUP(B12,'Preços de Referência'!$A$5:$C$103,3,FALSE)</f>
        <v>3986.88</v>
      </c>
      <c r="H12" s="88">
        <f>G12/'Preços de Referência'!$O$30</f>
        <v>21.847114910406049</v>
      </c>
      <c r="I12" s="91">
        <f>H12*F12*E12</f>
        <v>3204.0978727601509</v>
      </c>
    </row>
    <row r="13" spans="1:9" ht="15">
      <c r="A13" s="128" t="s">
        <v>21</v>
      </c>
      <c r="B13" s="107"/>
      <c r="C13" s="126" t="s">
        <v>22</v>
      </c>
      <c r="D13" s="107"/>
      <c r="E13" s="107"/>
      <c r="F13" s="107"/>
      <c r="G13" s="107"/>
      <c r="H13" s="123"/>
      <c r="I13" s="100">
        <f>SUM(I14:I15)</f>
        <v>6713.5243655999993</v>
      </c>
    </row>
    <row r="14" spans="1:9" ht="28.5" customHeight="1">
      <c r="A14" s="106"/>
      <c r="B14" s="80" t="s">
        <v>355</v>
      </c>
      <c r="C14" s="125" t="str">
        <f>VLOOKUP(B14,'Preços de Referência'!$E$4:$P$5,2,FALSE)</f>
        <v>Veículo leve - 53 kW (sem motorista)</v>
      </c>
      <c r="D14" s="134" t="s">
        <v>15</v>
      </c>
      <c r="E14" s="81">
        <v>2</v>
      </c>
      <c r="F14" s="81">
        <f>'Preços de Referência'!$O$28*3</f>
        <v>21.999000000000002</v>
      </c>
      <c r="G14" s="88">
        <f>VLOOKUP(B14,'Preços de Referência'!$E$4:$P$5,10,FALSE)</f>
        <v>2959.4861999999998</v>
      </c>
      <c r="H14" s="88">
        <f>VLOOKUP(B14,'Preços de Referência'!$E$4:$P$5,12,FALSE)</f>
        <v>16.217199999999998</v>
      </c>
      <c r="I14" s="91">
        <f>H14*F14*E14</f>
        <v>713.52436560000001</v>
      </c>
    </row>
    <row r="15" spans="1:9" ht="28.5" customHeight="1">
      <c r="A15" s="106"/>
      <c r="B15" s="84" t="s">
        <v>458</v>
      </c>
      <c r="C15" s="125" t="s">
        <v>358</v>
      </c>
      <c r="D15" s="158" t="s">
        <v>15</v>
      </c>
      <c r="E15" s="81">
        <v>3</v>
      </c>
      <c r="F15" s="81">
        <f>'Preços de Referência'!$O$28</f>
        <v>7.3330000000000002</v>
      </c>
      <c r="G15" s="88">
        <v>2000</v>
      </c>
      <c r="H15" s="88">
        <f>G15/F15</f>
        <v>272.7396699849993</v>
      </c>
      <c r="I15" s="91">
        <f>H15*F15*E15</f>
        <v>5999.9999999999991</v>
      </c>
    </row>
    <row r="16" spans="1:9" ht="30">
      <c r="A16" s="128" t="s">
        <v>24</v>
      </c>
      <c r="B16" s="107"/>
      <c r="C16" s="126" t="s">
        <v>476</v>
      </c>
      <c r="D16" s="107"/>
      <c r="E16" s="123" t="s">
        <v>479</v>
      </c>
      <c r="F16" s="123" t="s">
        <v>475</v>
      </c>
      <c r="G16" s="107" t="s">
        <v>477</v>
      </c>
      <c r="H16" s="123" t="s">
        <v>478</v>
      </c>
      <c r="I16" s="100">
        <f>SUM(I17:I18)</f>
        <v>5621.9612500000003</v>
      </c>
    </row>
    <row r="17" spans="1:9" ht="15">
      <c r="A17" s="106"/>
      <c r="B17" s="80" t="s">
        <v>457</v>
      </c>
      <c r="C17" s="125" t="s">
        <v>359</v>
      </c>
      <c r="D17" s="134"/>
      <c r="E17" s="229">
        <v>150</v>
      </c>
      <c r="F17" s="353">
        <v>1</v>
      </c>
      <c r="G17" s="208">
        <f>'Preços de Referência'!$H$54</f>
        <v>30.86</v>
      </c>
      <c r="I17" s="209">
        <f>E17*F17*G17</f>
        <v>4629</v>
      </c>
    </row>
    <row r="18" spans="1:9" ht="28.5">
      <c r="A18" s="106"/>
      <c r="B18" s="80" t="s">
        <v>482</v>
      </c>
      <c r="C18" s="125" t="str">
        <f>VLOOKUP(B18,'Preços de Referência'!$E$60:$M$62,2,FALSE)</f>
        <v>Aluguel de espaço até 150 participantes</v>
      </c>
      <c r="D18" s="134"/>
      <c r="E18" s="202">
        <v>1</v>
      </c>
      <c r="F18" s="353">
        <v>3</v>
      </c>
      <c r="G18" s="354">
        <f>VLOOKUP(B18,'Preços de Referência'!$E$60:$M$62,9,FALSE)</f>
        <v>330.98708333333332</v>
      </c>
      <c r="H18" s="315" t="s">
        <v>80</v>
      </c>
      <c r="I18" s="209">
        <f>E18*F18*G18</f>
        <v>992.96124999999995</v>
      </c>
    </row>
    <row r="19" spans="1:9" ht="15" hidden="1">
      <c r="A19" s="128" t="s">
        <v>30</v>
      </c>
      <c r="B19" s="107"/>
      <c r="C19" s="126" t="s">
        <v>31</v>
      </c>
      <c r="D19" s="107"/>
      <c r="E19" s="107"/>
      <c r="F19" s="107"/>
      <c r="G19" s="107"/>
      <c r="H19" s="123"/>
      <c r="I19" s="100">
        <v>0</v>
      </c>
    </row>
    <row r="20" spans="1:9" ht="15" hidden="1">
      <c r="A20" s="129" t="s">
        <v>32</v>
      </c>
      <c r="B20" s="108"/>
      <c r="C20" s="127" t="s">
        <v>33</v>
      </c>
      <c r="D20" s="108"/>
      <c r="E20" s="108"/>
      <c r="F20" s="108"/>
      <c r="G20" s="108"/>
      <c r="H20" s="124"/>
      <c r="I20" s="101"/>
    </row>
    <row r="21" spans="1:9" ht="28.5" hidden="1">
      <c r="A21" s="106"/>
      <c r="B21" s="80" t="s">
        <v>34</v>
      </c>
      <c r="C21" s="125" t="str">
        <f>VLOOKUP(B21,'Preços de Referência'!$F$74:$J$83,2,FALSE)</f>
        <v>Comercial (2,60% do CMCC - SINAPI)</v>
      </c>
      <c r="D21" s="80" t="str">
        <f>VLOOKUP(B21,'Preços de Referência'!$F$74:$J$83,4,FALSE)</f>
        <v>m² x mês</v>
      </c>
      <c r="E21" s="81">
        <f>12.41*3</f>
        <v>37.230000000000004</v>
      </c>
      <c r="F21" s="81">
        <f>'Preços de Referência'!$O$28</f>
        <v>7.3330000000000002</v>
      </c>
      <c r="G21" s="89">
        <f>VLOOKUP(B21,'Preços de Referência'!$F$74:$J$83,5,FALSE)</f>
        <v>47.75</v>
      </c>
      <c r="H21" s="88">
        <f>G21/'Preços de Referência'!$O$30</f>
        <v>0.26165817305057809</v>
      </c>
      <c r="I21" s="91">
        <v>0</v>
      </c>
    </row>
    <row r="22" spans="1:9" ht="15" hidden="1">
      <c r="A22" s="129" t="s">
        <v>35</v>
      </c>
      <c r="B22" s="108"/>
      <c r="C22" s="127" t="s">
        <v>36</v>
      </c>
      <c r="D22" s="108"/>
      <c r="E22" s="108"/>
      <c r="F22" s="108"/>
      <c r="G22" s="108"/>
      <c r="H22" s="124"/>
      <c r="I22" s="101"/>
    </row>
    <row r="23" spans="1:9" ht="15" hidden="1">
      <c r="A23" s="106"/>
      <c r="B23" s="80" t="s">
        <v>37</v>
      </c>
      <c r="C23" s="125" t="str">
        <f>VLOOKUP(B23,'Preços de Referência'!$F$74:$J$83,2,FALSE)</f>
        <v>Escritório</v>
      </c>
      <c r="D23" s="80" t="str">
        <f>VLOOKUP(B23,'Preços de Referência'!$F$74:$J$83,4,FALSE)</f>
        <v>ocupante x mês</v>
      </c>
      <c r="E23" s="81">
        <v>3</v>
      </c>
      <c r="F23" s="81">
        <f>'Preços de Referência'!$O$28</f>
        <v>7.3330000000000002</v>
      </c>
      <c r="G23" s="89">
        <f>VLOOKUP(B23,'Preços de Referência'!$F$74:$J$83,5,FALSE)</f>
        <v>490.4</v>
      </c>
      <c r="H23" s="88">
        <f>G23/'Preços de Referência'!$O$30</f>
        <v>2.6872705353718009</v>
      </c>
      <c r="I23" s="91">
        <f>H23*F23*E23</f>
        <v>59.117264507644251</v>
      </c>
    </row>
    <row r="24" spans="1:9" ht="15" hidden="1">
      <c r="A24" s="129" t="s">
        <v>38</v>
      </c>
      <c r="B24" s="108"/>
      <c r="C24" s="127" t="s">
        <v>39</v>
      </c>
      <c r="D24" s="108"/>
      <c r="E24" s="108"/>
      <c r="F24" s="108"/>
      <c r="G24" s="108"/>
      <c r="H24" s="124"/>
      <c r="I24" s="101"/>
    </row>
    <row r="25" spans="1:9" hidden="1"/>
    <row r="26" spans="1:9" hidden="1"/>
    <row r="27" spans="1:9" ht="15" hidden="1">
      <c r="A27" s="106"/>
      <c r="B27" s="80" t="s">
        <v>40</v>
      </c>
      <c r="C27" s="125" t="str">
        <f>VLOOKUP(B27,'Preços de Referência'!$F$74:$J$83,2,FALSE)</f>
        <v>Escritório</v>
      </c>
      <c r="D27" s="80" t="str">
        <f>VLOOKUP(B27,'Preços de Referência'!$F$74:$J$83,4,FALSE)</f>
        <v>ocupante x mês</v>
      </c>
      <c r="E27" s="81">
        <v>3</v>
      </c>
      <c r="F27" s="81">
        <f>'Preços de Referência'!$O$28</f>
        <v>7.3330000000000002</v>
      </c>
      <c r="G27" s="89">
        <f>VLOOKUP(B27,'Preços de Referência'!$F$74:$J$83,5,FALSE)</f>
        <v>135.22</v>
      </c>
      <c r="H27" s="88">
        <f>G27/'Preços de Referência'!$O$30</f>
        <v>0.74097210806071556</v>
      </c>
      <c r="I27" s="91">
        <f>H27*F27*E27</f>
        <v>16.30064540522768</v>
      </c>
    </row>
    <row r="28" spans="1:9" ht="15">
      <c r="A28" s="223"/>
      <c r="B28" s="193"/>
      <c r="C28" s="82"/>
      <c r="D28" s="82"/>
      <c r="E28" s="82"/>
      <c r="F28" s="82"/>
      <c r="G28" s="248"/>
      <c r="H28" s="251" t="s">
        <v>41</v>
      </c>
      <c r="I28" s="92">
        <f>I7+I13+I16+I19</f>
        <v>21794.454477565039</v>
      </c>
    </row>
    <row r="29" spans="1:9" ht="15">
      <c r="A29" s="83"/>
      <c r="B29" s="83"/>
      <c r="C29" s="83"/>
      <c r="D29" s="83"/>
      <c r="E29" s="83"/>
      <c r="F29" s="83"/>
      <c r="G29" s="249" t="s">
        <v>42</v>
      </c>
      <c r="H29" s="252">
        <f>BDI!$D$17</f>
        <v>0.44579999999999997</v>
      </c>
      <c r="I29" s="94">
        <f>I28*H29</f>
        <v>9715.9678060984934</v>
      </c>
    </row>
    <row r="30" spans="1:9" ht="15.75" thickBot="1">
      <c r="A30" s="226"/>
      <c r="B30" s="194"/>
      <c r="C30" s="194"/>
      <c r="D30" s="95"/>
      <c r="E30" s="95"/>
      <c r="F30" s="95"/>
      <c r="G30" s="250"/>
      <c r="H30" s="253" t="s">
        <v>43</v>
      </c>
      <c r="I30" s="96">
        <f>I28+I29</f>
        <v>31510.422283663531</v>
      </c>
    </row>
    <row r="32" spans="1:9">
      <c r="F32" s="585" t="s">
        <v>44</v>
      </c>
      <c r="G32" s="586"/>
      <c r="H32" s="586"/>
      <c r="I32" s="587"/>
    </row>
    <row r="33" spans="6:9">
      <c r="F33" s="109" t="str">
        <f>A2</f>
        <v>Bloco 1</v>
      </c>
      <c r="G33" s="109" t="s">
        <v>45</v>
      </c>
      <c r="H33" s="109" t="s">
        <v>46</v>
      </c>
      <c r="I33" s="109" t="s">
        <v>47</v>
      </c>
    </row>
    <row r="34" spans="6:9">
      <c r="F34" s="4">
        <f>A3</f>
        <v>4</v>
      </c>
      <c r="G34" s="157">
        <v>18</v>
      </c>
      <c r="H34" s="5">
        <f>I30</f>
        <v>31510.422283663531</v>
      </c>
      <c r="I34" s="5">
        <f>G34*H34</f>
        <v>567187.60110594356</v>
      </c>
    </row>
  </sheetData>
  <mergeCells count="7">
    <mergeCell ref="F32:I32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43893-96EF-462E-8244-2153B73630B8}">
  <sheetPr codeName="Planilha27">
    <tabColor theme="9" tint="0.39997558519241921"/>
    <pageSetUpPr fitToPage="1"/>
  </sheetPr>
  <dimension ref="A1:J39"/>
  <sheetViews>
    <sheetView showGridLines="0" zoomScale="80" zoomScaleNormal="80" workbookViewId="0">
      <selection activeCell="H39" sqref="H39:I39"/>
    </sheetView>
  </sheetViews>
  <sheetFormatPr defaultColWidth="9.28515625" defaultRowHeight="12.75"/>
  <cols>
    <col min="1" max="2" width="19.7109375" style="3" customWidth="1"/>
    <col min="3" max="3" width="32.85546875" style="3" customWidth="1"/>
    <col min="4" max="4" width="19" style="3" customWidth="1"/>
    <col min="5" max="5" width="9.28515625" style="3"/>
    <col min="6" max="6" width="17.42578125" style="3" bestFit="1" customWidth="1"/>
    <col min="7" max="7" width="17.42578125" style="3" customWidth="1"/>
    <col min="8" max="8" width="14.5703125" style="3" customWidth="1"/>
    <col min="9" max="9" width="23" style="3" customWidth="1"/>
    <col min="10" max="10" width="12.140625" style="3" customWidth="1"/>
    <col min="11" max="11" width="48.42578125" style="3" customWidth="1"/>
    <col min="12" max="12" width="10" style="3" bestFit="1" customWidth="1"/>
    <col min="13" max="13" width="7" style="3" bestFit="1" customWidth="1"/>
    <col min="14" max="16384" width="9.28515625" style="3"/>
  </cols>
  <sheetData>
    <row r="1" spans="1:10" s="6" customFormat="1" ht="16.5" thickBot="1">
      <c r="A1" s="110" t="s">
        <v>0</v>
      </c>
      <c r="B1" s="111"/>
      <c r="C1" s="111"/>
      <c r="D1" s="111"/>
      <c r="E1" s="111"/>
      <c r="F1" s="111"/>
      <c r="G1" s="111"/>
      <c r="H1" s="111"/>
      <c r="I1" s="112"/>
      <c r="J1" s="99"/>
    </row>
    <row r="2" spans="1:10" s="6" customFormat="1" ht="15.75">
      <c r="A2" s="113" t="str">
        <f>PRODUTOS!A2</f>
        <v>Bloco 1</v>
      </c>
      <c r="B2" s="114" t="str">
        <f>PRODUTOS!B2</f>
        <v>Estudos para licenciamento e Concessões</v>
      </c>
      <c r="C2" s="115"/>
      <c r="D2" s="115"/>
      <c r="E2" s="115"/>
      <c r="F2" s="115"/>
      <c r="G2" s="115"/>
      <c r="H2" s="115"/>
      <c r="I2" s="116"/>
      <c r="J2" s="99"/>
    </row>
    <row r="3" spans="1:10" s="6" customFormat="1" ht="16.5" thickBot="1">
      <c r="A3" s="117">
        <f>PRODUTOS!A8</f>
        <v>5</v>
      </c>
      <c r="B3" s="118" t="str">
        <f>PRODUTOS!B8</f>
        <v>ESTUDO DE IMPACTO AMBIENTAL/RELATÓRIO DE IMPACTO AMBIENTAL – EIA/RIMA – EMPREENDIMENTOS PONTUAIS</v>
      </c>
      <c r="C3" s="119"/>
      <c r="D3" s="120"/>
      <c r="E3" s="119" t="str">
        <f>PRODUTOS!C8</f>
        <v>EIA.PONTUAL</v>
      </c>
      <c r="F3" s="120"/>
      <c r="G3" s="118"/>
      <c r="H3" s="121"/>
      <c r="I3" s="122"/>
      <c r="J3" s="99"/>
    </row>
    <row r="4" spans="1:10" s="6" customFormat="1" ht="15.75">
      <c r="A4" s="102"/>
      <c r="B4" s="75"/>
      <c r="C4" s="98"/>
      <c r="D4" s="98"/>
      <c r="E4" s="98"/>
      <c r="F4" s="97"/>
      <c r="G4" s="75"/>
      <c r="H4" s="99"/>
      <c r="I4" s="103"/>
      <c r="J4" s="99"/>
    </row>
    <row r="5" spans="1:10" ht="14.25" customHeight="1">
      <c r="A5" s="588" t="s">
        <v>1</v>
      </c>
      <c r="B5" s="589" t="s">
        <v>2</v>
      </c>
      <c r="C5" s="589" t="s">
        <v>3</v>
      </c>
      <c r="D5" s="590" t="s">
        <v>4</v>
      </c>
      <c r="E5" s="589" t="s">
        <v>5</v>
      </c>
      <c r="F5" s="589"/>
      <c r="G5" s="591" t="s">
        <v>6</v>
      </c>
      <c r="H5" s="592"/>
      <c r="I5" s="593"/>
      <c r="J5" s="99"/>
    </row>
    <row r="6" spans="1:10" ht="15.75">
      <c r="A6" s="588"/>
      <c r="B6" s="589"/>
      <c r="C6" s="589"/>
      <c r="D6" s="590"/>
      <c r="E6" s="104" t="s">
        <v>7</v>
      </c>
      <c r="F6" s="104" t="s">
        <v>8</v>
      </c>
      <c r="G6" s="133" t="s">
        <v>9</v>
      </c>
      <c r="H6" s="104" t="s">
        <v>10</v>
      </c>
      <c r="I6" s="105" t="s">
        <v>11</v>
      </c>
      <c r="J6" s="99"/>
    </row>
    <row r="7" spans="1:10" ht="15.75">
      <c r="A7" s="153" t="s">
        <v>12</v>
      </c>
      <c r="B7" s="86"/>
      <c r="C7" s="87" t="s">
        <v>13</v>
      </c>
      <c r="D7" s="86"/>
      <c r="E7" s="86"/>
      <c r="F7" s="86"/>
      <c r="G7" s="86"/>
      <c r="H7" s="86"/>
      <c r="I7" s="100">
        <f>SUM(I8:I16)</f>
        <v>528403.89134308719</v>
      </c>
      <c r="J7" s="99"/>
    </row>
    <row r="8" spans="1:10" ht="15.75">
      <c r="A8" s="106"/>
      <c r="B8" s="80" t="s">
        <v>186</v>
      </c>
      <c r="C8" s="125" t="str">
        <f>VLOOKUP(B8,'Preços de Referência'!$A$5:$C$103,2,FALSE)</f>
        <v xml:space="preserve">Coordenador ambiental </v>
      </c>
      <c r="D8" s="134" t="s">
        <v>15</v>
      </c>
      <c r="E8" s="81">
        <v>1</v>
      </c>
      <c r="F8" s="159">
        <f>'Preços de Referência'!$O$30*4</f>
        <v>729.96</v>
      </c>
      <c r="G8" s="88">
        <f>VLOOKUP(B8,'Preços de Referência'!$A$5:$C$103,3,FALSE)</f>
        <v>34290.74</v>
      </c>
      <c r="H8" s="88">
        <f>G8/'Preços de Referência'!$O$30</f>
        <v>187.9047619047619</v>
      </c>
      <c r="I8" s="91">
        <f t="shared" ref="I8:I9" si="0">H8*F8*E8</f>
        <v>137162.96</v>
      </c>
      <c r="J8" s="99"/>
    </row>
    <row r="9" spans="1:10" ht="15.75">
      <c r="A9" s="106"/>
      <c r="B9" s="80" t="s">
        <v>167</v>
      </c>
      <c r="C9" s="125" t="str">
        <f>VLOOKUP(B9,'Preços de Referência'!$A$5:$C$103,2,FALSE)</f>
        <v>Auxiliar</v>
      </c>
      <c r="D9" s="134" t="s">
        <v>15</v>
      </c>
      <c r="E9" s="81">
        <f>3+1+2</f>
        <v>6</v>
      </c>
      <c r="F9" s="159">
        <f>'Preços de Referência'!$O$28*((20*3)+(10*3))/6</f>
        <v>109.995</v>
      </c>
      <c r="G9" s="88">
        <f>VLOOKUP(B9,'Preços de Referência'!$A$5:$C$103,3,FALSE)</f>
        <v>3986.88</v>
      </c>
      <c r="H9" s="88">
        <f>G9/'Preços de Referência'!$O$30</f>
        <v>21.847114910406049</v>
      </c>
      <c r="I9" s="91">
        <f t="shared" si="0"/>
        <v>14418.440427420679</v>
      </c>
      <c r="J9" s="99"/>
    </row>
    <row r="10" spans="1:10" ht="15.75">
      <c r="A10" s="106"/>
      <c r="B10" s="80" t="s">
        <v>14</v>
      </c>
      <c r="C10" s="125" t="str">
        <f>VLOOKUP(B10,'Preços de Referência'!$A$5:$C$103,2,FALSE)</f>
        <v>Biólogo pleno</v>
      </c>
      <c r="D10" s="134" t="s">
        <v>15</v>
      </c>
      <c r="E10" s="81">
        <v>4</v>
      </c>
      <c r="F10" s="159">
        <f>'Preços de Referência'!$O$30*3</f>
        <v>547.47</v>
      </c>
      <c r="G10" s="88">
        <f>VLOOKUP(B10,'Preços de Referência'!$A$5:$C$103,3,FALSE)</f>
        <v>8782.2099999999991</v>
      </c>
      <c r="H10" s="88">
        <f>G10/'Preços de Referência'!$O$30</f>
        <v>48.124335580031776</v>
      </c>
      <c r="I10" s="91">
        <f t="shared" ref="I10:I16" si="1">H10*F10*E10</f>
        <v>105386.51999999999</v>
      </c>
      <c r="J10" s="99"/>
    </row>
    <row r="11" spans="1:10" ht="15.75">
      <c r="A11" s="106"/>
      <c r="B11" s="80" t="s">
        <v>234</v>
      </c>
      <c r="C11" s="125" t="str">
        <f>VLOOKUP(B11,'Preços de Referência'!$A$5:$C$103,2,FALSE)</f>
        <v>Engenheiro florestal sênior</v>
      </c>
      <c r="D11" s="134" t="s">
        <v>15</v>
      </c>
      <c r="E11" s="81">
        <v>1</v>
      </c>
      <c r="F11" s="159">
        <f>'Preços de Referência'!$O$30*2</f>
        <v>364.98</v>
      </c>
      <c r="G11" s="88">
        <f>VLOOKUP(B11,'Preços de Referência'!$A$5:$C$103,3,FALSE)</f>
        <v>30388.799999999999</v>
      </c>
      <c r="H11" s="88">
        <f>G11/'Preços de Referência'!$O$30</f>
        <v>166.52309715600853</v>
      </c>
      <c r="I11" s="91">
        <f t="shared" si="1"/>
        <v>60777.599999999999</v>
      </c>
      <c r="J11" s="99"/>
    </row>
    <row r="12" spans="1:10" ht="15.75">
      <c r="A12" s="106"/>
      <c r="B12" s="80" t="s">
        <v>242</v>
      </c>
      <c r="C12" s="125" t="str">
        <f>VLOOKUP(B12,'Preços de Referência'!$A$5:$C$103,2,FALSE)</f>
        <v>Geólogo sênior</v>
      </c>
      <c r="D12" s="134" t="s">
        <v>15</v>
      </c>
      <c r="E12" s="81">
        <v>1</v>
      </c>
      <c r="F12" s="159">
        <f>'Preços de Referência'!$O$28*45</f>
        <v>329.98500000000001</v>
      </c>
      <c r="G12" s="88">
        <f>VLOOKUP(B12,'Preços de Referência'!$A$5:$C$103,3,FALSE)</f>
        <v>25667.7</v>
      </c>
      <c r="H12" s="88">
        <f>G12/'Preços de Referência'!$O$30</f>
        <v>140.65263850073976</v>
      </c>
      <c r="I12" s="91">
        <f t="shared" si="1"/>
        <v>46413.260915666608</v>
      </c>
      <c r="J12" s="99"/>
    </row>
    <row r="13" spans="1:10" ht="15.75">
      <c r="A13" s="106"/>
      <c r="B13" s="80" t="s">
        <v>238</v>
      </c>
      <c r="C13" s="125" t="str">
        <f>VLOOKUP(B13,'Preços de Referência'!$A$5:$C$103,2,FALSE)</f>
        <v>Geógrafo sênior</v>
      </c>
      <c r="D13" s="134" t="s">
        <v>15</v>
      </c>
      <c r="E13" s="81">
        <v>1</v>
      </c>
      <c r="F13" s="159">
        <f>'Preços de Referência'!$O$30*2</f>
        <v>364.98</v>
      </c>
      <c r="G13" s="88">
        <f>VLOOKUP(B13,'Preços de Referência'!$A$5:$C$103,3,FALSE)</f>
        <v>18696.3</v>
      </c>
      <c r="H13" s="88">
        <f>G13/'Preços de Referência'!$O$30</f>
        <v>102.45109321058688</v>
      </c>
      <c r="I13" s="91">
        <f t="shared" si="1"/>
        <v>37392.6</v>
      </c>
      <c r="J13" s="99"/>
    </row>
    <row r="14" spans="1:10" ht="15.75">
      <c r="A14" s="106"/>
      <c r="B14" s="80" t="s">
        <v>17</v>
      </c>
      <c r="C14" s="125" t="str">
        <f>VLOOKUP(B14,'Preços de Referência'!$A$5:$C$103,2,FALSE)</f>
        <v>Técnico em geoprocessamento</v>
      </c>
      <c r="D14" s="134" t="s">
        <v>15</v>
      </c>
      <c r="E14" s="81">
        <v>1</v>
      </c>
      <c r="F14" s="159">
        <f>'Preços de Referência'!$O$30*1</f>
        <v>182.49</v>
      </c>
      <c r="G14" s="88">
        <f>VLOOKUP(B14,'Preços de Referência'!$A$5:$C$103,3,FALSE)</f>
        <v>6120.29</v>
      </c>
      <c r="H14" s="88">
        <f>G14/'Preços de Referência'!$O$30</f>
        <v>33.537673297166968</v>
      </c>
      <c r="I14" s="91">
        <f t="shared" ref="I14" si="2">H14*F14*E14</f>
        <v>6120.29</v>
      </c>
      <c r="J14" s="99"/>
    </row>
    <row r="15" spans="1:10" ht="15.75">
      <c r="A15" s="106"/>
      <c r="B15" s="80" t="s">
        <v>213</v>
      </c>
      <c r="C15" s="125" t="str">
        <f>VLOOKUP(B15,'Preços de Referência'!$A$5:$C$103,2,FALSE)</f>
        <v>Engenheiro ambiental sênior</v>
      </c>
      <c r="D15" s="134" t="s">
        <v>15</v>
      </c>
      <c r="E15" s="81">
        <v>1</v>
      </c>
      <c r="F15" s="159">
        <f>'Preços de Referência'!$O$30*2</f>
        <v>364.98</v>
      </c>
      <c r="G15" s="88">
        <f>VLOOKUP(B15,'Preços de Referência'!$A$5:$C$103,3,FALSE)</f>
        <v>27331.69</v>
      </c>
      <c r="H15" s="88">
        <f>G15/'Preços de Referência'!$O$30</f>
        <v>149.77089155570167</v>
      </c>
      <c r="I15" s="91">
        <f t="shared" si="1"/>
        <v>54663.38</v>
      </c>
      <c r="J15" s="99"/>
    </row>
    <row r="16" spans="1:10" ht="15.75">
      <c r="A16" s="106"/>
      <c r="B16" s="80" t="s">
        <v>302</v>
      </c>
      <c r="C16" s="125" t="str">
        <f>VLOOKUP(B16,'Preços de Referência'!$A$5:$C$103,2,FALSE)</f>
        <v>Sociólogo sênior</v>
      </c>
      <c r="D16" s="134" t="s">
        <v>15</v>
      </c>
      <c r="E16" s="81">
        <v>2</v>
      </c>
      <c r="F16" s="159">
        <f>'Preços de Referência'!$O$30*2</f>
        <v>364.98</v>
      </c>
      <c r="G16" s="88">
        <f>VLOOKUP(B16,'Preços de Referência'!$A$5:$C$103,3,FALSE)</f>
        <v>16517.21</v>
      </c>
      <c r="H16" s="88">
        <f>G16/'Preços de Referência'!$O$30</f>
        <v>90.510219738067832</v>
      </c>
      <c r="I16" s="91">
        <f t="shared" si="1"/>
        <v>66068.84</v>
      </c>
      <c r="J16" s="99"/>
    </row>
    <row r="17" spans="1:10" ht="15.75">
      <c r="A17" s="128" t="s">
        <v>21</v>
      </c>
      <c r="B17" s="107"/>
      <c r="C17" s="126" t="s">
        <v>22</v>
      </c>
      <c r="D17" s="107"/>
      <c r="E17" s="107"/>
      <c r="F17" s="107"/>
      <c r="G17" s="107"/>
      <c r="H17" s="123"/>
      <c r="I17" s="100">
        <f>I18</f>
        <v>19950.717108000001</v>
      </c>
      <c r="J17" s="99"/>
    </row>
    <row r="18" spans="1:10" ht="28.5" customHeight="1">
      <c r="A18" s="106"/>
      <c r="B18" s="84" t="s">
        <v>23</v>
      </c>
      <c r="C18" s="125" t="str">
        <f>VLOOKUP(B18,'Preços de Referência'!$E$4:$P$5,2,FALSE)</f>
        <v>Veículo leve picape 4 x 4 com capacidade de 1,10 t - 147 kW (sem motorista)</v>
      </c>
      <c r="D18" s="134" t="s">
        <v>15</v>
      </c>
      <c r="E18" s="81">
        <v>4</v>
      </c>
      <c r="F18" s="159">
        <f>'Preços de Referência'!$O$28*15</f>
        <v>109.995</v>
      </c>
      <c r="G18" s="88">
        <f>VLOOKUP(B18,'Preços de Referência'!$E$4:$P$5,10,FALSE)</f>
        <v>8274.9513000000006</v>
      </c>
      <c r="H18" s="88">
        <f>VLOOKUP(B18,'Preços de Referência'!$E$4:$P$5,12,FALSE)</f>
        <v>45.3446</v>
      </c>
      <c r="I18" s="91">
        <f>H18*F18*E18</f>
        <v>19950.717108000001</v>
      </c>
      <c r="J18" s="99"/>
    </row>
    <row r="19" spans="1:10" ht="30" hidden="1">
      <c r="A19" s="128" t="s">
        <v>24</v>
      </c>
      <c r="B19" s="107"/>
      <c r="C19" s="126" t="s">
        <v>25</v>
      </c>
      <c r="D19" s="107"/>
      <c r="E19" s="107"/>
      <c r="F19" s="107"/>
      <c r="G19" s="107"/>
      <c r="H19" s="123"/>
      <c r="I19" s="100">
        <v>0</v>
      </c>
      <c r="J19" s="99"/>
    </row>
    <row r="20" spans="1:10" ht="15.75" hidden="1">
      <c r="A20" s="106"/>
      <c r="B20" s="80" t="s">
        <v>26</v>
      </c>
      <c r="C20" s="125" t="s">
        <v>27</v>
      </c>
      <c r="D20" s="134" t="s">
        <v>15</v>
      </c>
      <c r="E20" s="81">
        <v>6</v>
      </c>
      <c r="F20" s="81">
        <f>'Preços de Referência'!$O$28*5</f>
        <v>36.664999999999999</v>
      </c>
      <c r="G20" s="81">
        <v>223.422507</v>
      </c>
      <c r="H20" s="88">
        <v>1.2242999999999999</v>
      </c>
      <c r="I20" s="91">
        <f>H20*F20*E20</f>
        <v>269.33375699999999</v>
      </c>
      <c r="J20" s="99"/>
    </row>
    <row r="21" spans="1:10" ht="28.5" hidden="1">
      <c r="A21" s="106"/>
      <c r="B21" s="80" t="s">
        <v>28</v>
      </c>
      <c r="C21" s="125" t="s">
        <v>29</v>
      </c>
      <c r="D21" s="134" t="s">
        <v>15</v>
      </c>
      <c r="E21" s="81">
        <v>1</v>
      </c>
      <c r="F21" s="81">
        <f>'Preços de Referência'!$O$28*5</f>
        <v>36.664999999999999</v>
      </c>
      <c r="G21" s="81">
        <f>E21*F21</f>
        <v>36.664999999999999</v>
      </c>
      <c r="H21" s="88">
        <v>5.16</v>
      </c>
      <c r="I21" s="91">
        <f>H21*F21*E21</f>
        <v>189.19139999999999</v>
      </c>
      <c r="J21" s="99"/>
    </row>
    <row r="22" spans="1:10" ht="15.75" hidden="1">
      <c r="A22" s="128" t="s">
        <v>30</v>
      </c>
      <c r="B22" s="107"/>
      <c r="C22" s="126" t="s">
        <v>31</v>
      </c>
      <c r="D22" s="107"/>
      <c r="E22" s="107"/>
      <c r="F22" s="107"/>
      <c r="G22" s="107"/>
      <c r="H22" s="123"/>
      <c r="I22" s="100">
        <v>0</v>
      </c>
      <c r="J22" s="99"/>
    </row>
    <row r="23" spans="1:10" ht="15.75" hidden="1">
      <c r="A23" s="129" t="s">
        <v>32</v>
      </c>
      <c r="B23" s="108"/>
      <c r="C23" s="127" t="s">
        <v>33</v>
      </c>
      <c r="D23" s="108"/>
      <c r="E23" s="108"/>
      <c r="F23" s="108"/>
      <c r="G23" s="108"/>
      <c r="H23" s="124"/>
      <c r="I23" s="101"/>
      <c r="J23" s="99"/>
    </row>
    <row r="24" spans="1:10" ht="28.5" hidden="1">
      <c r="A24" s="106"/>
      <c r="B24" s="80" t="s">
        <v>34</v>
      </c>
      <c r="C24" s="125" t="str">
        <f>VLOOKUP(B24,'Preços de Referência'!$F$74:$J$83,2,FALSE)</f>
        <v>Comercial (2,60% do CMCC - SINAPI)</v>
      </c>
      <c r="D24" s="80" t="str">
        <f>VLOOKUP(B24,'Preços de Referência'!$F$74:$J$83,4,FALSE)</f>
        <v>m² x mês</v>
      </c>
      <c r="E24" s="81">
        <f>12.41*6</f>
        <v>74.460000000000008</v>
      </c>
      <c r="F24" s="81">
        <f>'Preços de Referência'!$O$28*5</f>
        <v>36.664999999999999</v>
      </c>
      <c r="G24" s="89">
        <f>VLOOKUP(B24,'Preços de Referência'!$F$74:$J$83,5,FALSE)</f>
        <v>47.75</v>
      </c>
      <c r="H24" s="88">
        <f>G24/'Preços de Referência'!$O$30</f>
        <v>0.26165817305057809</v>
      </c>
      <c r="I24" s="91">
        <v>0</v>
      </c>
      <c r="J24" s="99"/>
    </row>
    <row r="25" spans="1:10" ht="15.75" hidden="1">
      <c r="A25" s="129" t="s">
        <v>35</v>
      </c>
      <c r="B25" s="108"/>
      <c r="C25" s="127" t="s">
        <v>36</v>
      </c>
      <c r="D25" s="108"/>
      <c r="E25" s="108"/>
      <c r="F25" s="108"/>
      <c r="G25" s="108"/>
      <c r="H25" s="124"/>
      <c r="I25" s="101"/>
      <c r="J25" s="99"/>
    </row>
    <row r="26" spans="1:10" ht="15.75" hidden="1">
      <c r="A26" s="106"/>
      <c r="B26" s="80" t="s">
        <v>37</v>
      </c>
      <c r="C26" s="125" t="str">
        <f>VLOOKUP(B26,'Preços de Referência'!$F$74:$J$83,2,FALSE)</f>
        <v>Escritório</v>
      </c>
      <c r="D26" s="80" t="str">
        <f>VLOOKUP(B26,'Preços de Referência'!$F$74:$J$83,4,FALSE)</f>
        <v>ocupante x mês</v>
      </c>
      <c r="E26" s="81">
        <v>6</v>
      </c>
      <c r="F26" s="81">
        <f>'Preços de Referência'!$O$28*5</f>
        <v>36.664999999999999</v>
      </c>
      <c r="G26" s="89">
        <f>VLOOKUP(B26,'Preços de Referência'!$F$74:$J$83,5,FALSE)</f>
        <v>490.4</v>
      </c>
      <c r="H26" s="88">
        <f>G26/'Preços de Referência'!$O$30</f>
        <v>2.6872705353718009</v>
      </c>
      <c r="I26" s="91">
        <f>H26*F26*E26</f>
        <v>591.17264507644245</v>
      </c>
      <c r="J26" s="99"/>
    </row>
    <row r="27" spans="1:10" ht="15.75" hidden="1">
      <c r="A27" s="129" t="s">
        <v>38</v>
      </c>
      <c r="B27" s="108"/>
      <c r="C27" s="127" t="s">
        <v>39</v>
      </c>
      <c r="D27" s="108"/>
      <c r="E27" s="108"/>
      <c r="F27" s="108"/>
      <c r="G27" s="108"/>
      <c r="H27" s="124"/>
      <c r="I27" s="101"/>
      <c r="J27" s="99"/>
    </row>
    <row r="28" spans="1:10" ht="15.75" hidden="1">
      <c r="A28" s="106"/>
      <c r="B28" s="80" t="s">
        <v>40</v>
      </c>
      <c r="C28" s="125" t="str">
        <f>VLOOKUP(B28,'Preços de Referência'!$F$74:$J$83,2,FALSE)</f>
        <v>Escritório</v>
      </c>
      <c r="D28" s="80" t="str">
        <f>VLOOKUP(B28,'Preços de Referência'!$F$74:$J$83,4,FALSE)</f>
        <v>ocupante x mês</v>
      </c>
      <c r="E28" s="81">
        <v>6</v>
      </c>
      <c r="F28" s="81">
        <f>'Preços de Referência'!$O$28*5</f>
        <v>36.664999999999999</v>
      </c>
      <c r="G28" s="89">
        <f>VLOOKUP(B28,'Preços de Referência'!$F$74:$J$83,5,FALSE)</f>
        <v>135.22</v>
      </c>
      <c r="H28" s="88">
        <f>G28/'Preços de Referência'!$O$30</f>
        <v>0.74097210806071556</v>
      </c>
      <c r="I28" s="91">
        <f>H28*F28*E28</f>
        <v>163.00645405227681</v>
      </c>
      <c r="J28" s="99"/>
    </row>
    <row r="29" spans="1:10" ht="15.75">
      <c r="A29" s="160" t="s">
        <v>24</v>
      </c>
      <c r="B29" s="161"/>
      <c r="C29" s="162" t="s">
        <v>360</v>
      </c>
      <c r="D29" s="161"/>
      <c r="E29" s="161" t="s">
        <v>459</v>
      </c>
      <c r="F29" s="161" t="s">
        <v>460</v>
      </c>
      <c r="G29" s="161" t="s">
        <v>461</v>
      </c>
      <c r="H29" s="161"/>
      <c r="I29" s="163">
        <f>SUM(I30:I31)</f>
        <v>78086.538</v>
      </c>
    </row>
    <row r="30" spans="1:10" ht="28.5">
      <c r="A30" s="164"/>
      <c r="B30" s="169" t="s">
        <v>198</v>
      </c>
      <c r="C30" s="165" t="str">
        <f>VLOOKUP(B30,'Preços de Referência'!$P$69:$W$70,2,FALSE)</f>
        <v>DIÁRIA (CONF. DECRETO 11.117 PR - CUSTO MEDIANO</v>
      </c>
      <c r="D30" s="134" t="s">
        <v>122</v>
      </c>
      <c r="E30" s="135">
        <v>17</v>
      </c>
      <c r="F30" s="135">
        <v>10</v>
      </c>
      <c r="G30" s="330">
        <f>VLOOKUP(B30,'Preços de Referência'!$P$69:$W$70,6,FALSE)</f>
        <v>380</v>
      </c>
      <c r="H30" s="167"/>
      <c r="I30" s="168">
        <f>E30*F30*G30</f>
        <v>64600</v>
      </c>
    </row>
    <row r="31" spans="1:10" ht="28.5">
      <c r="A31" s="164"/>
      <c r="B31" s="169" t="s">
        <v>194</v>
      </c>
      <c r="C31" s="165" t="str">
        <f>VLOOKUP(B31,'Preços de Referência'!$P$69:$W$70,2,FALSE)</f>
        <v>PASSAGEM AÉREA - DESTINO NACIONAL (Cotação JUL/24)*</v>
      </c>
      <c r="D31" s="134" t="s">
        <v>122</v>
      </c>
      <c r="E31" s="135">
        <v>10</v>
      </c>
      <c r="F31" s="135">
        <v>1</v>
      </c>
      <c r="G31" s="330">
        <f>VLOOKUP(B31,'Preços de Referência'!$P$69:$W$70,6,FALSE)</f>
        <v>1348.6538</v>
      </c>
      <c r="H31" s="167"/>
      <c r="I31" s="168">
        <f>E31*F31*G31</f>
        <v>13486.538</v>
      </c>
    </row>
    <row r="32" spans="1:10" ht="15.75">
      <c r="A32" s="223"/>
      <c r="B32" s="193"/>
      <c r="C32" s="82"/>
      <c r="D32" s="82"/>
      <c r="E32" s="82"/>
      <c r="F32" s="82"/>
      <c r="G32" s="248"/>
      <c r="H32" s="251" t="s">
        <v>41</v>
      </c>
      <c r="I32" s="92">
        <f>I7+I19+I22+I17+I29</f>
        <v>626441.1464510872</v>
      </c>
      <c r="J32" s="99"/>
    </row>
    <row r="33" spans="1:10" ht="16.5" thickBot="1">
      <c r="A33" s="83"/>
      <c r="B33" s="83"/>
      <c r="C33" s="83"/>
      <c r="D33" s="83"/>
      <c r="E33" s="83"/>
      <c r="F33" s="83"/>
      <c r="G33" s="249" t="s">
        <v>42</v>
      </c>
      <c r="H33" s="252">
        <f>BDI!$D$17</f>
        <v>0.44579999999999997</v>
      </c>
      <c r="I33" s="94">
        <f>I32*H33</f>
        <v>279267.46308789466</v>
      </c>
      <c r="J33" s="99"/>
    </row>
    <row r="34" spans="1:10" ht="26.25" thickBot="1">
      <c r="A34" s="476"/>
      <c r="B34" s="477"/>
      <c r="C34" s="477"/>
      <c r="D34" s="477"/>
      <c r="E34" s="477"/>
      <c r="F34" s="477"/>
      <c r="G34" s="478"/>
      <c r="H34" s="479" t="s">
        <v>524</v>
      </c>
      <c r="I34" s="480">
        <f>1.07765625</f>
        <v>1.07765625</v>
      </c>
    </row>
    <row r="35" spans="1:10" ht="16.5" thickBot="1">
      <c r="A35" s="226"/>
      <c r="B35" s="194"/>
      <c r="C35" s="194"/>
      <c r="D35" s="95"/>
      <c r="E35" s="95"/>
      <c r="F35" s="95"/>
      <c r="G35" s="250"/>
      <c r="H35" s="253" t="s">
        <v>43</v>
      </c>
      <c r="I35" s="96">
        <f>(I32+I33)*I34</f>
        <v>976042.54374849342</v>
      </c>
      <c r="J35" s="99"/>
    </row>
    <row r="36" spans="1:10" ht="15.75">
      <c r="A36" s="170"/>
      <c r="B36" s="171"/>
      <c r="C36" s="171"/>
      <c r="D36" s="171"/>
      <c r="E36" s="171"/>
      <c r="F36" s="171"/>
      <c r="G36" s="171"/>
      <c r="H36" s="171"/>
      <c r="I36" s="172"/>
      <c r="J36" s="99"/>
    </row>
    <row r="37" spans="1:10" ht="15.75">
      <c r="A37" s="173"/>
      <c r="F37" s="585" t="s">
        <v>44</v>
      </c>
      <c r="G37" s="586"/>
      <c r="H37" s="586"/>
      <c r="I37" s="594"/>
      <c r="J37" s="99"/>
    </row>
    <row r="38" spans="1:10" ht="15.75">
      <c r="A38" s="173"/>
      <c r="F38" s="109" t="str">
        <f>A2</f>
        <v>Bloco 1</v>
      </c>
      <c r="G38" s="109" t="s">
        <v>45</v>
      </c>
      <c r="H38" s="109" t="s">
        <v>46</v>
      </c>
      <c r="I38" s="174" t="s">
        <v>47</v>
      </c>
      <c r="J38" s="99"/>
    </row>
    <row r="39" spans="1:10" ht="16.5" thickBot="1">
      <c r="A39" s="175"/>
      <c r="B39" s="176"/>
      <c r="C39" s="176"/>
      <c r="D39" s="176"/>
      <c r="E39" s="176"/>
      <c r="F39" s="177">
        <f>A3</f>
        <v>5</v>
      </c>
      <c r="G39" s="177">
        <v>1</v>
      </c>
      <c r="H39" s="178">
        <f>I35</f>
        <v>976042.54374849342</v>
      </c>
      <c r="I39" s="179">
        <f>G39*H39</f>
        <v>976042.54374849342</v>
      </c>
      <c r="J39" s="99"/>
    </row>
  </sheetData>
  <mergeCells count="7">
    <mergeCell ref="F37:I37"/>
    <mergeCell ref="A5:A6"/>
    <mergeCell ref="B5:B6"/>
    <mergeCell ref="C5:C6"/>
    <mergeCell ref="D5:D6"/>
    <mergeCell ref="E5:F5"/>
    <mergeCell ref="G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686F8E65056544B0BF50D4AD9A6E33" ma:contentTypeVersion="18" ma:contentTypeDescription="Crie um novo documento." ma:contentTypeScope="" ma:versionID="11d48b09fe5f70c4d0dcbd325c5b6b60">
  <xsd:schema xmlns:xsd="http://www.w3.org/2001/XMLSchema" xmlns:xs="http://www.w3.org/2001/XMLSchema" xmlns:p="http://schemas.microsoft.com/office/2006/metadata/properties" xmlns:ns3="0d066591-b6a4-4149-9f29-461f904b18c8" xmlns:ns4="2475059a-089c-4f30-9ac8-d336e1a44f81" targetNamespace="http://schemas.microsoft.com/office/2006/metadata/properties" ma:root="true" ma:fieldsID="f0cd800c0b825e8dbcbeb7686a563e09" ns3:_="" ns4:_="">
    <xsd:import namespace="0d066591-b6a4-4149-9f29-461f904b18c8"/>
    <xsd:import namespace="2475059a-089c-4f30-9ac8-d336e1a44f8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66591-b6a4-4149-9f29-461f904b18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5059a-089c-4f30-9ac8-d336e1a44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d066591-b6a4-4149-9f29-461f904b18c8" xsi:nil="true"/>
  </documentManagement>
</p:properties>
</file>

<file path=customXml/itemProps1.xml><?xml version="1.0" encoding="utf-8"?>
<ds:datastoreItem xmlns:ds="http://schemas.openxmlformats.org/officeDocument/2006/customXml" ds:itemID="{F0F98D1C-BE57-4105-BB17-BDAC26316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066591-b6a4-4149-9f29-461f904b18c8"/>
    <ds:schemaRef ds:uri="2475059a-089c-4f30-9ac8-d336e1a44f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BA4B83-6634-47FD-8447-73B7E2EB34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EBDAAB-51B9-4A39-830D-EDD1AA6B8D26}">
  <ds:schemaRefs>
    <ds:schemaRef ds:uri="http://purl.org/dc/elements/1.1/"/>
    <ds:schemaRef ds:uri="http://schemas.microsoft.com/office/2006/documentManagement/types"/>
    <ds:schemaRef ds:uri="http://purl.org/dc/dcmitype/"/>
    <ds:schemaRef ds:uri="2475059a-089c-4f30-9ac8-d336e1a44f81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0d066591-b6a4-4149-9f29-461f904b18c8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40</vt:i4>
      </vt:variant>
      <vt:variant>
        <vt:lpstr>Intervalos Nomeados</vt:lpstr>
      </vt:variant>
      <vt:variant>
        <vt:i4>4</vt:i4>
      </vt:variant>
    </vt:vector>
  </HeadingPairs>
  <TitlesOfParts>
    <vt:vector size="44" baseType="lpstr">
      <vt:lpstr>CAPA</vt:lpstr>
      <vt:lpstr>BDI</vt:lpstr>
      <vt:lpstr>Preços de Referência</vt:lpstr>
      <vt:lpstr>PRODUTOS</vt:lpstr>
      <vt:lpstr>1. GERE</vt:lpstr>
      <vt:lpstr>2. CONS.PUB-I</vt:lpstr>
      <vt:lpstr>3. CONS.PUB-II</vt:lpstr>
      <vt:lpstr>4. AUD.PUB</vt:lpstr>
      <vt:lpstr>5. EIA.PONTUAL</vt:lpstr>
      <vt:lpstr>6. EA.PONTUAL TIPO I</vt:lpstr>
      <vt:lpstr>7. EA.PONTUAL TIPO II</vt:lpstr>
      <vt:lpstr>8. EIA.LINEAR</vt:lpstr>
      <vt:lpstr>9. EA.LINEAR_TIPO I</vt:lpstr>
      <vt:lpstr>10. EA.LINEAR_TIPO II</vt:lpstr>
      <vt:lpstr>11. EST.IMP.SINERG</vt:lpstr>
      <vt:lpstr>12. Estudo Fauna</vt:lpstr>
      <vt:lpstr>13. DDA</vt:lpstr>
      <vt:lpstr>14. DSAP</vt:lpstr>
      <vt:lpstr>15. PGA_I</vt:lpstr>
      <vt:lpstr>16. PGA_II</vt:lpstr>
      <vt:lpstr>17. APM</vt:lpstr>
      <vt:lpstr>18.PACM</vt:lpstr>
      <vt:lpstr>19. EVTEA_SOCIO_PONTUAL</vt:lpstr>
      <vt:lpstr>20. EVTEA_SOCIO_LINEAR</vt:lpstr>
      <vt:lpstr>21. EPVALT</vt:lpstr>
      <vt:lpstr>22. PRAD</vt:lpstr>
      <vt:lpstr>23. PROJ.BAR.ACUST</vt:lpstr>
      <vt:lpstr>24. EAR_LI</vt:lpstr>
      <vt:lpstr>25. EAR_LO</vt:lpstr>
      <vt:lpstr>26. PGR</vt:lpstr>
      <vt:lpstr>27. PAE</vt:lpstr>
      <vt:lpstr>28. CAR.AMB</vt:lpstr>
      <vt:lpstr>29. PLAN.MAN</vt:lpstr>
      <vt:lpstr>30. INV.FLORA</vt:lpstr>
      <vt:lpstr>31.MIDIAS.SOCIAIS</vt:lpstr>
      <vt:lpstr>32. SOCI_JORNAL</vt:lpstr>
      <vt:lpstr>33. SOCI_AUDIO_VISIO</vt:lpstr>
      <vt:lpstr>34. LIVRO</vt:lpstr>
      <vt:lpstr>35. REV.EIA</vt:lpstr>
      <vt:lpstr>36.PPCOMP</vt:lpstr>
      <vt:lpstr>BDI!Area_de_impressao</vt:lpstr>
      <vt:lpstr>CAPA!Area_de_impressao</vt:lpstr>
      <vt:lpstr>'Preços de Referência'!Area_de_impressao</vt:lpstr>
      <vt:lpstr>PRODUTOS!Area_de_impressao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Carlos Costa de Oliveira</dc:creator>
  <cp:keywords/>
  <dc:description/>
  <cp:lastModifiedBy>Nathan Teixeira Sarmento</cp:lastModifiedBy>
  <cp:revision/>
  <cp:lastPrinted>2024-09-27T18:29:07Z</cp:lastPrinted>
  <dcterms:created xsi:type="dcterms:W3CDTF">2021-01-12T18:36:45Z</dcterms:created>
  <dcterms:modified xsi:type="dcterms:W3CDTF">2024-09-27T19:00:42Z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0x0101003C686F8E65056544B0BF50D4AD9A6E33</vt:lpwstr>
  </property>
  <property fmtid="{D5CDD505-2E9C-101B-9397-08002B2CF9AE}" pid="3" name="MediaServiceImageTags">
    <vt:lpwstr/>
  </property>
</Properties>
</file>